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theme/themeOverride1.xml" ContentType="application/vnd.openxmlformats-officedocument.themeOverrid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arles\Documents\A Real Statistics Website 2016\Latest\"/>
    </mc:Choice>
  </mc:AlternateContent>
  <bookViews>
    <workbookView xWindow="0" yWindow="0" windowWidth="20760" windowHeight="11190" tabRatio="805"/>
  </bookViews>
  <sheets>
    <sheet name="TOC0" sheetId="405" r:id="rId1"/>
    <sheet name="TOC" sheetId="1" r:id="rId2"/>
    <sheet name="Logit 1" sheetId="385" r:id="rId3"/>
    <sheet name="Logit 2" sheetId="384" r:id="rId4"/>
    <sheet name="Logit 3" sheetId="400" r:id="rId5"/>
    <sheet name="Logit 3a" sheetId="460" r:id="rId6"/>
    <sheet name="Logit 4" sheetId="401" r:id="rId7"/>
    <sheet name="Logit 4a" sheetId="461" r:id="rId8"/>
    <sheet name="Logit 5" sheetId="462" r:id="rId9"/>
    <sheet name="Logit 5a" sheetId="534" r:id="rId10"/>
    <sheet name="Logit 6" sheetId="463" r:id="rId11"/>
    <sheet name="Logit 6a" sheetId="472" r:id="rId12"/>
    <sheet name="Logit 7a" sheetId="651" r:id="rId13"/>
    <sheet name="Hosmer" sheetId="442" r:id="rId14"/>
    <sheet name="Probit 1" sheetId="791" r:id="rId15"/>
    <sheet name="Probit 2" sheetId="790" r:id="rId16"/>
    <sheet name="MLogit 1" sheetId="465" r:id="rId17"/>
    <sheet name="MLogit 2" sheetId="466" r:id="rId18"/>
    <sheet name="MLogit 3" sheetId="468" r:id="rId19"/>
    <sheet name="MLogit 3a" sheetId="471" r:id="rId20"/>
    <sheet name="MLogit 4" sheetId="467" r:id="rId21"/>
    <sheet name="MLogit 4a" sheetId="792" r:id="rId22"/>
    <sheet name="MLogit 4b" sheetId="668" r:id="rId23"/>
    <sheet name="MLogit 5" sheetId="470" r:id="rId24"/>
    <sheet name="MLogit 5a" sheetId="669" r:id="rId25"/>
    <sheet name="MLogit 6" sheetId="474" r:id="rId26"/>
    <sheet name="OLogit 1" sheetId="477" r:id="rId27"/>
    <sheet name="OLogit 2" sheetId="476" r:id="rId28"/>
    <sheet name="OLogit 3" sheetId="475" r:id="rId29"/>
    <sheet name="PReg 1" sheetId="808" r:id="rId30"/>
    <sheet name="PReg 2" sheetId="798" r:id="rId31"/>
    <sheet name="PReg 3" sheetId="800" r:id="rId32"/>
    <sheet name="Log Lin 1.1" sheetId="269" r:id="rId33"/>
    <sheet name="Log Lin 1.2" sheetId="253" r:id="rId34"/>
    <sheet name="Log Lin 1.3" sheetId="270" r:id="rId35"/>
    <sheet name="Log Lin 1.4" sheetId="256" r:id="rId36"/>
    <sheet name="Log Lin 2.1" sheetId="272" r:id="rId37"/>
    <sheet name="Log Lin 2.2" sheetId="273" r:id="rId38"/>
    <sheet name="Log Lin 2.3" sheetId="276" r:id="rId39"/>
    <sheet name="Log Lin 2.4" sheetId="275" r:id="rId40"/>
    <sheet name="Log Lin 2.5" sheetId="277" r:id="rId41"/>
    <sheet name="Kaplan" sheetId="696" r:id="rId42"/>
    <sheet name="Kaplan 1" sheetId="699" r:id="rId43"/>
    <sheet name="Kaplan 2" sheetId="709" r:id="rId44"/>
    <sheet name="Kaplan 3" sheetId="710" r:id="rId45"/>
    <sheet name="Kaplan 4" sheetId="711" r:id="rId46"/>
    <sheet name="Log-Rank" sheetId="697" r:id="rId47"/>
    <sheet name="Log-Rank 1" sheetId="700" r:id="rId48"/>
    <sheet name="Cox Reg 1" sheetId="708" r:id="rId49"/>
    <sheet name="Cox Reg 2" sheetId="702" r:id="rId50"/>
    <sheet name="Cox Reg 3" sheetId="703" r:id="rId51"/>
    <sheet name="Cox Reg 4" sheetId="704" r:id="rId52"/>
    <sheet name="Cox Reg 5" sheetId="705" r:id="rId53"/>
    <sheet name="Cox Reg 6" sheetId="706" r:id="rId54"/>
    <sheet name="Cox Reg 7" sheetId="707" r:id="rId55"/>
    <sheet name="Cox Reg 8" sheetId="712" r:id="rId56"/>
    <sheet name="Rand Anova" sheetId="595" r:id="rId57"/>
    <sheet name="Mixed" sheetId="592" r:id="rId58"/>
    <sheet name="Mixed 2" sheetId="600" r:id="rId59"/>
    <sheet name="Nested" sheetId="591" r:id="rId60"/>
    <sheet name="Nested 1 " sheetId="601" r:id="rId61"/>
    <sheet name="Nested 1a" sheetId="599" r:id="rId62"/>
    <sheet name="Nested 2" sheetId="597" r:id="rId63"/>
    <sheet name="RCBD" sheetId="742" r:id="rId64"/>
    <sheet name="RCBD 1" sheetId="741" r:id="rId65"/>
    <sheet name="Split 1" sheetId="745" r:id="rId66"/>
    <sheet name="Split 2" sheetId="744" r:id="rId67"/>
    <sheet name="Split 3" sheetId="750" r:id="rId68"/>
    <sheet name="Split 4" sheetId="749" r:id="rId69"/>
    <sheet name="Split 5" sheetId="754" r:id="rId70"/>
    <sheet name="Latin" sheetId="739" r:id="rId71"/>
    <sheet name="Latin 1" sheetId="738" r:id="rId72"/>
    <sheet name="Latin 2" sheetId="737" r:id="rId73"/>
    <sheet name="Latin 3" sheetId="736" r:id="rId74"/>
    <sheet name="Latin 4" sheetId="735" r:id="rId75"/>
    <sheet name="Latin 5" sheetId="734" r:id="rId76"/>
    <sheet name="ANOVA Match 1.1" sheetId="294" r:id="rId77"/>
    <sheet name="ANOVA Match 1.2" sheetId="296" r:id="rId78"/>
    <sheet name="ANOVA Match 1.3" sheetId="297" r:id="rId79"/>
    <sheet name="ANOVA Match 1.3a" sheetId="589" r:id="rId80"/>
    <sheet name="ANOVA Match 1.4" sheetId="298" r:id="rId81"/>
    <sheet name="ANOVA Match 1.5" sheetId="299" r:id="rId82"/>
    <sheet name="ANOVAMatch 1.6" sheetId="723" r:id="rId83"/>
    <sheet name="ANOVA Match 2.1" sheetId="300" r:id="rId84"/>
    <sheet name="ANOVA Match 2.2" sheetId="301" r:id="rId85"/>
    <sheet name="ANOVA Match 2.3" sheetId="302" r:id="rId86"/>
    <sheet name="ANOVA Match 2.3A" sheetId="304" r:id="rId87"/>
    <sheet name="ANOVA Match 2.3B" sheetId="590" r:id="rId88"/>
    <sheet name="ANOVA Match 2.4" sheetId="303" r:id="rId89"/>
    <sheet name="ANOVA Match 2.5" sheetId="795" r:id="rId90"/>
    <sheet name="ANOVA Match 2.5A" sheetId="794" r:id="rId91"/>
    <sheet name="ANOVA Match 2.5B" sheetId="793" r:id="rId92"/>
    <sheet name="Friedman" sheetId="388" r:id="rId93"/>
    <sheet name="Cochran 1" sheetId="620" r:id="rId94"/>
    <sheet name="Cochran 2" sheetId="619" r:id="rId95"/>
    <sheet name="ANCOVA 1" sheetId="309" r:id="rId96"/>
    <sheet name="ANCOVA 2" sheetId="308" r:id="rId97"/>
    <sheet name="ANCOVA 3" sheetId="313" r:id="rId98"/>
    <sheet name="ANCOVA 4" sheetId="594" r:id="rId99"/>
    <sheet name="ANCOVA Contrasts" sheetId="312" r:id="rId100"/>
    <sheet name="ANCOVA Tukey" sheetId="767" r:id="rId101"/>
    <sheet name="ANCOVA Std" sheetId="766" r:id="rId102"/>
    <sheet name="ANCOVA Std 1" sheetId="765" r:id="rId103"/>
    <sheet name="ICC1" sheetId="756" r:id="rId104"/>
    <sheet name="ICC1a" sheetId="680" r:id="rId105"/>
    <sheet name="ICC2" sheetId="290" r:id="rId106"/>
    <sheet name="ICC3" sheetId="479" r:id="rId107"/>
    <sheet name="IPFP 2.1" sheetId="278" r:id="rId108"/>
    <sheet name="IPFP 2.1a" sheetId="670" r:id="rId109"/>
    <sheet name="IPFP 2.2 " sheetId="281" r:id="rId110"/>
    <sheet name="IPFP 3.1" sheetId="279" r:id="rId111"/>
    <sheet name="IPFP 3.2" sheetId="282" r:id="rId112"/>
    <sheet name="IPFP 3.2a" sheetId="671" r:id="rId113"/>
    <sheet name="Stud. Q Table" sheetId="41" r:id="rId114"/>
    <sheet name="Stud. Q Table 2" sheetId="204" r:id="rId115"/>
    <sheet name=" Dunnett Table" sheetId="687" r:id="rId116"/>
    <sheet name="DW Table 1" sheetId="615" r:id="rId117"/>
    <sheet name="DW Table 2" sheetId="614" r:id="rId118"/>
    <sheet name="Miss 1" sheetId="499" r:id="rId119"/>
    <sheet name="Miss 2" sheetId="500" r:id="rId120"/>
    <sheet name="Miss 3" sheetId="501" r:id="rId121"/>
    <sheet name="Miss 4" sheetId="502" r:id="rId122"/>
    <sheet name="MI 1" sheetId="504" r:id="rId123"/>
    <sheet name="MI 2" sheetId="505" r:id="rId124"/>
    <sheet name="MI 3a" sheetId="514" r:id="rId125"/>
    <sheet name="MI 3" sheetId="506" r:id="rId126"/>
    <sheet name="MI 4" sheetId="507" r:id="rId127"/>
    <sheet name="MI 5" sheetId="509" r:id="rId128"/>
    <sheet name="MI 6" sheetId="510" r:id="rId129"/>
    <sheet name="MI 7" sheetId="508" r:id="rId130"/>
    <sheet name="MI 8" sheetId="511" r:id="rId131"/>
    <sheet name="MI 8a" sheetId="523" r:id="rId132"/>
    <sheet name="MI 9" sheetId="530" r:id="rId133"/>
    <sheet name="MI 9a" sheetId="531" r:id="rId134"/>
    <sheet name="FIML 1" sheetId="515" r:id="rId135"/>
    <sheet name="FIML 2" sheetId="516" r:id="rId136"/>
    <sheet name="FIML 2a" sheetId="517" r:id="rId137"/>
    <sheet name="FIML 2b" sheetId="527" r:id="rId138"/>
    <sheet name="FIML 2c" sheetId="529" r:id="rId139"/>
    <sheet name="FIML 3" sheetId="518" r:id="rId140"/>
    <sheet name="FIML 3a" sheetId="522" r:id="rId141"/>
    <sheet name="FIML 3b" sheetId="528" r:id="rId142"/>
  </sheets>
  <definedNames>
    <definedName name="solver_adj" localSheetId="51" hidden="1">'Cox Reg 4'!$O$4</definedName>
    <definedName name="solver_adj" localSheetId="52" hidden="1">'Cox Reg 5'!$O$4</definedName>
    <definedName name="solver_adj" localSheetId="136" hidden="1">'FIML 2a'!$L$4:$L$17</definedName>
    <definedName name="solver_adj" localSheetId="138" hidden="1">'FIML 2c'!$W$4:$W$17</definedName>
    <definedName name="solver_adj" localSheetId="140" hidden="1">'FIML 3a'!$L$4:$L$17</definedName>
    <definedName name="solver_adj" localSheetId="141" hidden="1">'FIML 3b'!$W$4:$W$17</definedName>
    <definedName name="solver_adj" localSheetId="4" hidden="1">'Logit 3'!$O$5:$O$6</definedName>
    <definedName name="solver_adj" localSheetId="5" hidden="1">'Logit 3a'!$Q$34:$Q$35</definedName>
    <definedName name="solver_adj" localSheetId="17" hidden="1">'MLogit 2'!$X$6:$Y$8</definedName>
    <definedName name="solver_adj" localSheetId="20" hidden="1">'MLogit 4'!#REF!</definedName>
    <definedName name="solver_adj" localSheetId="27" hidden="1">'OLogit 2'!$AG$5:$AI$7</definedName>
    <definedName name="solver_adj" localSheetId="28" hidden="1">'OLogit 3'!$AG$9:$AG$13</definedName>
    <definedName name="solver_cvg" localSheetId="51" hidden="1">0.0001</definedName>
    <definedName name="solver_cvg" localSheetId="52" hidden="1">0.0001</definedName>
    <definedName name="solver_cvg" localSheetId="136" hidden="1">0.0001</definedName>
    <definedName name="solver_cvg" localSheetId="138" hidden="1">0.0001</definedName>
    <definedName name="solver_cvg" localSheetId="140" hidden="1">0.0001</definedName>
    <definedName name="solver_cvg" localSheetId="141" hidden="1">0.0001</definedName>
    <definedName name="solver_cvg" localSheetId="4" hidden="1">0.0001</definedName>
    <definedName name="solver_cvg" localSheetId="5" hidden="1">0.0001</definedName>
    <definedName name="solver_cvg" localSheetId="17" hidden="1">0.0001</definedName>
    <definedName name="solver_cvg" localSheetId="20" hidden="1">0.0001</definedName>
    <definedName name="solver_cvg" localSheetId="27" hidden="1">0.0001</definedName>
    <definedName name="solver_cvg" localSheetId="28" hidden="1">0.0001</definedName>
    <definedName name="solver_drv" localSheetId="51" hidden="1">1</definedName>
    <definedName name="solver_drv" localSheetId="52" hidden="1">1</definedName>
    <definedName name="solver_drv" localSheetId="136" hidden="1">1</definedName>
    <definedName name="solver_drv" localSheetId="138" hidden="1">1</definedName>
    <definedName name="solver_drv" localSheetId="140" hidden="1">1</definedName>
    <definedName name="solver_drv" localSheetId="141" hidden="1">1</definedName>
    <definedName name="solver_drv" localSheetId="4" hidden="1">1</definedName>
    <definedName name="solver_drv" localSheetId="5" hidden="1">1</definedName>
    <definedName name="solver_drv" localSheetId="17" hidden="1">1</definedName>
    <definedName name="solver_drv" localSheetId="20" hidden="1">1</definedName>
    <definedName name="solver_drv" localSheetId="27" hidden="1">1</definedName>
    <definedName name="solver_drv" localSheetId="28" hidden="1">1</definedName>
    <definedName name="solver_eng" localSheetId="51" hidden="1">1</definedName>
    <definedName name="solver_eng" localSheetId="52" hidden="1">1</definedName>
    <definedName name="solver_eng" localSheetId="136" hidden="1">1</definedName>
    <definedName name="solver_eng" localSheetId="138" hidden="1">1</definedName>
    <definedName name="solver_eng" localSheetId="140" hidden="1">1</definedName>
    <definedName name="solver_eng" localSheetId="141" hidden="1">1</definedName>
    <definedName name="solver_eng" localSheetId="4" hidden="1">1</definedName>
    <definedName name="solver_eng" localSheetId="5" hidden="1">1</definedName>
    <definedName name="solver_eng" localSheetId="17" hidden="1">1</definedName>
    <definedName name="solver_eng" localSheetId="20" hidden="1">1</definedName>
    <definedName name="solver_eng" localSheetId="27" hidden="1">1</definedName>
    <definedName name="solver_eng" localSheetId="28" hidden="1">1</definedName>
    <definedName name="solver_est" localSheetId="51" hidden="1">1</definedName>
    <definedName name="solver_est" localSheetId="52" hidden="1">1</definedName>
    <definedName name="solver_est" localSheetId="136" hidden="1">1</definedName>
    <definedName name="solver_est" localSheetId="138" hidden="1">1</definedName>
    <definedName name="solver_est" localSheetId="140" hidden="1">1</definedName>
    <definedName name="solver_est" localSheetId="141" hidden="1">1</definedName>
    <definedName name="solver_est" localSheetId="4" hidden="1">1</definedName>
    <definedName name="solver_est" localSheetId="5" hidden="1">1</definedName>
    <definedName name="solver_est" localSheetId="17" hidden="1">1</definedName>
    <definedName name="solver_est" localSheetId="20" hidden="1">1</definedName>
    <definedName name="solver_est" localSheetId="27" hidden="1">1</definedName>
    <definedName name="solver_est" localSheetId="28" hidden="1">1</definedName>
    <definedName name="solver_itr" localSheetId="51" hidden="1">2147483647</definedName>
    <definedName name="solver_itr" localSheetId="52" hidden="1">2147483647</definedName>
    <definedName name="solver_itr" localSheetId="136" hidden="1">2147483647</definedName>
    <definedName name="solver_itr" localSheetId="138" hidden="1">2147483647</definedName>
    <definedName name="solver_itr" localSheetId="140" hidden="1">2147483647</definedName>
    <definedName name="solver_itr" localSheetId="141" hidden="1">2147483647</definedName>
    <definedName name="solver_itr" localSheetId="4" hidden="1">2147483647</definedName>
    <definedName name="solver_itr" localSheetId="5" hidden="1">2147483647</definedName>
    <definedName name="solver_itr" localSheetId="17" hidden="1">2147483647</definedName>
    <definedName name="solver_itr" localSheetId="20" hidden="1">2147483647</definedName>
    <definedName name="solver_itr" localSheetId="27" hidden="1">2147483647</definedName>
    <definedName name="solver_itr" localSheetId="28" hidden="1">2147483647</definedName>
    <definedName name="solver_lhs1" localSheetId="136" hidden="1">'FIML 2a'!$M$10</definedName>
    <definedName name="solver_lhs1" localSheetId="4" hidden="1">'Logit 3'!$K$10</definedName>
    <definedName name="solver_lhs1" localSheetId="28" hidden="1">'OLogit 3'!$AG$15</definedName>
    <definedName name="solver_lhs10" localSheetId="136" hidden="1">'FIML 2a'!$M$9</definedName>
    <definedName name="solver_lhs10" localSheetId="4" hidden="1">'Logit 3'!$K$4</definedName>
    <definedName name="solver_lhs11" localSheetId="4" hidden="1">'Logit 3'!$K$5</definedName>
    <definedName name="solver_lhs12" localSheetId="4" hidden="1">'Logit 3'!$K$5</definedName>
    <definedName name="solver_lhs13" localSheetId="4" hidden="1">'Logit 3'!$K$6</definedName>
    <definedName name="solver_lhs14" localSheetId="4" hidden="1">'Logit 3'!$K$6</definedName>
    <definedName name="solver_lhs15" localSheetId="4" hidden="1">'Logit 3'!$K$7</definedName>
    <definedName name="solver_lhs16" localSheetId="4" hidden="1">'Logit 3'!$K$7</definedName>
    <definedName name="solver_lhs17" localSheetId="4" hidden="1">'Logit 3'!$K$8</definedName>
    <definedName name="solver_lhs18" localSheetId="4" hidden="1">'Logit 3'!$K$8</definedName>
    <definedName name="solver_lhs19" localSheetId="4" hidden="1">'Logit 3'!$K$9</definedName>
    <definedName name="solver_lhs2" localSheetId="136" hidden="1">'FIML 2a'!$M$11</definedName>
    <definedName name="solver_lhs2" localSheetId="4" hidden="1">'Logit 3'!$K$10</definedName>
    <definedName name="solver_lhs20" localSheetId="4" hidden="1">'Logit 3'!$K$9</definedName>
    <definedName name="solver_lhs3" localSheetId="136" hidden="1">'FIML 2a'!$M$12</definedName>
    <definedName name="solver_lhs3" localSheetId="4" hidden="1">'Logit 3'!$K$11</definedName>
    <definedName name="solver_lhs4" localSheetId="136" hidden="1">'FIML 2a'!$M$13</definedName>
    <definedName name="solver_lhs4" localSheetId="4" hidden="1">'Logit 3'!$K$11</definedName>
    <definedName name="solver_lhs5" localSheetId="136" hidden="1">'FIML 2a'!$M$4</definedName>
    <definedName name="solver_lhs5" localSheetId="4" hidden="1">'Logit 3'!$K$12</definedName>
    <definedName name="solver_lhs6" localSheetId="136" hidden="1">'FIML 2a'!$M$5</definedName>
    <definedName name="solver_lhs6" localSheetId="4" hidden="1">'Logit 3'!$K$12</definedName>
    <definedName name="solver_lhs7" localSheetId="136" hidden="1">'FIML 2a'!$M$6</definedName>
    <definedName name="solver_lhs7" localSheetId="4" hidden="1">'Logit 3'!$K$13</definedName>
    <definedName name="solver_lhs8" localSheetId="136" hidden="1">'FIML 2a'!$M$7</definedName>
    <definedName name="solver_lhs8" localSheetId="4" hidden="1">'Logit 3'!$K$13</definedName>
    <definedName name="solver_lhs9" localSheetId="136" hidden="1">'FIML 2a'!$M$8</definedName>
    <definedName name="solver_lhs9" localSheetId="4" hidden="1">'Logit 3'!$K$4</definedName>
    <definedName name="solver_mip" localSheetId="51" hidden="1">2147483647</definedName>
    <definedName name="solver_mip" localSheetId="52" hidden="1">2147483647</definedName>
    <definedName name="solver_mip" localSheetId="136" hidden="1">2147483647</definedName>
    <definedName name="solver_mip" localSheetId="138" hidden="1">2147483647</definedName>
    <definedName name="solver_mip" localSheetId="140" hidden="1">2147483647</definedName>
    <definedName name="solver_mip" localSheetId="141" hidden="1">2147483647</definedName>
    <definedName name="solver_mip" localSheetId="4" hidden="1">2147483647</definedName>
    <definedName name="solver_mip" localSheetId="5" hidden="1">2147483647</definedName>
    <definedName name="solver_mip" localSheetId="17" hidden="1">2147483647</definedName>
    <definedName name="solver_mip" localSheetId="20" hidden="1">2147483647</definedName>
    <definedName name="solver_mip" localSheetId="27" hidden="1">2147483647</definedName>
    <definedName name="solver_mip" localSheetId="28" hidden="1">2147483647</definedName>
    <definedName name="solver_mni" localSheetId="51" hidden="1">30</definedName>
    <definedName name="solver_mni" localSheetId="52" hidden="1">30</definedName>
    <definedName name="solver_mni" localSheetId="136" hidden="1">30</definedName>
    <definedName name="solver_mni" localSheetId="138" hidden="1">30</definedName>
    <definedName name="solver_mni" localSheetId="140" hidden="1">30</definedName>
    <definedName name="solver_mni" localSheetId="141" hidden="1">30</definedName>
    <definedName name="solver_mni" localSheetId="4" hidden="1">30</definedName>
    <definedName name="solver_mni" localSheetId="5" hidden="1">30</definedName>
    <definedName name="solver_mni" localSheetId="17" hidden="1">30</definedName>
    <definedName name="solver_mni" localSheetId="20" hidden="1">30</definedName>
    <definedName name="solver_mni" localSheetId="27" hidden="1">30</definedName>
    <definedName name="solver_mni" localSheetId="28" hidden="1">30</definedName>
    <definedName name="solver_mrt" localSheetId="51" hidden="1">0.075</definedName>
    <definedName name="solver_mrt" localSheetId="52" hidden="1">0.075</definedName>
    <definedName name="solver_mrt" localSheetId="136" hidden="1">0.075</definedName>
    <definedName name="solver_mrt" localSheetId="138" hidden="1">0.075</definedName>
    <definedName name="solver_mrt" localSheetId="140" hidden="1">0.075</definedName>
    <definedName name="solver_mrt" localSheetId="141" hidden="1">0.075</definedName>
    <definedName name="solver_mrt" localSheetId="4" hidden="1">0.075</definedName>
    <definedName name="solver_mrt" localSheetId="5" hidden="1">0.075</definedName>
    <definedName name="solver_mrt" localSheetId="17" hidden="1">0.075</definedName>
    <definedName name="solver_mrt" localSheetId="20" hidden="1">0.075</definedName>
    <definedName name="solver_mrt" localSheetId="27" hidden="1">0.075</definedName>
    <definedName name="solver_mrt" localSheetId="28" hidden="1">0.075</definedName>
    <definedName name="solver_msl" localSheetId="51" hidden="1">2</definedName>
    <definedName name="solver_msl" localSheetId="52" hidden="1">2</definedName>
    <definedName name="solver_msl" localSheetId="136" hidden="1">2</definedName>
    <definedName name="solver_msl" localSheetId="138" hidden="1">2</definedName>
    <definedName name="solver_msl" localSheetId="140" hidden="1">2</definedName>
    <definedName name="solver_msl" localSheetId="141" hidden="1">2</definedName>
    <definedName name="solver_msl" localSheetId="4" hidden="1">2</definedName>
    <definedName name="solver_msl" localSheetId="5" hidden="1">2</definedName>
    <definedName name="solver_msl" localSheetId="17" hidden="1">2</definedName>
    <definedName name="solver_msl" localSheetId="20" hidden="1">2</definedName>
    <definedName name="solver_msl" localSheetId="27" hidden="1">2</definedName>
    <definedName name="solver_msl" localSheetId="28" hidden="1">2</definedName>
    <definedName name="solver_neg" localSheetId="51" hidden="1">2</definedName>
    <definedName name="solver_neg" localSheetId="52" hidden="1">2</definedName>
    <definedName name="solver_neg" localSheetId="136" hidden="1">2</definedName>
    <definedName name="solver_neg" localSheetId="138" hidden="1">2</definedName>
    <definedName name="solver_neg" localSheetId="140" hidden="1">2</definedName>
    <definedName name="solver_neg" localSheetId="141" hidden="1">2</definedName>
    <definedName name="solver_neg" localSheetId="4" hidden="1">2</definedName>
    <definedName name="solver_neg" localSheetId="5" hidden="1">2</definedName>
    <definedName name="solver_neg" localSheetId="17" hidden="1">2</definedName>
    <definedName name="solver_neg" localSheetId="20" hidden="1">2</definedName>
    <definedName name="solver_neg" localSheetId="27" hidden="1">2</definedName>
    <definedName name="solver_neg" localSheetId="28" hidden="1">2</definedName>
    <definedName name="solver_nod" localSheetId="51" hidden="1">2147483647</definedName>
    <definedName name="solver_nod" localSheetId="52" hidden="1">2147483647</definedName>
    <definedName name="solver_nod" localSheetId="136" hidden="1">2147483647</definedName>
    <definedName name="solver_nod" localSheetId="138" hidden="1">2147483647</definedName>
    <definedName name="solver_nod" localSheetId="140" hidden="1">2147483647</definedName>
    <definedName name="solver_nod" localSheetId="141" hidden="1">2147483647</definedName>
    <definedName name="solver_nod" localSheetId="4" hidden="1">2147483647</definedName>
    <definedName name="solver_nod" localSheetId="5" hidden="1">2147483647</definedName>
    <definedName name="solver_nod" localSheetId="17" hidden="1">2147483647</definedName>
    <definedName name="solver_nod" localSheetId="20" hidden="1">2147483647</definedName>
    <definedName name="solver_nod" localSheetId="27" hidden="1">2147483647</definedName>
    <definedName name="solver_nod" localSheetId="28" hidden="1">2147483647</definedName>
    <definedName name="solver_num" localSheetId="51" hidden="1">0</definedName>
    <definedName name="solver_num" localSheetId="52" hidden="1">0</definedName>
    <definedName name="solver_num" localSheetId="136" hidden="1">10</definedName>
    <definedName name="solver_num" localSheetId="138" hidden="1">0</definedName>
    <definedName name="solver_num" localSheetId="140" hidden="1">0</definedName>
    <definedName name="solver_num" localSheetId="141" hidden="1">0</definedName>
    <definedName name="solver_num" localSheetId="4" hidden="1">0</definedName>
    <definedName name="solver_num" localSheetId="5" hidden="1">0</definedName>
    <definedName name="solver_num" localSheetId="17" hidden="1">0</definedName>
    <definedName name="solver_num" localSheetId="20" hidden="1">0</definedName>
    <definedName name="solver_num" localSheetId="27" hidden="1">0</definedName>
    <definedName name="solver_num" localSheetId="28" hidden="1">0</definedName>
    <definedName name="solver_nwt" localSheetId="51" hidden="1">1</definedName>
    <definedName name="solver_nwt" localSheetId="52" hidden="1">1</definedName>
    <definedName name="solver_nwt" localSheetId="136" hidden="1">1</definedName>
    <definedName name="solver_nwt" localSheetId="138" hidden="1">1</definedName>
    <definedName name="solver_nwt" localSheetId="140" hidden="1">1</definedName>
    <definedName name="solver_nwt" localSheetId="141" hidden="1">1</definedName>
    <definedName name="solver_nwt" localSheetId="4" hidden="1">1</definedName>
    <definedName name="solver_nwt" localSheetId="5" hidden="1">1</definedName>
    <definedName name="solver_nwt" localSheetId="17" hidden="1">1</definedName>
    <definedName name="solver_nwt" localSheetId="20" hidden="1">1</definedName>
    <definedName name="solver_nwt" localSheetId="27" hidden="1">1</definedName>
    <definedName name="solver_nwt" localSheetId="28" hidden="1">1</definedName>
    <definedName name="solver_opt" localSheetId="51" hidden="1">'Cox Reg 4'!$M$22</definedName>
    <definedName name="solver_opt" localSheetId="52" hidden="1">'Cox Reg 5'!$M$22</definedName>
    <definedName name="solver_opt" localSheetId="136" hidden="1">'FIML 2a'!$E$24</definedName>
    <definedName name="solver_opt" localSheetId="138" hidden="1">'FIML 2c'!$P$24</definedName>
    <definedName name="solver_opt" localSheetId="140" hidden="1">'FIML 3a'!$E$24</definedName>
    <definedName name="solver_opt" localSheetId="141" hidden="1">'FIML 3b'!$P$24</definedName>
    <definedName name="solver_opt" localSheetId="4" hidden="1">'Logit 3'!$L$14</definedName>
    <definedName name="solver_opt" localSheetId="5" hidden="1">'Logit 3a'!$M$43</definedName>
    <definedName name="solver_opt" localSheetId="17" hidden="1">'MLogit 2'!$U$17</definedName>
    <definedName name="solver_opt" localSheetId="20" hidden="1">'MLogit 4'!#REF!</definedName>
    <definedName name="solver_opt" localSheetId="27" hidden="1">'OLogit 2'!$AD$13</definedName>
    <definedName name="solver_opt" localSheetId="28" hidden="1">'OLogit 3'!$AD$13</definedName>
    <definedName name="solver_pre" localSheetId="51" hidden="1">0.000001</definedName>
    <definedName name="solver_pre" localSheetId="52" hidden="1">0.000001</definedName>
    <definedName name="solver_pre" localSheetId="136" hidden="1">0.000001</definedName>
    <definedName name="solver_pre" localSheetId="138" hidden="1">0.000001</definedName>
    <definedName name="solver_pre" localSheetId="140" hidden="1">0.000001</definedName>
    <definedName name="solver_pre" localSheetId="141" hidden="1">0.000001</definedName>
    <definedName name="solver_pre" localSheetId="4" hidden="1">0.000001</definedName>
    <definedName name="solver_pre" localSheetId="5" hidden="1">0.000001</definedName>
    <definedName name="solver_pre" localSheetId="17" hidden="1">0.000001</definedName>
    <definedName name="solver_pre" localSheetId="20" hidden="1">0.000001</definedName>
    <definedName name="solver_pre" localSheetId="27" hidden="1">0.000001</definedName>
    <definedName name="solver_pre" localSheetId="28" hidden="1">0.000001</definedName>
    <definedName name="solver_rbv" localSheetId="51" hidden="1">1</definedName>
    <definedName name="solver_rbv" localSheetId="52" hidden="1">1</definedName>
    <definedName name="solver_rbv" localSheetId="136" hidden="1">1</definedName>
    <definedName name="solver_rbv" localSheetId="138" hidden="1">1</definedName>
    <definedName name="solver_rbv" localSheetId="140" hidden="1">1</definedName>
    <definedName name="solver_rbv" localSheetId="141" hidden="1">1</definedName>
    <definedName name="solver_rbv" localSheetId="4" hidden="1">1</definedName>
    <definedName name="solver_rbv" localSheetId="5" hidden="1">1</definedName>
    <definedName name="solver_rbv" localSheetId="17" hidden="1">1</definedName>
    <definedName name="solver_rbv" localSheetId="20" hidden="1">1</definedName>
    <definedName name="solver_rbv" localSheetId="27" hidden="1">1</definedName>
    <definedName name="solver_rbv" localSheetId="28" hidden="1">1</definedName>
    <definedName name="solver_rel1" localSheetId="136" hidden="1">3</definedName>
    <definedName name="solver_rel1" localSheetId="4" hidden="1">1</definedName>
    <definedName name="solver_rel1" localSheetId="28" hidden="1">3</definedName>
    <definedName name="solver_rel10" localSheetId="136" hidden="1">3</definedName>
    <definedName name="solver_rel10" localSheetId="4" hidden="1">3</definedName>
    <definedName name="solver_rel11" localSheetId="4" hidden="1">1</definedName>
    <definedName name="solver_rel12" localSheetId="4" hidden="1">3</definedName>
    <definedName name="solver_rel13" localSheetId="4" hidden="1">1</definedName>
    <definedName name="solver_rel14" localSheetId="4" hidden="1">3</definedName>
    <definedName name="solver_rel15" localSheetId="4" hidden="1">1</definedName>
    <definedName name="solver_rel16" localSheetId="4" hidden="1">3</definedName>
    <definedName name="solver_rel17" localSheetId="4" hidden="1">1</definedName>
    <definedName name="solver_rel18" localSheetId="4" hidden="1">3</definedName>
    <definedName name="solver_rel19" localSheetId="4" hidden="1">1</definedName>
    <definedName name="solver_rel2" localSheetId="136" hidden="1">3</definedName>
    <definedName name="solver_rel2" localSheetId="4" hidden="1">3</definedName>
    <definedName name="solver_rel20" localSheetId="4" hidden="1">3</definedName>
    <definedName name="solver_rel3" localSheetId="136" hidden="1">3</definedName>
    <definedName name="solver_rel3" localSheetId="4" hidden="1">1</definedName>
    <definedName name="solver_rel4" localSheetId="136" hidden="1">3</definedName>
    <definedName name="solver_rel4" localSheetId="4" hidden="1">3</definedName>
    <definedName name="solver_rel5" localSheetId="136" hidden="1">3</definedName>
    <definedName name="solver_rel5" localSheetId="4" hidden="1">1</definedName>
    <definedName name="solver_rel6" localSheetId="136" hidden="1">3</definedName>
    <definedName name="solver_rel6" localSheetId="4" hidden="1">3</definedName>
    <definedName name="solver_rel7" localSheetId="136" hidden="1">3</definedName>
    <definedName name="solver_rel7" localSheetId="4" hidden="1">1</definedName>
    <definedName name="solver_rel8" localSheetId="136" hidden="1">3</definedName>
    <definedName name="solver_rel8" localSheetId="4" hidden="1">3</definedName>
    <definedName name="solver_rel9" localSheetId="136" hidden="1">3</definedName>
    <definedName name="solver_rel9" localSheetId="4" hidden="1">1</definedName>
    <definedName name="solver_rhs1" localSheetId="136" hidden="1">0</definedName>
    <definedName name="solver_rhs1" localSheetId="4" hidden="1">1</definedName>
    <definedName name="solver_rhs1" localSheetId="28" hidden="1">0.0000001</definedName>
    <definedName name="solver_rhs10" localSheetId="136" hidden="1">0</definedName>
    <definedName name="solver_rhs10" localSheetId="4" hidden="1">0</definedName>
    <definedName name="solver_rhs11" localSheetId="4" hidden="1">1</definedName>
    <definedName name="solver_rhs12" localSheetId="4" hidden="1">0</definedName>
    <definedName name="solver_rhs13" localSheetId="4" hidden="1">1</definedName>
    <definedName name="solver_rhs14" localSheetId="4" hidden="1">0</definedName>
    <definedName name="solver_rhs15" localSheetId="4" hidden="1">1</definedName>
    <definedName name="solver_rhs16" localSheetId="4" hidden="1">0</definedName>
    <definedName name="solver_rhs17" localSheetId="4" hidden="1">1</definedName>
    <definedName name="solver_rhs18" localSheetId="4" hidden="1">0</definedName>
    <definedName name="solver_rhs19" localSheetId="4" hidden="1">1</definedName>
    <definedName name="solver_rhs2" localSheetId="136" hidden="1">0</definedName>
    <definedName name="solver_rhs2" localSheetId="4" hidden="1">0</definedName>
    <definedName name="solver_rhs20" localSheetId="4" hidden="1">0</definedName>
    <definedName name="solver_rhs3" localSheetId="136" hidden="1">0</definedName>
    <definedName name="solver_rhs3" localSheetId="4" hidden="1">1</definedName>
    <definedName name="solver_rhs4" localSheetId="136" hidden="1">0</definedName>
    <definedName name="solver_rhs4" localSheetId="4" hidden="1">0</definedName>
    <definedName name="solver_rhs5" localSheetId="136" hidden="1">0</definedName>
    <definedName name="solver_rhs5" localSheetId="4" hidden="1">1</definedName>
    <definedName name="solver_rhs6" localSheetId="136" hidden="1">0</definedName>
    <definedName name="solver_rhs6" localSheetId="4" hidden="1">0</definedName>
    <definedName name="solver_rhs7" localSheetId="136" hidden="1">0</definedName>
    <definedName name="solver_rhs7" localSheetId="4" hidden="1">1</definedName>
    <definedName name="solver_rhs8" localSheetId="136" hidden="1">0</definedName>
    <definedName name="solver_rhs8" localSheetId="4" hidden="1">0</definedName>
    <definedName name="solver_rhs9" localSheetId="136" hidden="1">0</definedName>
    <definedName name="solver_rhs9" localSheetId="4" hidden="1">1</definedName>
    <definedName name="solver_rlx" localSheetId="51" hidden="1">2</definedName>
    <definedName name="solver_rlx" localSheetId="52" hidden="1">2</definedName>
    <definedName name="solver_rlx" localSheetId="136" hidden="1">2</definedName>
    <definedName name="solver_rlx" localSheetId="138" hidden="1">2</definedName>
    <definedName name="solver_rlx" localSheetId="140" hidden="1">2</definedName>
    <definedName name="solver_rlx" localSheetId="141" hidden="1">2</definedName>
    <definedName name="solver_rlx" localSheetId="4" hidden="1">2</definedName>
    <definedName name="solver_rlx" localSheetId="5" hidden="1">2</definedName>
    <definedName name="solver_rlx" localSheetId="17" hidden="1">2</definedName>
    <definedName name="solver_rlx" localSheetId="20" hidden="1">2</definedName>
    <definedName name="solver_rlx" localSheetId="27" hidden="1">2</definedName>
    <definedName name="solver_rlx" localSheetId="28" hidden="1">2</definedName>
    <definedName name="solver_rsd" localSheetId="51" hidden="1">0</definedName>
    <definedName name="solver_rsd" localSheetId="52" hidden="1">0</definedName>
    <definedName name="solver_rsd" localSheetId="136" hidden="1">0</definedName>
    <definedName name="solver_rsd" localSheetId="138" hidden="1">0</definedName>
    <definedName name="solver_rsd" localSheetId="140" hidden="1">0</definedName>
    <definedName name="solver_rsd" localSheetId="141" hidden="1">0</definedName>
    <definedName name="solver_rsd" localSheetId="4" hidden="1">0</definedName>
    <definedName name="solver_rsd" localSheetId="5" hidden="1">0</definedName>
    <definedName name="solver_rsd" localSheetId="17" hidden="1">0</definedName>
    <definedName name="solver_rsd" localSheetId="20" hidden="1">0</definedName>
    <definedName name="solver_rsd" localSheetId="27" hidden="1">0</definedName>
    <definedName name="solver_rsd" localSheetId="28" hidden="1">0</definedName>
    <definedName name="solver_scl" localSheetId="51" hidden="1">1</definedName>
    <definedName name="solver_scl" localSheetId="52" hidden="1">1</definedName>
    <definedName name="solver_scl" localSheetId="136" hidden="1">1</definedName>
    <definedName name="solver_scl" localSheetId="138" hidden="1">1</definedName>
    <definedName name="solver_scl" localSheetId="140" hidden="1">1</definedName>
    <definedName name="solver_scl" localSheetId="141" hidden="1">1</definedName>
    <definedName name="solver_scl" localSheetId="4" hidden="1">1</definedName>
    <definedName name="solver_scl" localSheetId="5" hidden="1">1</definedName>
    <definedName name="solver_scl" localSheetId="17" hidden="1">1</definedName>
    <definedName name="solver_scl" localSheetId="20" hidden="1">1</definedName>
    <definedName name="solver_scl" localSheetId="27" hidden="1">1</definedName>
    <definedName name="solver_scl" localSheetId="28" hidden="1">1</definedName>
    <definedName name="solver_sho" localSheetId="51" hidden="1">2</definedName>
    <definedName name="solver_sho" localSheetId="52" hidden="1">2</definedName>
    <definedName name="solver_sho" localSheetId="136" hidden="1">2</definedName>
    <definedName name="solver_sho" localSheetId="138" hidden="1">2</definedName>
    <definedName name="solver_sho" localSheetId="140" hidden="1">2</definedName>
    <definedName name="solver_sho" localSheetId="141" hidden="1">2</definedName>
    <definedName name="solver_sho" localSheetId="4" hidden="1">2</definedName>
    <definedName name="solver_sho" localSheetId="5" hidden="1">2</definedName>
    <definedName name="solver_sho" localSheetId="17" hidden="1">2</definedName>
    <definedName name="solver_sho" localSheetId="20" hidden="1">2</definedName>
    <definedName name="solver_sho" localSheetId="27" hidden="1">2</definedName>
    <definedName name="solver_sho" localSheetId="28" hidden="1">2</definedName>
    <definedName name="solver_ssz" localSheetId="51" hidden="1">100</definedName>
    <definedName name="solver_ssz" localSheetId="52" hidden="1">100</definedName>
    <definedName name="solver_ssz" localSheetId="136" hidden="1">100</definedName>
    <definedName name="solver_ssz" localSheetId="138" hidden="1">100</definedName>
    <definedName name="solver_ssz" localSheetId="140" hidden="1">100</definedName>
    <definedName name="solver_ssz" localSheetId="141" hidden="1">100</definedName>
    <definedName name="solver_ssz" localSheetId="4" hidden="1">100</definedName>
    <definedName name="solver_ssz" localSheetId="5" hidden="1">100</definedName>
    <definedName name="solver_ssz" localSheetId="17" hidden="1">100</definedName>
    <definedName name="solver_ssz" localSheetId="20" hidden="1">100</definedName>
    <definedName name="solver_ssz" localSheetId="27" hidden="1">100</definedName>
    <definedName name="solver_ssz" localSheetId="28" hidden="1">100</definedName>
    <definedName name="solver_tim" localSheetId="51" hidden="1">2147483647</definedName>
    <definedName name="solver_tim" localSheetId="52" hidden="1">2147483647</definedName>
    <definedName name="solver_tim" localSheetId="136" hidden="1">2147483647</definedName>
    <definedName name="solver_tim" localSheetId="138" hidden="1">2147483647</definedName>
    <definedName name="solver_tim" localSheetId="140" hidden="1">2147483647</definedName>
    <definedName name="solver_tim" localSheetId="141" hidden="1">2147483647</definedName>
    <definedName name="solver_tim" localSheetId="4" hidden="1">2147483647</definedName>
    <definedName name="solver_tim" localSheetId="5" hidden="1">2147483647</definedName>
    <definedName name="solver_tim" localSheetId="17" hidden="1">2147483647</definedName>
    <definedName name="solver_tim" localSheetId="20" hidden="1">2147483647</definedName>
    <definedName name="solver_tim" localSheetId="27" hidden="1">2147483647</definedName>
    <definedName name="solver_tim" localSheetId="28" hidden="1">2147483647</definedName>
    <definedName name="solver_tol" localSheetId="51" hidden="1">0.01</definedName>
    <definedName name="solver_tol" localSheetId="52" hidden="1">0.01</definedName>
    <definedName name="solver_tol" localSheetId="136" hidden="1">0.01</definedName>
    <definedName name="solver_tol" localSheetId="138" hidden="1">0.01</definedName>
    <definedName name="solver_tol" localSheetId="140" hidden="1">0.01</definedName>
    <definedName name="solver_tol" localSheetId="141" hidden="1">0.01</definedName>
    <definedName name="solver_tol" localSheetId="4" hidden="1">0.01</definedName>
    <definedName name="solver_tol" localSheetId="5" hidden="1">0.01</definedName>
    <definedName name="solver_tol" localSheetId="17" hidden="1">0.01</definedName>
    <definedName name="solver_tol" localSheetId="20" hidden="1">0.01</definedName>
    <definedName name="solver_tol" localSheetId="27" hidden="1">0.01</definedName>
    <definedName name="solver_tol" localSheetId="28" hidden="1">0.01</definedName>
    <definedName name="solver_typ" localSheetId="51" hidden="1">1</definedName>
    <definedName name="solver_typ" localSheetId="52" hidden="1">1</definedName>
    <definedName name="solver_typ" localSheetId="136" hidden="1">2</definedName>
    <definedName name="solver_typ" localSheetId="138" hidden="1">2</definedName>
    <definedName name="solver_typ" localSheetId="140" hidden="1">2</definedName>
    <definedName name="solver_typ" localSheetId="141" hidden="1">2</definedName>
    <definedName name="solver_typ" localSheetId="4" hidden="1">1</definedName>
    <definedName name="solver_typ" localSheetId="5" hidden="1">1</definedName>
    <definedName name="solver_typ" localSheetId="17" hidden="1">1</definedName>
    <definedName name="solver_typ" localSheetId="20" hidden="1">1</definedName>
    <definedName name="solver_typ" localSheetId="27" hidden="1">1</definedName>
    <definedName name="solver_typ" localSheetId="28" hidden="1">1</definedName>
    <definedName name="solver_val" localSheetId="51" hidden="1">0</definedName>
    <definedName name="solver_val" localSheetId="52" hidden="1">0</definedName>
    <definedName name="solver_val" localSheetId="136" hidden="1">0</definedName>
    <definedName name="solver_val" localSheetId="138" hidden="1">0</definedName>
    <definedName name="solver_val" localSheetId="140" hidden="1">0</definedName>
    <definedName name="solver_val" localSheetId="141" hidden="1">0</definedName>
    <definedName name="solver_val" localSheetId="4" hidden="1">0</definedName>
    <definedName name="solver_val" localSheetId="5" hidden="1">0</definedName>
    <definedName name="solver_val" localSheetId="17" hidden="1">0</definedName>
    <definedName name="solver_val" localSheetId="20" hidden="1">0</definedName>
    <definedName name="solver_val" localSheetId="27" hidden="1">0</definedName>
    <definedName name="solver_val" localSheetId="28" hidden="1">0</definedName>
    <definedName name="solver_ver" localSheetId="51" hidden="1">3</definedName>
    <definedName name="solver_ver" localSheetId="52" hidden="1">3</definedName>
    <definedName name="solver_ver" localSheetId="136" hidden="1">3</definedName>
    <definedName name="solver_ver" localSheetId="138" hidden="1">3</definedName>
    <definedName name="solver_ver" localSheetId="140" hidden="1">3</definedName>
    <definedName name="solver_ver" localSheetId="141" hidden="1">3</definedName>
    <definedName name="solver_ver" localSheetId="4" hidden="1">3</definedName>
    <definedName name="solver_ver" localSheetId="5" hidden="1">3</definedName>
    <definedName name="solver_ver" localSheetId="17" hidden="1">3</definedName>
    <definedName name="solver_ver" localSheetId="20" hidden="1">3</definedName>
    <definedName name="solver_ver" localSheetId="27" hidden="1">3</definedName>
    <definedName name="solver_ver" localSheetId="28" hidden="1">3</definedName>
  </definedNames>
  <calcPr calcId="152511"/>
</workbook>
</file>

<file path=xl/calcChain.xml><?xml version="1.0" encoding="utf-8"?>
<calcChain xmlns="http://schemas.openxmlformats.org/spreadsheetml/2006/main">
  <c r="Q26" i="808" l="1"/>
  <c r="Q23" i="808" a="1"/>
  <c r="Q23" i="808" s="1"/>
  <c r="B19" i="808"/>
  <c r="A19" i="808"/>
  <c r="AD18" i="808"/>
  <c r="T18" i="808"/>
  <c r="K18" i="808"/>
  <c r="J18" i="808"/>
  <c r="S18" i="808" s="1"/>
  <c r="I18" i="808"/>
  <c r="P18" i="808" s="1"/>
  <c r="K17" i="808"/>
  <c r="J17" i="808"/>
  <c r="W17" i="808" s="1"/>
  <c r="I17" i="808"/>
  <c r="P17" i="808" s="1"/>
  <c r="Q17" i="808" s="1"/>
  <c r="AE17" i="808" s="1"/>
  <c r="S16" i="808"/>
  <c r="K16" i="808"/>
  <c r="J16" i="808"/>
  <c r="I16" i="808"/>
  <c r="P16" i="808" s="1"/>
  <c r="AD15" i="808"/>
  <c r="T15" i="808"/>
  <c r="S15" i="808"/>
  <c r="K15" i="808"/>
  <c r="J15" i="808"/>
  <c r="U15" i="808" s="1"/>
  <c r="I15" i="808"/>
  <c r="P15" i="808" s="1"/>
  <c r="Q15" i="808" s="1"/>
  <c r="AE15" i="808" s="1"/>
  <c r="U14" i="808"/>
  <c r="K14" i="808"/>
  <c r="J14" i="808"/>
  <c r="I14" i="808"/>
  <c r="P14" i="808" s="1"/>
  <c r="AI14" i="808" s="1"/>
  <c r="AD13" i="808"/>
  <c r="T13" i="808"/>
  <c r="K13" i="808"/>
  <c r="J13" i="808"/>
  <c r="S13" i="808" s="1"/>
  <c r="I13" i="808"/>
  <c r="P13" i="808" s="1"/>
  <c r="U12" i="808"/>
  <c r="K12" i="808"/>
  <c r="J12" i="808"/>
  <c r="AD12" i="808" s="1"/>
  <c r="I12" i="808"/>
  <c r="P12" i="808" s="1"/>
  <c r="Q12" i="808" s="1"/>
  <c r="S11" i="808"/>
  <c r="K11" i="808"/>
  <c r="J11" i="808"/>
  <c r="U11" i="808" s="1"/>
  <c r="I11" i="808"/>
  <c r="P11" i="808" s="1"/>
  <c r="AD10" i="808"/>
  <c r="T10" i="808"/>
  <c r="S10" i="808"/>
  <c r="P10" i="808"/>
  <c r="AI10" i="808" s="1"/>
  <c r="K10" i="808"/>
  <c r="J10" i="808"/>
  <c r="I10" i="808"/>
  <c r="N9" i="808"/>
  <c r="K9" i="808"/>
  <c r="J9" i="808"/>
  <c r="U9" i="808" s="1"/>
  <c r="I9" i="808"/>
  <c r="P9" i="808" s="1"/>
  <c r="AP8" i="808"/>
  <c r="S8" i="808"/>
  <c r="P8" i="808"/>
  <c r="AI8" i="808" s="1"/>
  <c r="K8" i="808"/>
  <c r="J8" i="808"/>
  <c r="I8" i="808"/>
  <c r="AP7" i="808"/>
  <c r="AI7" i="808"/>
  <c r="P7" i="808"/>
  <c r="Q7" i="808" s="1"/>
  <c r="K7" i="808"/>
  <c r="J7" i="808"/>
  <c r="U7" i="808" s="1"/>
  <c r="I7" i="808"/>
  <c r="AP6" i="808"/>
  <c r="K6" i="808"/>
  <c r="J6" i="808"/>
  <c r="AD6" i="808" s="1"/>
  <c r="I6" i="808"/>
  <c r="P6" i="808" s="1"/>
  <c r="AP5" i="808"/>
  <c r="N5" i="808"/>
  <c r="K5" i="808"/>
  <c r="J5" i="808"/>
  <c r="AD5" i="808" s="1"/>
  <c r="I5" i="808"/>
  <c r="P5" i="808" s="1"/>
  <c r="AP4" i="808"/>
  <c r="N4" i="808"/>
  <c r="N6" i="808" s="1"/>
  <c r="K4" i="808"/>
  <c r="J4" i="808"/>
  <c r="J19" i="808" s="1"/>
  <c r="I4" i="808"/>
  <c r="P4" i="808" s="1"/>
  <c r="P23" i="528"/>
  <c r="P10" i="528"/>
  <c r="AC19" i="522" a="1"/>
  <c r="E7" i="522"/>
  <c r="E8" i="518" a="1"/>
  <c r="P20" i="529" a="1"/>
  <c r="F5" i="529" a="1"/>
  <c r="P18" i="528"/>
  <c r="P5" i="528"/>
  <c r="E16" i="522"/>
  <c r="E23" i="518" a="1"/>
  <c r="E15" i="518" a="1"/>
  <c r="P7" i="529" a="1"/>
  <c r="P12" i="528"/>
  <c r="E19" i="522"/>
  <c r="E5" i="522"/>
  <c r="E7" i="518" a="1"/>
  <c r="P19" i="529" a="1"/>
  <c r="P4" i="529" a="1"/>
  <c r="E8" i="522"/>
  <c r="E20" i="527" a="1"/>
  <c r="E13" i="517" a="1"/>
  <c r="E5" i="517" a="1"/>
  <c r="E17" i="516" a="1"/>
  <c r="E18" i="522"/>
  <c r="G13" i="527" a="1"/>
  <c r="E6" i="527" a="1"/>
  <c r="E18" i="517" a="1"/>
  <c r="E11" i="516" a="1"/>
  <c r="G4" i="515" a="1"/>
  <c r="E22" i="518" a="1"/>
  <c r="E17" i="527" a="1"/>
  <c r="E10" i="517" a="1"/>
  <c r="E22" i="516" a="1"/>
  <c r="E14" i="516" a="1"/>
  <c r="E23" i="517" a="1"/>
  <c r="Z25" i="531" a="1"/>
  <c r="E15" i="517" a="1"/>
  <c r="AO25" i="531" a="1"/>
  <c r="E10" i="516" a="1"/>
  <c r="P8" i="529" a="1"/>
  <c r="K25" i="531" a="1"/>
  <c r="A25" i="531" a="1"/>
  <c r="AJ25" i="523" a="1"/>
  <c r="L14" i="530" a="1"/>
  <c r="L20" i="530" a="1"/>
  <c r="F25" i="523" a="1"/>
  <c r="Z3" i="523" a="1"/>
  <c r="AF25" i="508" a="1"/>
  <c r="AO3" i="523" a="1"/>
  <c r="AJ3" i="523" a="1"/>
  <c r="A25" i="523" a="1"/>
  <c r="Z4" i="510" a="1"/>
  <c r="AF15" i="508" a="1"/>
  <c r="S3" i="509" a="1"/>
  <c r="N25" i="508" a="1"/>
  <c r="N3" i="509" a="1"/>
  <c r="U10" i="514" a="1"/>
  <c r="K36" i="479"/>
  <c r="AD49" i="290"/>
  <c r="I31" i="290"/>
  <c r="AF9" i="290" a="1"/>
  <c r="I40" i="756"/>
  <c r="R26" i="756"/>
  <c r="R8" i="765"/>
  <c r="Q15" i="767"/>
  <c r="M16" i="619" a="1"/>
  <c r="J75" i="620"/>
  <c r="J51" i="620"/>
  <c r="J9" i="620"/>
  <c r="G13" i="388"/>
  <c r="X7" i="388"/>
  <c r="K26" i="793"/>
  <c r="K27" i="794"/>
  <c r="AF242" i="795"/>
  <c r="Z213" i="795" a="1"/>
  <c r="AF167" i="795"/>
  <c r="G5" i="504" a="1"/>
  <c r="H52" i="479" a="1"/>
  <c r="AD56" i="290"/>
  <c r="N39" i="290"/>
  <c r="AD30" i="290"/>
  <c r="D14" i="680"/>
  <c r="K36" i="756"/>
  <c r="K26" i="756"/>
  <c r="P13" i="765" a="1"/>
  <c r="Q10" i="767"/>
  <c r="K9" i="619"/>
  <c r="H63" i="620"/>
  <c r="J30" i="620"/>
  <c r="J4" i="620"/>
  <c r="H11" i="388"/>
  <c r="H6" i="388"/>
  <c r="V19" i="793"/>
  <c r="J21" i="794" a="1"/>
  <c r="N3" i="505" a="1"/>
  <c r="K52" i="479"/>
  <c r="AD60" i="290"/>
  <c r="N42" i="290"/>
  <c r="N32" i="290"/>
  <c r="C14" i="680"/>
  <c r="R29" i="756"/>
  <c r="R16" i="756"/>
  <c r="Q17" i="767"/>
  <c r="AB13" i="308"/>
  <c r="J77" i="620"/>
  <c r="J53" i="620"/>
  <c r="J7" i="620"/>
  <c r="H12" i="388"/>
  <c r="H7" i="388"/>
  <c r="U25" i="793"/>
  <c r="K13" i="793" a="1"/>
  <c r="U26" i="794"/>
  <c r="AF217" i="795"/>
  <c r="AF169" i="795"/>
  <c r="R18" i="756"/>
  <c r="G22" i="388"/>
  <c r="Q12" i="793"/>
  <c r="AF216" i="795"/>
  <c r="AF144" i="795"/>
  <c r="AF111" i="795"/>
  <c r="AF56" i="795"/>
  <c r="AF22" i="795"/>
  <c r="V57" i="302"/>
  <c r="CO18" i="302"/>
  <c r="AM5" i="300" a="1"/>
  <c r="AG21" i="736"/>
  <c r="P19" i="528"/>
  <c r="P6" i="528"/>
  <c r="E17" i="522"/>
  <c r="G13" i="518" a="1"/>
  <c r="E6" i="518" a="1"/>
  <c r="P18" i="529" a="1"/>
  <c r="E23" i="527" a="1"/>
  <c r="P14" i="528"/>
  <c r="P4" i="528"/>
  <c r="G13" i="522" a="1"/>
  <c r="E21" i="518" a="1"/>
  <c r="P13" i="529" a="1"/>
  <c r="P5" i="529" a="1"/>
  <c r="P8" i="528"/>
  <c r="E15" i="522"/>
  <c r="E13" i="518" a="1"/>
  <c r="E5" i="518" a="1"/>
  <c r="P17" i="529" a="1"/>
  <c r="O27" i="527" a="1"/>
  <c r="E18" i="518" a="1"/>
  <c r="E18" i="527" a="1"/>
  <c r="E11" i="517" a="1"/>
  <c r="E23" i="516" a="1"/>
  <c r="E15" i="516" a="1"/>
  <c r="E4" i="522"/>
  <c r="E12" i="527" a="1"/>
  <c r="E4" i="527" a="1"/>
  <c r="E16" i="517" a="1"/>
  <c r="E9" i="516" a="1"/>
  <c r="P16" i="528"/>
  <c r="E14" i="518" a="1"/>
  <c r="E15" i="527" a="1"/>
  <c r="E8" i="517" a="1"/>
  <c r="E20" i="516" a="1"/>
  <c r="G20" i="515" a="1"/>
  <c r="E17" i="517" a="1"/>
  <c r="F25" i="531" a="1"/>
  <c r="E12" i="516" a="1"/>
  <c r="U25" i="531" a="1"/>
  <c r="AJ25" i="531" a="1"/>
  <c r="E5" i="527" a="1"/>
  <c r="AT3" i="531" a="1"/>
  <c r="AO3" i="531" a="1"/>
  <c r="P25" i="523" a="1"/>
  <c r="L5" i="530" a="1"/>
  <c r="T6" i="530" a="1"/>
  <c r="E8" i="516" a="1"/>
  <c r="F3" i="523" a="1"/>
  <c r="H25" i="508" a="1"/>
  <c r="U3" i="523" a="1"/>
  <c r="P3" i="523" a="1"/>
  <c r="G12" i="511" a="1"/>
  <c r="M12" i="509" a="1"/>
  <c r="N25" i="510" a="1"/>
  <c r="Z3" i="531" a="1"/>
  <c r="H25" i="510" a="1"/>
  <c r="K3" i="523" a="1"/>
  <c r="S19" i="499" a="1"/>
  <c r="K32" i="479"/>
  <c r="N40" i="290"/>
  <c r="AD26" i="290"/>
  <c r="G8" i="680"/>
  <c r="R32" i="756"/>
  <c r="R24" i="756"/>
  <c r="W7" i="765" a="1"/>
  <c r="Q11" i="767"/>
  <c r="K10" i="619"/>
  <c r="J63" i="620"/>
  <c r="J31" i="620"/>
  <c r="J5" i="620"/>
  <c r="I11" i="388"/>
  <c r="I6" i="388"/>
  <c r="U20" i="793"/>
  <c r="V25" i="794"/>
  <c r="Z240" i="795" a="1"/>
  <c r="AF179" i="795"/>
  <c r="AE23" i="510" a="1"/>
  <c r="J19" i="499" a="1"/>
  <c r="K39" i="479"/>
  <c r="AD52" i="290"/>
  <c r="AA38" i="290" a="1"/>
  <c r="AD24" i="290"/>
  <c r="K47" i="756"/>
  <c r="K32" i="756"/>
  <c r="K22" i="756"/>
  <c r="AH7" i="765" a="1"/>
  <c r="O7" i="767"/>
  <c r="K5" i="619"/>
  <c r="H60" i="620"/>
  <c r="H16" i="620"/>
  <c r="H15" i="388"/>
  <c r="G10" i="388"/>
  <c r="G5" i="388"/>
  <c r="Q10" i="793"/>
  <c r="U19" i="794"/>
  <c r="G11" i="504" a="1"/>
  <c r="I50" i="479"/>
  <c r="AD55" i="290"/>
  <c r="AD38" i="290"/>
  <c r="AD29" i="290"/>
  <c r="I41" i="756"/>
  <c r="R27" i="756"/>
  <c r="AK11" i="765"/>
  <c r="Q13" i="767"/>
  <c r="S15" i="619" a="1"/>
  <c r="J64" i="620"/>
  <c r="J34" i="620"/>
  <c r="G23" i="388"/>
  <c r="G11" i="388"/>
  <c r="G6" i="388"/>
  <c r="J21" i="793" a="1"/>
  <c r="Q8" i="793"/>
  <c r="V20" i="794"/>
  <c r="AF181" i="795"/>
  <c r="K33" i="479"/>
  <c r="Q12" i="767"/>
  <c r="I10" i="388"/>
  <c r="K26" i="794"/>
  <c r="AF180" i="795"/>
  <c r="AF140" i="795"/>
  <c r="AF88" i="795"/>
  <c r="AF34" i="795"/>
  <c r="AF18" i="795"/>
  <c r="AO40" i="302"/>
  <c r="AR6" i="302" a="1"/>
  <c r="U22" i="723"/>
  <c r="AH10" i="754"/>
  <c r="P15" i="528"/>
  <c r="F5" i="528" a="1"/>
  <c r="E14" i="522"/>
  <c r="E12" i="518" a="1"/>
  <c r="E4" i="518" a="1"/>
  <c r="P16" i="529" a="1"/>
  <c r="E21" i="527" a="1"/>
  <c r="P13" i="528"/>
  <c r="E22" i="522"/>
  <c r="E10" i="522"/>
  <c r="E19" i="518" a="1"/>
  <c r="P11" i="529" a="1"/>
  <c r="P21" i="528"/>
  <c r="N28" i="522" a="1"/>
  <c r="E13" i="522"/>
  <c r="E11" i="518" a="1"/>
  <c r="P23" i="529" a="1"/>
  <c r="P15" i="529" a="1"/>
  <c r="E22" i="527" a="1"/>
  <c r="R13" i="529" a="1"/>
  <c r="E16" i="527" a="1"/>
  <c r="E9" i="517" a="1"/>
  <c r="E21" i="516" a="1"/>
  <c r="P20" i="528"/>
  <c r="E16" i="518" a="1"/>
  <c r="E10" i="527" a="1"/>
  <c r="E22" i="517" a="1"/>
  <c r="E14" i="517" a="1"/>
  <c r="E7" i="516" a="1"/>
  <c r="P11" i="528"/>
  <c r="P10" i="529" a="1"/>
  <c r="G13" i="517" a="1"/>
  <c r="E6" i="517" a="1"/>
  <c r="E18" i="516" a="1"/>
  <c r="AT25" i="531" a="1"/>
  <c r="G13" i="516" a="1"/>
  <c r="E9" i="527" a="1"/>
  <c r="E4" i="516" a="1"/>
  <c r="E12" i="522"/>
  <c r="P25" i="531" a="1"/>
  <c r="AE3" i="531" a="1"/>
  <c r="E20" i="518" a="1"/>
  <c r="U3" i="531" a="1"/>
  <c r="E13" i="527" a="1"/>
  <c r="AJ3" i="531" a="1"/>
  <c r="AT25" i="523" a="1"/>
  <c r="AE25" i="523" a="1"/>
  <c r="G18" i="511" a="1"/>
  <c r="AO25" i="523" a="1"/>
  <c r="A3" i="523" a="1"/>
  <c r="T25" i="508" a="1"/>
  <c r="G3" i="511" a="1"/>
  <c r="N3" i="507" a="1"/>
  <c r="T4" i="510" a="1"/>
  <c r="A3" i="531" a="1"/>
  <c r="N4" i="510" a="1"/>
  <c r="H4" i="510" a="1"/>
  <c r="R5" i="671" a="1"/>
  <c r="AD57" i="290"/>
  <c r="AB36" i="290"/>
  <c r="AD21" i="290"/>
  <c r="H47" i="756" a="1"/>
  <c r="R30" i="756"/>
  <c r="R17" i="756"/>
  <c r="Q7" i="765" a="1"/>
  <c r="Q7" i="767"/>
  <c r="K6" i="619"/>
  <c r="J60" i="620"/>
  <c r="H17" i="620"/>
  <c r="I15" i="388"/>
  <c r="H10" i="388"/>
  <c r="H5" i="388"/>
  <c r="K20" i="793" a="1"/>
  <c r="V19" i="794"/>
  <c r="AF219" i="795"/>
  <c r="AF175" i="795"/>
  <c r="O19" i="514" a="1"/>
  <c r="H5" i="670" a="1"/>
  <c r="K35" i="479"/>
  <c r="N43" i="290"/>
  <c r="N36" i="290"/>
  <c r="AD20" i="290"/>
  <c r="K43" i="756"/>
  <c r="K30" i="756"/>
  <c r="P17" i="756"/>
  <c r="L3" i="765" a="1"/>
  <c r="M15" i="594"/>
  <c r="J79" i="620"/>
  <c r="J54" i="620"/>
  <c r="Q15" i="620" a="1"/>
  <c r="G14" i="388"/>
  <c r="I8" i="388"/>
  <c r="K27" i="793"/>
  <c r="V26" i="794"/>
  <c r="H4" i="506" a="1"/>
  <c r="K19" i="499" a="1"/>
  <c r="K38" i="479"/>
  <c r="AD51" i="290"/>
  <c r="N38" i="290"/>
  <c r="AD23" i="290"/>
  <c r="K35" i="756"/>
  <c r="R25" i="756"/>
  <c r="AF7" i="765" a="1"/>
  <c r="Q8" i="767"/>
  <c r="T7" i="619"/>
  <c r="J61" i="620"/>
  <c r="J29" i="620"/>
  <c r="G15" i="388"/>
  <c r="I9" i="388"/>
  <c r="I4" i="388"/>
  <c r="U19" i="793"/>
  <c r="J7" i="793" a="1"/>
  <c r="Q12" i="794"/>
  <c r="AF177" i="795"/>
  <c r="AD27" i="290"/>
  <c r="J81" i="620"/>
  <c r="I5" i="388"/>
  <c r="Q11" i="794"/>
  <c r="AF172" i="795"/>
  <c r="AF136" i="795"/>
  <c r="AF64" i="795"/>
  <c r="AF30" i="795"/>
  <c r="I26" i="590"/>
  <c r="AC25" i="302"/>
  <c r="AZ15" i="300"/>
  <c r="H30" i="297" a="1"/>
  <c r="G3" i="749" a="1"/>
  <c r="E10" i="518" a="1"/>
  <c r="P9" i="528"/>
  <c r="P9" i="529" a="1"/>
  <c r="E9" i="518" a="1"/>
  <c r="P6" i="529" a="1"/>
  <c r="F14" i="528" a="1"/>
  <c r="E13" i="516" a="1"/>
  <c r="E12" i="517" a="1"/>
  <c r="E6" i="516" a="1"/>
  <c r="P7" i="528"/>
  <c r="K3" i="531" a="1"/>
  <c r="O4" i="511" a="1"/>
  <c r="T25" i="510" a="1"/>
  <c r="M30" i="509" a="1"/>
  <c r="N34" i="290"/>
  <c r="P12" i="756"/>
  <c r="J56" i="620"/>
  <c r="G4" i="388"/>
  <c r="AF171" i="795"/>
  <c r="AA42" i="290" a="1"/>
  <c r="K28" i="756"/>
  <c r="J74" i="620"/>
  <c r="I7" i="388"/>
  <c r="K56" i="479"/>
  <c r="AD19" i="290"/>
  <c r="Q6" i="767"/>
  <c r="I13" i="388"/>
  <c r="K6" i="793" a="1"/>
  <c r="J57" i="620"/>
  <c r="AF132" i="795"/>
  <c r="AC20" i="302"/>
  <c r="AD20" i="741"/>
  <c r="T7" i="595"/>
  <c r="AH3" i="702"/>
  <c r="AT7" i="697"/>
  <c r="AI10" i="256"/>
  <c r="AD59" i="290"/>
  <c r="K29" i="756"/>
  <c r="J76" i="620"/>
  <c r="H4" i="388"/>
  <c r="AF241" i="795"/>
  <c r="AF143" i="795"/>
  <c r="AF91" i="795"/>
  <c r="AF55" i="795"/>
  <c r="AF21" i="795"/>
  <c r="V25" i="590"/>
  <c r="AR33" i="302" a="1"/>
  <c r="AZ6" i="300"/>
  <c r="L3" i="298" a="1"/>
  <c r="AG10" i="754"/>
  <c r="N10" i="744" a="1"/>
  <c r="L3" i="591" a="1"/>
  <c r="S7" i="595"/>
  <c r="T8" i="700"/>
  <c r="U8" i="711" a="1"/>
  <c r="AD10" i="256"/>
  <c r="N35" i="290"/>
  <c r="Q19" i="767"/>
  <c r="J33" i="620"/>
  <c r="U26" i="793"/>
  <c r="AF168" i="795"/>
  <c r="AF134" i="795"/>
  <c r="AF58" i="795"/>
  <c r="AF24" i="795"/>
  <c r="Q7" i="590"/>
  <c r="AC19" i="302"/>
  <c r="AZ5" i="300"/>
  <c r="A22" i="298" a="1"/>
  <c r="AX10" i="738"/>
  <c r="AA20" i="741"/>
  <c r="V7" i="595"/>
  <c r="T14" i="700"/>
  <c r="E8" i="711" a="1"/>
  <c r="W14" i="256"/>
  <c r="J6" i="620"/>
  <c r="Z87" i="795" a="1"/>
  <c r="AJ21" i="736"/>
  <c r="W33" i="256"/>
  <c r="K32" i="476" a="1"/>
  <c r="K14" i="470" a="1"/>
  <c r="H22" i="467" a="1"/>
  <c r="V4" i="467" a="1"/>
  <c r="Y6" i="465" a="1"/>
  <c r="AK5" i="790" a="1"/>
  <c r="K25" i="472"/>
  <c r="Q96" i="463" a="1"/>
  <c r="AD31" i="290"/>
  <c r="E5" i="793" a="1"/>
  <c r="AF89" i="795"/>
  <c r="U26" i="590"/>
  <c r="AJ26" i="300" a="1"/>
  <c r="E5" i="597" a="1"/>
  <c r="AN10" i="256"/>
  <c r="AR10" i="808"/>
  <c r="M16" i="477" a="1"/>
  <c r="P5" i="668" a="1"/>
  <c r="U19" i="467"/>
  <c r="AB6" i="468" a="1"/>
  <c r="H29" i="465" a="1"/>
  <c r="K20" i="472"/>
  <c r="G7" i="388"/>
  <c r="AF61" i="795"/>
  <c r="AN35" i="302"/>
  <c r="M7" i="744" a="1"/>
  <c r="M11" i="798" a="1"/>
  <c r="BE12" i="808" a="1"/>
  <c r="N19" i="474" a="1"/>
  <c r="E14" i="470" a="1"/>
  <c r="F6" i="792" a="1"/>
  <c r="H15" i="467" a="1"/>
  <c r="J4" i="467" a="1"/>
  <c r="H19" i="791" a="1"/>
  <c r="B105" i="463" a="1"/>
  <c r="AN9" i="734"/>
  <c r="Q28" i="477" a="1"/>
  <c r="R8" i="467" a="1"/>
  <c r="AA23" i="466" a="1"/>
  <c r="O13" i="472" a="1"/>
  <c r="P50" i="462"/>
  <c r="N25" i="461" a="1"/>
  <c r="V6" i="460" a="1"/>
  <c r="AA11" i="467" a="1"/>
  <c r="G4" i="702" a="1"/>
  <c r="G7" i="668" a="1"/>
  <c r="I22" i="466" a="1"/>
  <c r="K26" i="472"/>
  <c r="H21" i="463" a="1"/>
  <c r="R13" i="528" a="1"/>
  <c r="P22" i="529" a="1"/>
  <c r="AB19" i="522" a="1"/>
  <c r="P17" i="528"/>
  <c r="P21" i="529" a="1"/>
  <c r="E14" i="527" a="1"/>
  <c r="P12" i="529" a="1"/>
  <c r="E5" i="516" a="1"/>
  <c r="E4" i="517" a="1"/>
  <c r="E21" i="517" a="1"/>
  <c r="E19" i="517" a="1"/>
  <c r="F3" i="531" a="1"/>
  <c r="U25" i="523" a="1"/>
  <c r="Z25" i="508" a="1"/>
  <c r="N3" i="506" a="1"/>
  <c r="AD17" i="290"/>
  <c r="Q18" i="767"/>
  <c r="L16" i="620" a="1"/>
  <c r="Q11" i="793"/>
  <c r="U4" i="514" a="1"/>
  <c r="N33" i="290"/>
  <c r="P20" i="765" a="1"/>
  <c r="J35" i="620"/>
  <c r="V25" i="793"/>
  <c r="K34" i="479"/>
  <c r="R31" i="756"/>
  <c r="K4" i="619"/>
  <c r="H8" i="388"/>
  <c r="AF221" i="795"/>
  <c r="V20" i="793"/>
  <c r="AF60" i="795"/>
  <c r="AZ7" i="300"/>
  <c r="K3" i="591" a="1"/>
  <c r="S4" i="712" a="1"/>
  <c r="T10" i="700"/>
  <c r="D6" i="709" a="1"/>
  <c r="K9" i="800" a="1"/>
  <c r="N37" i="290"/>
  <c r="P16" i="756"/>
  <c r="J52" i="620"/>
  <c r="J14" i="794" a="1"/>
  <c r="AF214" i="795"/>
  <c r="AF139" i="795"/>
  <c r="AF67" i="795"/>
  <c r="AF33" i="795"/>
  <c r="Z17" i="795" a="1"/>
  <c r="U19" i="590"/>
  <c r="AB25" i="302"/>
  <c r="AF5" i="300" a="1"/>
  <c r="W25" i="297" a="1"/>
  <c r="N10" i="749" a="1"/>
  <c r="M7" i="745" a="1"/>
  <c r="K20" i="595"/>
  <c r="G4" i="704" a="1"/>
  <c r="AL33" i="697"/>
  <c r="W84" i="256"/>
  <c r="I49" i="479"/>
  <c r="AD18" i="290"/>
  <c r="Q5" i="767"/>
  <c r="J10" i="620"/>
  <c r="U20" i="794"/>
  <c r="AF146" i="795"/>
  <c r="AF90" i="795"/>
  <c r="Z54" i="795" a="1"/>
  <c r="AF20" i="795"/>
  <c r="AO45" i="302"/>
  <c r="AR15" i="302" a="1"/>
  <c r="AZ4" i="300"/>
  <c r="H25" i="589"/>
  <c r="AE10" i="754"/>
  <c r="M3" i="591" a="1"/>
  <c r="R7" i="595"/>
  <c r="T6" i="700"/>
  <c r="W8" i="710" a="1"/>
  <c r="H3" i="505" a="1"/>
  <c r="J7" i="794" a="1"/>
  <c r="AF31" i="795"/>
  <c r="N10" i="750" a="1"/>
  <c r="BE17" i="808" a="1"/>
  <c r="I25" i="476" a="1"/>
  <c r="R6" i="792" a="1"/>
  <c r="AB18" i="467" a="1"/>
  <c r="I22" i="471" a="1"/>
  <c r="X6" i="465" a="1"/>
  <c r="U5" i="790" a="1"/>
  <c r="R5" i="472" a="1"/>
  <c r="V72" i="463" a="1"/>
  <c r="K25" i="756"/>
  <c r="AF218" i="795"/>
  <c r="AF65" i="795"/>
  <c r="AN45" i="302"/>
  <c r="A5" i="298" a="1"/>
  <c r="K19" i="595"/>
  <c r="AV17" i="808" a="1"/>
  <c r="C20" i="476" a="1"/>
  <c r="F16" i="477" a="1"/>
  <c r="N6" i="792" a="1"/>
  <c r="AA23" i="468" a="1"/>
  <c r="AA6" i="468" a="1"/>
  <c r="AD14" i="465"/>
  <c r="H4" i="507" a="1"/>
  <c r="K20" i="794" a="1"/>
  <c r="AF23" i="795"/>
  <c r="AZ12" i="300"/>
  <c r="T8" i="595"/>
  <c r="M3" i="798" a="1"/>
  <c r="AL10" i="808"/>
  <c r="G4" i="474" a="1"/>
  <c r="G13" i="668" a="1"/>
  <c r="N4" i="792" a="1"/>
  <c r="R14" i="467" a="1"/>
  <c r="I30" i="471" a="1"/>
  <c r="G4" i="651" a="1"/>
  <c r="E97" i="463"/>
  <c r="U7" i="595"/>
  <c r="O12" i="474" a="1"/>
  <c r="AA4" i="467" a="1"/>
  <c r="R24" i="790" a="1"/>
  <c r="E98" i="463"/>
  <c r="P43" i="462"/>
  <c r="G19" i="461" a="1"/>
  <c r="P37" i="462"/>
  <c r="F40" i="442" a="1"/>
  <c r="K33" i="476" a="1"/>
  <c r="F2" i="792"/>
  <c r="H22" i="465" a="1"/>
  <c r="O5" i="472" a="1"/>
  <c r="E23" i="522"/>
  <c r="P14" i="529" a="1"/>
  <c r="E6" i="522"/>
  <c r="E21" i="522"/>
  <c r="F14" i="529" a="1"/>
  <c r="E7" i="517" a="1"/>
  <c r="E8" i="527" a="1"/>
  <c r="E20" i="522"/>
  <c r="E16" i="516" a="1"/>
  <c r="H13" i="515" a="1"/>
  <c r="AE25" i="531" a="1"/>
  <c r="Z25" i="523" a="1"/>
  <c r="K25" i="523" a="1"/>
  <c r="M21" i="509" a="1"/>
  <c r="I45" i="479"/>
  <c r="H43" i="756" a="1"/>
  <c r="Q4" i="767"/>
  <c r="H14" i="388"/>
  <c r="Q10" i="794"/>
  <c r="H56" i="479" a="1"/>
  <c r="AD16" i="290"/>
  <c r="Q14" i="767"/>
  <c r="R7" i="620"/>
  <c r="U25" i="794"/>
  <c r="AD42" i="290"/>
  <c r="R19" i="756"/>
  <c r="J58" i="620"/>
  <c r="V26" i="793"/>
  <c r="AF173" i="795"/>
  <c r="F5" i="794" a="1"/>
  <c r="AF26" i="795"/>
  <c r="AK9" i="734"/>
  <c r="J19" i="595"/>
  <c r="G4" i="705" a="1"/>
  <c r="AL34" i="697"/>
  <c r="W66" i="256"/>
  <c r="K3" i="800" a="1"/>
  <c r="AD22" i="290"/>
  <c r="Y7" i="765" a="1"/>
  <c r="I14" i="388"/>
  <c r="Q8" i="794"/>
  <c r="AF178" i="795"/>
  <c r="AF135" i="795"/>
  <c r="AF63" i="795"/>
  <c r="AF29" i="795"/>
  <c r="A13" i="303" a="1"/>
  <c r="V56" i="302"/>
  <c r="AB20" i="302"/>
  <c r="U21" i="723"/>
  <c r="AL9" i="735"/>
  <c r="M7" i="750" a="1"/>
  <c r="L4" i="745" a="1"/>
  <c r="V8" i="595"/>
  <c r="AO16" i="702" a="1"/>
  <c r="AL27" i="697"/>
  <c r="W50" i="256"/>
  <c r="AD54" i="290"/>
  <c r="K40" i="756"/>
  <c r="K11" i="619"/>
  <c r="H13" i="388"/>
  <c r="AF220" i="795"/>
  <c r="AF142" i="795"/>
  <c r="AF66" i="795"/>
  <c r="AF32" i="795"/>
  <c r="I27" i="590"/>
  <c r="AO35" i="302"/>
  <c r="AJ42" i="300" a="1"/>
  <c r="U20" i="723"/>
  <c r="AL5" i="297" a="1"/>
  <c r="G3" i="750" a="1"/>
  <c r="J20" i="595"/>
  <c r="AN21" i="702" a="1"/>
  <c r="AL31" i="697"/>
  <c r="W83" i="256"/>
  <c r="K34" i="756"/>
  <c r="AF137" i="795"/>
  <c r="AF3" i="590" a="1"/>
  <c r="AL30" i="697"/>
  <c r="AV16" i="808" a="1"/>
  <c r="J28" i="477" a="1"/>
  <c r="R4" i="792" a="1"/>
  <c r="R16" i="467" a="1"/>
  <c r="AD15" i="465"/>
  <c r="F23" i="790" a="1"/>
  <c r="O40" i="442" a="1"/>
  <c r="F5" i="472" a="1"/>
  <c r="AG51" i="463" a="1"/>
  <c r="K7" i="619"/>
  <c r="AF174" i="795"/>
  <c r="AF27" i="795"/>
  <c r="AB26" i="302"/>
  <c r="M7" i="749" a="1"/>
  <c r="I11" i="712" a="1"/>
  <c r="AP16" i="808"/>
  <c r="C28" i="477" a="1"/>
  <c r="E5" i="470" a="1"/>
  <c r="H43" i="467" a="1"/>
  <c r="I22" i="468" a="1"/>
  <c r="I29" i="466" a="1"/>
  <c r="Z4" i="791" a="1"/>
  <c r="K37" i="479"/>
  <c r="AF145" i="795"/>
  <c r="G5" i="303" a="1"/>
  <c r="H24" i="589"/>
  <c r="AL18" i="702"/>
  <c r="AS24" i="808" a="1"/>
  <c r="C19" i="476" a="1"/>
  <c r="T6" i="669" a="1"/>
  <c r="S5" i="668" a="1"/>
  <c r="G35" i="467" a="1"/>
  <c r="R13" i="467" a="1"/>
  <c r="AD13" i="465"/>
  <c r="K19" i="472"/>
  <c r="J86" i="463" a="1"/>
  <c r="J23" i="808" a="1"/>
  <c r="E17" i="518" a="1"/>
  <c r="E20" i="517" a="1"/>
  <c r="P3" i="531" a="1"/>
  <c r="AD53" i="290"/>
  <c r="AF215" i="795"/>
  <c r="I12" i="388"/>
  <c r="J11" i="620"/>
  <c r="V19" i="590"/>
  <c r="AL28" i="697"/>
  <c r="O8" i="767"/>
  <c r="Z131" i="795" a="1"/>
  <c r="AN40" i="302"/>
  <c r="L4" i="750" a="1"/>
  <c r="AT6" i="697"/>
  <c r="H64" i="620"/>
  <c r="AF62" i="795"/>
  <c r="AZ13" i="300"/>
  <c r="U8" i="595"/>
  <c r="I17" i="619"/>
  <c r="BA10" i="808"/>
  <c r="AD7" i="465"/>
  <c r="R19" i="499" a="1"/>
  <c r="AB19" i="302"/>
  <c r="T16" i="477" a="1"/>
  <c r="AA20" i="466" a="1"/>
  <c r="U20" i="590"/>
  <c r="O27" i="474" a="1"/>
  <c r="G5" i="467" a="1"/>
  <c r="BE16" i="808" a="1"/>
  <c r="AA20" i="468" a="1"/>
  <c r="AG30" i="463" a="1"/>
  <c r="G19" i="460" a="1"/>
  <c r="AD7" i="460" a="1"/>
  <c r="X6" i="471" a="1"/>
  <c r="F28" i="463" a="1"/>
  <c r="F33" i="461"/>
  <c r="G12" i="472" a="1"/>
  <c r="K13" i="794" a="1"/>
  <c r="L4" i="744" a="1"/>
  <c r="R6" i="467" a="1"/>
  <c r="T96" i="463" a="1"/>
  <c r="AI7" i="463" a="1"/>
  <c r="E36" i="462" a="1"/>
  <c r="J9" i="401" a="1"/>
  <c r="AV12" i="808" a="1"/>
  <c r="R5" i="467" a="1"/>
  <c r="AF7" i="461" a="1"/>
  <c r="E7" i="527" a="1"/>
  <c r="AE3" i="523" a="1"/>
  <c r="Z166" i="795" a="1"/>
  <c r="AF170" i="795"/>
  <c r="BA10" i="738"/>
  <c r="G8" i="710" a="1"/>
  <c r="Q19" i="303"/>
  <c r="AP17" i="808"/>
  <c r="R51" i="463" a="1"/>
  <c r="R7" i="467" a="1"/>
  <c r="G46" i="460" a="1"/>
  <c r="U23" i="723"/>
  <c r="F49" i="463" a="1"/>
  <c r="W67" i="256"/>
  <c r="E9" i="522"/>
  <c r="E19" i="527" a="1"/>
  <c r="AT3" i="523" a="1"/>
  <c r="R28" i="756"/>
  <c r="K29" i="479"/>
  <c r="N19" i="514" a="1"/>
  <c r="J14" i="793" a="1"/>
  <c r="G3" i="744" a="1"/>
  <c r="W32" i="256"/>
  <c r="H9" i="388"/>
  <c r="AF59" i="795"/>
  <c r="AZ14" i="300"/>
  <c r="AC20" i="741"/>
  <c r="W15" i="256"/>
  <c r="G8" i="388"/>
  <c r="AF28" i="795"/>
  <c r="B3" i="299" a="1"/>
  <c r="AM13" i="702"/>
  <c r="Z110" i="795" a="1"/>
  <c r="K8" i="669" a="1"/>
  <c r="H19" i="790" a="1"/>
  <c r="G12" i="388"/>
  <c r="N10" i="745" a="1"/>
  <c r="K4" i="470" a="1"/>
  <c r="I4" i="651" a="1"/>
  <c r="L4" i="749" a="1"/>
  <c r="E6" i="669" a="1"/>
  <c r="H24" i="791" a="1"/>
  <c r="N4" i="474" a="1"/>
  <c r="R18" i="790" a="1"/>
  <c r="P38" i="462"/>
  <c r="AH7" i="462" a="1"/>
  <c r="N25" i="476" a="1"/>
  <c r="P24" i="790" a="1"/>
  <c r="G4" i="534" a="1"/>
  <c r="S25" i="461" a="1"/>
  <c r="E100" i="463"/>
  <c r="AF141" i="795"/>
  <c r="F10" i="707" a="1"/>
  <c r="I30" i="468" a="1"/>
  <c r="H96" i="463" a="1"/>
  <c r="S7" i="463" a="1"/>
  <c r="G15" i="462" a="1"/>
  <c r="J28" i="620"/>
  <c r="W6" i="669" a="1"/>
  <c r="AM72" i="463" a="1"/>
  <c r="E19" i="516" a="1"/>
  <c r="G9" i="388"/>
  <c r="L3" i="766" a="1"/>
  <c r="B14" i="680"/>
  <c r="G4" i="708" a="1"/>
  <c r="AF138" i="795"/>
  <c r="G3" i="745" a="1"/>
  <c r="W49" i="256"/>
  <c r="E99" i="463"/>
  <c r="X20" i="468" a="1"/>
  <c r="AF112" i="795"/>
  <c r="AD50" i="290"/>
  <c r="AD34" i="460" a="1"/>
  <c r="H38" i="463" a="1"/>
  <c r="O17" i="767"/>
  <c r="AD8" i="465"/>
  <c r="Q7" i="461" a="1"/>
  <c r="E43" i="462" a="1"/>
  <c r="E11" i="522"/>
  <c r="G28" i="522" a="1"/>
  <c r="E11" i="527" a="1"/>
  <c r="Z25" i="510" a="1"/>
  <c r="J80" i="620"/>
  <c r="K41" i="756"/>
  <c r="AB35" i="290"/>
  <c r="K31" i="756"/>
  <c r="S8" i="595"/>
  <c r="AE15" i="510" a="1"/>
  <c r="K6" i="794" a="1"/>
  <c r="AF25" i="795"/>
  <c r="O19" i="723" a="1"/>
  <c r="R8" i="595"/>
  <c r="N41" i="290"/>
  <c r="AF176" i="795"/>
  <c r="U25" i="590"/>
  <c r="AI9" i="735"/>
  <c r="AL26" i="697"/>
  <c r="AR24" i="302" a="1"/>
  <c r="Y25" i="467" a="1"/>
  <c r="J4" i="651" a="1"/>
  <c r="AF133" i="795"/>
  <c r="AT8" i="697"/>
  <c r="Y23" i="467"/>
  <c r="H61" i="620"/>
  <c r="T12" i="700"/>
  <c r="N18" i="792"/>
  <c r="G18" i="472" a="1"/>
  <c r="K14" i="669" a="1"/>
  <c r="Q5" i="442" a="1"/>
  <c r="E6" i="462" a="1"/>
  <c r="V33" i="460" a="1"/>
  <c r="H14" i="470" a="1"/>
  <c r="AK5" i="791" a="1"/>
  <c r="P49" i="462"/>
  <c r="E25" i="461" a="1"/>
  <c r="I54" i="462" a="1"/>
  <c r="AF19" i="795"/>
  <c r="T4" i="700"/>
  <c r="X20" i="466" a="1"/>
  <c r="H55" i="463" a="1"/>
  <c r="E64" i="462" a="1"/>
  <c r="F32" i="461"/>
  <c r="AF57" i="795"/>
  <c r="K21" i="470" a="1"/>
  <c r="R30" i="463" a="1"/>
  <c r="P22" i="528"/>
  <c r="I16" i="619"/>
  <c r="AK18" i="702"/>
  <c r="A5" i="303" a="1"/>
  <c r="K27" i="756"/>
  <c r="AC26" i="302"/>
  <c r="R15" i="467" a="1"/>
  <c r="AP13" i="808" a="1"/>
  <c r="U22" i="467" a="1"/>
  <c r="M4" i="467" a="1"/>
  <c r="I44" i="462" a="1"/>
  <c r="R7" i="462" a="1"/>
  <c r="N13" i="792" a="1"/>
  <c r="P44" i="462"/>
  <c r="G28" i="467" a="1"/>
  <c r="AH15" i="461" l="1"/>
  <c r="AG14" i="461"/>
  <c r="AF13" i="461"/>
  <c r="AH11" i="461"/>
  <c r="AG10" i="461"/>
  <c r="AF9" i="461"/>
  <c r="AH7" i="461"/>
  <c r="AH16" i="461"/>
  <c r="AG15" i="461"/>
  <c r="AF14" i="461"/>
  <c r="AH12" i="461"/>
  <c r="AG11" i="461"/>
  <c r="AF10" i="461"/>
  <c r="AH8" i="461"/>
  <c r="AG13" i="461"/>
  <c r="AG9" i="461"/>
  <c r="AG7" i="461"/>
  <c r="AF16" i="461"/>
  <c r="AF12" i="461"/>
  <c r="AF8" i="461"/>
  <c r="AG16" i="461"/>
  <c r="AF15" i="461"/>
  <c r="AH13" i="461"/>
  <c r="AG12" i="461"/>
  <c r="AF11" i="461"/>
  <c r="AH9" i="461"/>
  <c r="AG8" i="461"/>
  <c r="AF7" i="461"/>
  <c r="AH14" i="461"/>
  <c r="AH10" i="461"/>
  <c r="E46" i="462"/>
  <c r="E44" i="462"/>
  <c r="F45" i="462"/>
  <c r="F43" i="462"/>
  <c r="F47" i="462"/>
  <c r="F44" i="462"/>
  <c r="E47" i="462"/>
  <c r="E45" i="462"/>
  <c r="E43" i="462"/>
  <c r="F46" i="462"/>
  <c r="R31" i="463"/>
  <c r="R30" i="463"/>
  <c r="AN83" i="463"/>
  <c r="AM82" i="463"/>
  <c r="AO80" i="463"/>
  <c r="AN79" i="463"/>
  <c r="AM78" i="463"/>
  <c r="AO76" i="463"/>
  <c r="AN75" i="463"/>
  <c r="AM74" i="463"/>
  <c r="AO72" i="463"/>
  <c r="AO82" i="463"/>
  <c r="AN81" i="463"/>
  <c r="AM80" i="463"/>
  <c r="AO78" i="463"/>
  <c r="AN77" i="463"/>
  <c r="AM76" i="463"/>
  <c r="AO74" i="463"/>
  <c r="AN73" i="463"/>
  <c r="AM72" i="463"/>
  <c r="AO81" i="463"/>
  <c r="AM79" i="463"/>
  <c r="AN76" i="463"/>
  <c r="AO73" i="463"/>
  <c r="AN82" i="463"/>
  <c r="AN74" i="463"/>
  <c r="AO83" i="463"/>
  <c r="AM81" i="463"/>
  <c r="AN78" i="463"/>
  <c r="AO75" i="463"/>
  <c r="AM73" i="463"/>
  <c r="AO79" i="463"/>
  <c r="AM83" i="463"/>
  <c r="AN80" i="463"/>
  <c r="AO77" i="463"/>
  <c r="AM75" i="463"/>
  <c r="AN72" i="463"/>
  <c r="AM77" i="463"/>
  <c r="T5" i="467"/>
  <c r="S5" i="467"/>
  <c r="R5" i="467"/>
  <c r="M31" i="467"/>
  <c r="I31" i="467"/>
  <c r="M30" i="467"/>
  <c r="I30" i="467"/>
  <c r="M29" i="467"/>
  <c r="I29" i="467"/>
  <c r="M28" i="467"/>
  <c r="I28" i="467"/>
  <c r="L31" i="467"/>
  <c r="H31" i="467"/>
  <c r="L30" i="467"/>
  <c r="H30" i="467"/>
  <c r="L29" i="467"/>
  <c r="H29" i="467"/>
  <c r="L28" i="467"/>
  <c r="H28" i="467"/>
  <c r="K31" i="467"/>
  <c r="G31" i="467"/>
  <c r="K30" i="467"/>
  <c r="G30" i="467"/>
  <c r="K29" i="467"/>
  <c r="G29" i="467"/>
  <c r="K28" i="467"/>
  <c r="G28" i="467"/>
  <c r="J31" i="467"/>
  <c r="J29" i="467"/>
  <c r="N30" i="467"/>
  <c r="N28" i="467"/>
  <c r="J30" i="467"/>
  <c r="J28" i="467"/>
  <c r="N31" i="467"/>
  <c r="N29" i="467"/>
  <c r="L24" i="470"/>
  <c r="K23" i="470"/>
  <c r="M21" i="470"/>
  <c r="K24" i="470"/>
  <c r="M22" i="470"/>
  <c r="L21" i="470"/>
  <c r="M23" i="470"/>
  <c r="L22" i="470"/>
  <c r="K21" i="470"/>
  <c r="M24" i="470"/>
  <c r="L23" i="470"/>
  <c r="K22" i="470"/>
  <c r="W9" i="669"/>
  <c r="W7" i="669"/>
  <c r="X10" i="669"/>
  <c r="X8" i="669"/>
  <c r="X6" i="669"/>
  <c r="W10" i="669"/>
  <c r="W8" i="669"/>
  <c r="W6" i="669"/>
  <c r="X9" i="669"/>
  <c r="X7" i="669"/>
  <c r="AX15" i="808"/>
  <c r="AX14" i="808"/>
  <c r="AX13" i="808"/>
  <c r="AX12" i="808"/>
  <c r="AW15" i="808"/>
  <c r="AW14" i="808"/>
  <c r="AW13" i="808"/>
  <c r="AW12" i="808"/>
  <c r="AV15" i="808"/>
  <c r="AV14" i="808"/>
  <c r="AV13" i="808"/>
  <c r="AV12" i="808"/>
  <c r="AY14" i="808"/>
  <c r="AY13" i="808"/>
  <c r="AY12" i="808"/>
  <c r="AY15" i="808"/>
  <c r="K9" i="401"/>
  <c r="J10" i="401"/>
  <c r="J9" i="401"/>
  <c r="K10" i="401"/>
  <c r="Q8" i="461"/>
  <c r="Q7" i="461"/>
  <c r="G16" i="462"/>
  <c r="G15" i="462"/>
  <c r="G17" i="462"/>
  <c r="J39" i="462"/>
  <c r="F39" i="462"/>
  <c r="J38" i="462"/>
  <c r="F38" i="462"/>
  <c r="J37" i="462"/>
  <c r="F37" i="462"/>
  <c r="J36" i="462"/>
  <c r="F36" i="462"/>
  <c r="E37" i="462"/>
  <c r="K39" i="462"/>
  <c r="G38" i="462"/>
  <c r="G37" i="462"/>
  <c r="I39" i="462"/>
  <c r="E39" i="462"/>
  <c r="I38" i="462"/>
  <c r="E38" i="462"/>
  <c r="I37" i="462"/>
  <c r="I36" i="462"/>
  <c r="E36" i="462"/>
  <c r="G39" i="462"/>
  <c r="K38" i="462"/>
  <c r="G36" i="462"/>
  <c r="L39" i="462"/>
  <c r="H39" i="462"/>
  <c r="L38" i="462"/>
  <c r="H38" i="462"/>
  <c r="L37" i="462"/>
  <c r="H37" i="462"/>
  <c r="L36" i="462"/>
  <c r="H36" i="462"/>
  <c r="K37" i="462"/>
  <c r="K36" i="462"/>
  <c r="J67" i="462"/>
  <c r="F67" i="462"/>
  <c r="J66" i="462"/>
  <c r="F66" i="462"/>
  <c r="J65" i="462"/>
  <c r="F65" i="462"/>
  <c r="J64" i="462"/>
  <c r="F64" i="462"/>
  <c r="I67" i="462"/>
  <c r="E67" i="462"/>
  <c r="I66" i="462"/>
  <c r="I65" i="462"/>
  <c r="E65" i="462"/>
  <c r="I64" i="462"/>
  <c r="K66" i="462"/>
  <c r="K65" i="462"/>
  <c r="G64" i="462"/>
  <c r="E66" i="462"/>
  <c r="E64" i="462"/>
  <c r="G67" i="462"/>
  <c r="G65" i="462"/>
  <c r="L67" i="462"/>
  <c r="H67" i="462"/>
  <c r="L66" i="462"/>
  <c r="H66" i="462"/>
  <c r="L65" i="462"/>
  <c r="H65" i="462"/>
  <c r="L64" i="462"/>
  <c r="H64" i="462"/>
  <c r="K67" i="462"/>
  <c r="G66" i="462"/>
  <c r="K64" i="462"/>
  <c r="S8" i="463"/>
  <c r="S7" i="463"/>
  <c r="S9" i="463"/>
  <c r="AI18" i="463"/>
  <c r="AK16" i="463"/>
  <c r="AJ15" i="463"/>
  <c r="AI14" i="463"/>
  <c r="AK12" i="463"/>
  <c r="AJ11" i="463"/>
  <c r="AI10" i="463"/>
  <c r="AK8" i="463"/>
  <c r="AJ7" i="463"/>
  <c r="AK13" i="463"/>
  <c r="AJ18" i="463"/>
  <c r="AI13" i="463"/>
  <c r="AJ10" i="463"/>
  <c r="AK7" i="463"/>
  <c r="AK17" i="463"/>
  <c r="AJ16" i="463"/>
  <c r="AI15" i="463"/>
  <c r="AJ12" i="463"/>
  <c r="AI11" i="463"/>
  <c r="AK9" i="463"/>
  <c r="AJ8" i="463"/>
  <c r="AI7" i="463"/>
  <c r="AK15" i="463"/>
  <c r="AK18" i="463"/>
  <c r="AJ17" i="463"/>
  <c r="AI16" i="463"/>
  <c r="AK14" i="463"/>
  <c r="AJ13" i="463"/>
  <c r="AI12" i="463"/>
  <c r="AK10" i="463"/>
  <c r="AJ9" i="463"/>
  <c r="AI8" i="463"/>
  <c r="AI17" i="463"/>
  <c r="AJ14" i="463"/>
  <c r="AK11" i="463"/>
  <c r="AI9" i="463"/>
  <c r="H50" i="463"/>
  <c r="G49" i="463"/>
  <c r="H49" i="463"/>
  <c r="H51" i="463"/>
  <c r="G50" i="463"/>
  <c r="F49" i="463"/>
  <c r="G51" i="463"/>
  <c r="F50" i="463"/>
  <c r="F51" i="463"/>
  <c r="H55" i="463"/>
  <c r="H56" i="463"/>
  <c r="L100" i="463"/>
  <c r="H100" i="463"/>
  <c r="L99" i="463"/>
  <c r="H99" i="463"/>
  <c r="L98" i="463"/>
  <c r="H98" i="463"/>
  <c r="L97" i="463"/>
  <c r="H97" i="463"/>
  <c r="L96" i="463"/>
  <c r="H96" i="463"/>
  <c r="N100" i="463"/>
  <c r="J100" i="463"/>
  <c r="N99" i="463"/>
  <c r="J99" i="463"/>
  <c r="N98" i="463"/>
  <c r="J98" i="463"/>
  <c r="N97" i="463"/>
  <c r="J97" i="463"/>
  <c r="N96" i="463"/>
  <c r="J96" i="463"/>
  <c r="K100" i="463"/>
  <c r="K99" i="463"/>
  <c r="K98" i="463"/>
  <c r="K97" i="463"/>
  <c r="K96" i="463"/>
  <c r="M100" i="463"/>
  <c r="M98" i="463"/>
  <c r="M96" i="463"/>
  <c r="I100" i="463"/>
  <c r="I99" i="463"/>
  <c r="I98" i="463"/>
  <c r="I97" i="463"/>
  <c r="I96" i="463"/>
  <c r="O100" i="463"/>
  <c r="O99" i="463"/>
  <c r="O98" i="463"/>
  <c r="O97" i="463"/>
  <c r="O96" i="463"/>
  <c r="M99" i="463"/>
  <c r="M97" i="463"/>
  <c r="T100" i="463"/>
  <c r="T98" i="463"/>
  <c r="T96" i="463"/>
  <c r="T99" i="463"/>
  <c r="T97" i="463"/>
  <c r="U97" i="463"/>
  <c r="U100" i="463"/>
  <c r="U96" i="463"/>
  <c r="U99" i="463"/>
  <c r="U98" i="463"/>
  <c r="X22" i="466"/>
  <c r="Z20" i="466"/>
  <c r="Z21" i="466"/>
  <c r="Y20" i="466"/>
  <c r="Z22" i="466"/>
  <c r="Y21" i="466"/>
  <c r="X20" i="466"/>
  <c r="Y22" i="466"/>
  <c r="X21" i="466"/>
  <c r="I32" i="468"/>
  <c r="I31" i="468"/>
  <c r="I30" i="468"/>
  <c r="T6" i="467"/>
  <c r="S6" i="467"/>
  <c r="R6" i="467"/>
  <c r="N16" i="792"/>
  <c r="N14" i="792"/>
  <c r="O15" i="792"/>
  <c r="O13" i="792"/>
  <c r="N15" i="792"/>
  <c r="N13" i="792"/>
  <c r="O16" i="792"/>
  <c r="O14" i="792"/>
  <c r="H10" i="707"/>
  <c r="K10" i="707"/>
  <c r="G10" i="707"/>
  <c r="J10" i="707"/>
  <c r="F10" i="707"/>
  <c r="I10" i="707"/>
  <c r="L6" i="744"/>
  <c r="L5" i="744"/>
  <c r="L4" i="744"/>
  <c r="K13" i="794"/>
  <c r="M13" i="794"/>
  <c r="L13" i="794"/>
  <c r="K60" i="462"/>
  <c r="K59" i="462"/>
  <c r="K58" i="462"/>
  <c r="K57" i="462"/>
  <c r="K56" i="462"/>
  <c r="K55" i="462"/>
  <c r="K54" i="462"/>
  <c r="J60" i="462"/>
  <c r="J59" i="462"/>
  <c r="J58" i="462"/>
  <c r="J56" i="462"/>
  <c r="J55" i="462"/>
  <c r="J54" i="462"/>
  <c r="L59" i="462"/>
  <c r="L57" i="462"/>
  <c r="L54" i="462"/>
  <c r="J57" i="462"/>
  <c r="L60" i="462"/>
  <c r="L56" i="462"/>
  <c r="I60" i="462"/>
  <c r="I59" i="462"/>
  <c r="I58" i="462"/>
  <c r="I57" i="462"/>
  <c r="I56" i="462"/>
  <c r="I55" i="462"/>
  <c r="I54" i="462"/>
  <c r="L58" i="462"/>
  <c r="L55" i="462"/>
  <c r="K14" i="472"/>
  <c r="G14" i="472"/>
  <c r="J13" i="472"/>
  <c r="M12" i="472"/>
  <c r="I12" i="472"/>
  <c r="M14" i="472"/>
  <c r="I14" i="472"/>
  <c r="L13" i="472"/>
  <c r="H13" i="472"/>
  <c r="K12" i="472"/>
  <c r="G12" i="472"/>
  <c r="M13" i="472"/>
  <c r="L12" i="472"/>
  <c r="H14" i="472"/>
  <c r="L14" i="472"/>
  <c r="K13" i="472"/>
  <c r="J12" i="472"/>
  <c r="J14" i="472"/>
  <c r="I13" i="472"/>
  <c r="H12" i="472"/>
  <c r="G13" i="472"/>
  <c r="G46" i="460"/>
  <c r="G47" i="460"/>
  <c r="I27" i="461"/>
  <c r="E27" i="461"/>
  <c r="I26" i="461"/>
  <c r="E26" i="461"/>
  <c r="I25" i="461"/>
  <c r="E25" i="461"/>
  <c r="L27" i="461"/>
  <c r="H27" i="461"/>
  <c r="H26" i="461"/>
  <c r="L25" i="461"/>
  <c r="H25" i="461"/>
  <c r="F26" i="461"/>
  <c r="L26" i="461"/>
  <c r="F27" i="461"/>
  <c r="J25" i="461"/>
  <c r="K27" i="461"/>
  <c r="G27" i="461"/>
  <c r="K26" i="461"/>
  <c r="G26" i="461"/>
  <c r="K25" i="461"/>
  <c r="G25" i="461"/>
  <c r="J27" i="461"/>
  <c r="J26" i="461"/>
  <c r="F25" i="461"/>
  <c r="S29" i="461"/>
  <c r="S27" i="461"/>
  <c r="S25" i="461"/>
  <c r="T29" i="461"/>
  <c r="T28" i="461"/>
  <c r="T26" i="461"/>
  <c r="T25" i="461"/>
  <c r="S28" i="461"/>
  <c r="S26" i="461"/>
  <c r="T27" i="461"/>
  <c r="R7" i="462"/>
  <c r="R8" i="462"/>
  <c r="R9" i="462"/>
  <c r="G8" i="534"/>
  <c r="G6" i="534"/>
  <c r="G4" i="534"/>
  <c r="H8" i="534"/>
  <c r="H4" i="534"/>
  <c r="H9" i="534"/>
  <c r="H7" i="534"/>
  <c r="H5" i="534"/>
  <c r="G9" i="534"/>
  <c r="G7" i="534"/>
  <c r="G5" i="534"/>
  <c r="H6" i="534"/>
  <c r="H21" i="463"/>
  <c r="H23" i="463"/>
  <c r="H22" i="463"/>
  <c r="H34" i="463"/>
  <c r="G33" i="463"/>
  <c r="F32" i="463"/>
  <c r="H30" i="463"/>
  <c r="G29" i="463"/>
  <c r="F28" i="463"/>
  <c r="F31" i="463"/>
  <c r="G28" i="463"/>
  <c r="G34" i="463"/>
  <c r="F33" i="463"/>
  <c r="H31" i="463"/>
  <c r="G30" i="463"/>
  <c r="F29" i="463"/>
  <c r="F34" i="463"/>
  <c r="H32" i="463"/>
  <c r="G31" i="463"/>
  <c r="F30" i="463"/>
  <c r="H28" i="463"/>
  <c r="H33" i="463"/>
  <c r="G32" i="463"/>
  <c r="H29" i="463"/>
  <c r="H38" i="463"/>
  <c r="H39" i="463"/>
  <c r="O8" i="472"/>
  <c r="O6" i="472"/>
  <c r="O9" i="472"/>
  <c r="O7" i="472"/>
  <c r="O5" i="472"/>
  <c r="P9" i="472"/>
  <c r="P5" i="472"/>
  <c r="P6" i="472"/>
  <c r="P8" i="472"/>
  <c r="P7" i="472"/>
  <c r="AL16" i="791"/>
  <c r="AK15" i="791"/>
  <c r="AM13" i="791"/>
  <c r="AL12" i="791"/>
  <c r="AK11" i="791"/>
  <c r="AM9" i="791"/>
  <c r="AL8" i="791"/>
  <c r="AK7" i="791"/>
  <c r="AM5" i="791"/>
  <c r="AK16" i="791"/>
  <c r="AM14" i="791"/>
  <c r="AL13" i="791"/>
  <c r="AK12" i="791"/>
  <c r="AM10" i="791"/>
  <c r="AL9" i="791"/>
  <c r="AK8" i="791"/>
  <c r="AM6" i="791"/>
  <c r="AL5" i="791"/>
  <c r="AM15" i="791"/>
  <c r="AL14" i="791"/>
  <c r="AK13" i="791"/>
  <c r="AM11" i="791"/>
  <c r="AL10" i="791"/>
  <c r="AK9" i="791"/>
  <c r="AM7" i="791"/>
  <c r="AL6" i="791"/>
  <c r="AK5" i="791"/>
  <c r="AM16" i="791"/>
  <c r="AL11" i="791"/>
  <c r="AK6" i="791"/>
  <c r="AL15" i="791"/>
  <c r="AK10" i="791"/>
  <c r="AL7" i="791"/>
  <c r="AK14" i="791"/>
  <c r="AM8" i="791"/>
  <c r="AM12" i="791"/>
  <c r="P26" i="790"/>
  <c r="P25" i="790"/>
  <c r="P24" i="790"/>
  <c r="L24" i="465"/>
  <c r="H24" i="465"/>
  <c r="K23" i="465"/>
  <c r="N22" i="465"/>
  <c r="J22" i="465"/>
  <c r="K24" i="465"/>
  <c r="N23" i="465"/>
  <c r="J23" i="465"/>
  <c r="M22" i="465"/>
  <c r="I22" i="465"/>
  <c r="N24" i="465"/>
  <c r="J24" i="465"/>
  <c r="M23" i="465"/>
  <c r="I23" i="465"/>
  <c r="L22" i="465"/>
  <c r="H22" i="465"/>
  <c r="M24" i="465"/>
  <c r="K22" i="465"/>
  <c r="I24" i="465"/>
  <c r="H23" i="465"/>
  <c r="L23" i="465"/>
  <c r="I24" i="466"/>
  <c r="I23" i="466"/>
  <c r="I22" i="466"/>
  <c r="X7" i="471"/>
  <c r="Y8" i="471"/>
  <c r="Y6" i="471"/>
  <c r="X8" i="471"/>
  <c r="X6" i="471"/>
  <c r="Y7" i="471"/>
  <c r="T7" i="467"/>
  <c r="S7" i="467"/>
  <c r="R7" i="467"/>
  <c r="M10" i="668"/>
  <c r="I10" i="668"/>
  <c r="M9" i="668"/>
  <c r="I9" i="668"/>
  <c r="M8" i="668"/>
  <c r="I8" i="668"/>
  <c r="M7" i="668"/>
  <c r="I7" i="668"/>
  <c r="L10" i="668"/>
  <c r="H10" i="668"/>
  <c r="L9" i="668"/>
  <c r="H9" i="668"/>
  <c r="L8" i="668"/>
  <c r="H8" i="668"/>
  <c r="L7" i="668"/>
  <c r="H7" i="668"/>
  <c r="K10" i="668"/>
  <c r="G10" i="668"/>
  <c r="K9" i="668"/>
  <c r="G9" i="668"/>
  <c r="K8" i="668"/>
  <c r="G8" i="668"/>
  <c r="K7" i="668"/>
  <c r="G7" i="668"/>
  <c r="J9" i="668"/>
  <c r="J7" i="668"/>
  <c r="N10" i="668"/>
  <c r="N8" i="668"/>
  <c r="J10" i="668"/>
  <c r="J8" i="668"/>
  <c r="N9" i="668"/>
  <c r="N7" i="668"/>
  <c r="H17" i="470"/>
  <c r="H15" i="470"/>
  <c r="I18" i="470"/>
  <c r="I16" i="470"/>
  <c r="I14" i="470"/>
  <c r="H18" i="470"/>
  <c r="H16" i="470"/>
  <c r="H14" i="470"/>
  <c r="I15" i="470"/>
  <c r="I17" i="470"/>
  <c r="N28" i="476"/>
  <c r="N26" i="476"/>
  <c r="O29" i="476"/>
  <c r="O27" i="476"/>
  <c r="O25" i="476"/>
  <c r="N29" i="476"/>
  <c r="N27" i="476"/>
  <c r="N25" i="476"/>
  <c r="O26" i="476"/>
  <c r="O28" i="476"/>
  <c r="M33" i="476"/>
  <c r="L33" i="476"/>
  <c r="K33" i="476"/>
  <c r="N33" i="476"/>
  <c r="I21" i="702"/>
  <c r="I20" i="702"/>
  <c r="I19" i="702"/>
  <c r="I18" i="702"/>
  <c r="I17" i="702"/>
  <c r="I16" i="702"/>
  <c r="I15" i="702"/>
  <c r="I14" i="702"/>
  <c r="I13" i="702"/>
  <c r="I12" i="702"/>
  <c r="I11" i="702"/>
  <c r="I10" i="702"/>
  <c r="I9" i="702"/>
  <c r="I8" i="702"/>
  <c r="I7" i="702"/>
  <c r="I6" i="702"/>
  <c r="I5" i="702"/>
  <c r="I4" i="702"/>
  <c r="H21" i="702"/>
  <c r="H20" i="702"/>
  <c r="H19" i="702"/>
  <c r="H18" i="702"/>
  <c r="H17" i="702"/>
  <c r="H16" i="702"/>
  <c r="H15" i="702"/>
  <c r="H14" i="702"/>
  <c r="H13" i="702"/>
  <c r="H12" i="702"/>
  <c r="H11" i="702"/>
  <c r="H10" i="702"/>
  <c r="H9" i="702"/>
  <c r="H8" i="702"/>
  <c r="H7" i="702"/>
  <c r="H6" i="702"/>
  <c r="H5" i="702"/>
  <c r="H4" i="702"/>
  <c r="G21" i="702"/>
  <c r="G20" i="702"/>
  <c r="G19" i="702"/>
  <c r="G18" i="702"/>
  <c r="G17" i="702"/>
  <c r="G16" i="702"/>
  <c r="G15" i="702"/>
  <c r="G14" i="702"/>
  <c r="G13" i="702"/>
  <c r="G12" i="702"/>
  <c r="G11" i="702"/>
  <c r="G10" i="702"/>
  <c r="G9" i="702"/>
  <c r="G8" i="702"/>
  <c r="G7" i="702"/>
  <c r="G6" i="702"/>
  <c r="G5" i="702"/>
  <c r="G4" i="702"/>
  <c r="J18" i="702"/>
  <c r="J14" i="702"/>
  <c r="J10" i="702"/>
  <c r="J6" i="702"/>
  <c r="J21" i="702"/>
  <c r="J17" i="702"/>
  <c r="J13" i="702"/>
  <c r="J9" i="702"/>
  <c r="J5" i="702"/>
  <c r="J20" i="702"/>
  <c r="J16" i="702"/>
  <c r="J12" i="702"/>
  <c r="J8" i="702"/>
  <c r="J4" i="702"/>
  <c r="J7" i="702"/>
  <c r="J19" i="702"/>
  <c r="J15" i="702"/>
  <c r="J11" i="702"/>
  <c r="AF15" i="460"/>
  <c r="AE14" i="460"/>
  <c r="AD13" i="460"/>
  <c r="AF11" i="460"/>
  <c r="AE10" i="460"/>
  <c r="AD9" i="460"/>
  <c r="AF7" i="460"/>
  <c r="AF12" i="460"/>
  <c r="AD10" i="460"/>
  <c r="AE7" i="460"/>
  <c r="AD16" i="460"/>
  <c r="AE13" i="460"/>
  <c r="AF10" i="460"/>
  <c r="AF16" i="460"/>
  <c r="AE15" i="460"/>
  <c r="AD14" i="460"/>
  <c r="AE11" i="460"/>
  <c r="AF8" i="460"/>
  <c r="AE9" i="460"/>
  <c r="AE16" i="460"/>
  <c r="AD15" i="460"/>
  <c r="AF13" i="460"/>
  <c r="AE12" i="460"/>
  <c r="AD11" i="460"/>
  <c r="AF9" i="460"/>
  <c r="AE8" i="460"/>
  <c r="AD7" i="460"/>
  <c r="AF14" i="460"/>
  <c r="AD12" i="460"/>
  <c r="AD8" i="460"/>
  <c r="K49" i="462"/>
  <c r="K48" i="462"/>
  <c r="K47" i="462"/>
  <c r="K46" i="462"/>
  <c r="K45" i="462"/>
  <c r="K44" i="462"/>
  <c r="J49" i="462"/>
  <c r="J48" i="462"/>
  <c r="J47" i="462"/>
  <c r="J46" i="462"/>
  <c r="J45" i="462"/>
  <c r="J44" i="462"/>
  <c r="L49" i="462"/>
  <c r="L47" i="462"/>
  <c r="L45" i="462"/>
  <c r="I49" i="462"/>
  <c r="I48" i="462"/>
  <c r="I47" i="462"/>
  <c r="I46" i="462"/>
  <c r="I45" i="462"/>
  <c r="I44" i="462"/>
  <c r="L48" i="462"/>
  <c r="L46" i="462"/>
  <c r="L44" i="462"/>
  <c r="H50" i="442"/>
  <c r="J49" i="442"/>
  <c r="F49" i="442"/>
  <c r="H48" i="442"/>
  <c r="J47" i="442"/>
  <c r="F47" i="442"/>
  <c r="H46" i="442"/>
  <c r="J45" i="442"/>
  <c r="F45" i="442"/>
  <c r="H44" i="442"/>
  <c r="J43" i="442"/>
  <c r="F43" i="442"/>
  <c r="H42" i="442"/>
  <c r="J41" i="442"/>
  <c r="F41" i="442"/>
  <c r="H40" i="442"/>
  <c r="K50" i="442"/>
  <c r="G50" i="442"/>
  <c r="I49" i="442"/>
  <c r="K48" i="442"/>
  <c r="G48" i="442"/>
  <c r="I47" i="442"/>
  <c r="K46" i="442"/>
  <c r="G46" i="442"/>
  <c r="I45" i="442"/>
  <c r="K44" i="442"/>
  <c r="G44" i="442"/>
  <c r="I43" i="442"/>
  <c r="K42" i="442"/>
  <c r="G42" i="442"/>
  <c r="I41" i="442"/>
  <c r="K40" i="442"/>
  <c r="G40" i="442"/>
  <c r="J50" i="442"/>
  <c r="F50" i="442"/>
  <c r="H49" i="442"/>
  <c r="J48" i="442"/>
  <c r="F48" i="442"/>
  <c r="H47" i="442"/>
  <c r="J46" i="442"/>
  <c r="F46" i="442"/>
  <c r="H45" i="442"/>
  <c r="J44" i="442"/>
  <c r="F44" i="442"/>
  <c r="H43" i="442"/>
  <c r="J42" i="442"/>
  <c r="F42" i="442"/>
  <c r="H41" i="442"/>
  <c r="J40" i="442"/>
  <c r="F40" i="442"/>
  <c r="K49" i="442"/>
  <c r="G47" i="442"/>
  <c r="I44" i="442"/>
  <c r="K41" i="442"/>
  <c r="I50" i="442"/>
  <c r="I42" i="442"/>
  <c r="G49" i="442"/>
  <c r="I46" i="442"/>
  <c r="K43" i="442"/>
  <c r="G41" i="442"/>
  <c r="K47" i="442"/>
  <c r="I48" i="442"/>
  <c r="K45" i="442"/>
  <c r="G43" i="442"/>
  <c r="I40" i="442"/>
  <c r="G45" i="442"/>
  <c r="AB14" i="467"/>
  <c r="AA13" i="467"/>
  <c r="AC11" i="467"/>
  <c r="AA14" i="467"/>
  <c r="AC12" i="467"/>
  <c r="AB11" i="467"/>
  <c r="AC13" i="467"/>
  <c r="AB12" i="467"/>
  <c r="AA11" i="467"/>
  <c r="AC14" i="467"/>
  <c r="AB13" i="467"/>
  <c r="AA12" i="467"/>
  <c r="V33" i="460"/>
  <c r="W33" i="460"/>
  <c r="W34" i="460"/>
  <c r="V34" i="460"/>
  <c r="AI12" i="462"/>
  <c r="AH11" i="462"/>
  <c r="AJ9" i="462"/>
  <c r="AI8" i="462"/>
  <c r="AH7" i="462"/>
  <c r="AJ10" i="462"/>
  <c r="AI9" i="462"/>
  <c r="AJ12" i="462"/>
  <c r="AJ8" i="462"/>
  <c r="AH12" i="462"/>
  <c r="AH8" i="462"/>
  <c r="AI11" i="462"/>
  <c r="AI7" i="462"/>
  <c r="AJ11" i="462"/>
  <c r="AI10" i="462"/>
  <c r="AH9" i="462"/>
  <c r="AJ7" i="462"/>
  <c r="AH10" i="462"/>
  <c r="W7" i="460"/>
  <c r="V7" i="460"/>
  <c r="W6" i="460"/>
  <c r="V6" i="460"/>
  <c r="G20" i="460"/>
  <c r="G19" i="460"/>
  <c r="AD43" i="460"/>
  <c r="AF41" i="460"/>
  <c r="AE40" i="460"/>
  <c r="AD39" i="460"/>
  <c r="AF37" i="460"/>
  <c r="AE36" i="460"/>
  <c r="AD35" i="460"/>
  <c r="AF42" i="460"/>
  <c r="AE41" i="460"/>
  <c r="AD40" i="460"/>
  <c r="AF38" i="460"/>
  <c r="AD36" i="460"/>
  <c r="AF34" i="460"/>
  <c r="AE43" i="460"/>
  <c r="AF40" i="460"/>
  <c r="AE39" i="460"/>
  <c r="AE35" i="460"/>
  <c r="AE37" i="460"/>
  <c r="AF36" i="460"/>
  <c r="AF43" i="460"/>
  <c r="AE42" i="460"/>
  <c r="AD41" i="460"/>
  <c r="AF39" i="460"/>
  <c r="AE38" i="460"/>
  <c r="AD37" i="460"/>
  <c r="AF35" i="460"/>
  <c r="AE34" i="460"/>
  <c r="AD42" i="460"/>
  <c r="AD38" i="460"/>
  <c r="AD34" i="460"/>
  <c r="G19" i="461"/>
  <c r="G20" i="461"/>
  <c r="O30" i="461"/>
  <c r="O28" i="461"/>
  <c r="O26" i="461"/>
  <c r="N30" i="461"/>
  <c r="N31" i="461"/>
  <c r="N25" i="461"/>
  <c r="N28" i="461"/>
  <c r="N26" i="461"/>
  <c r="N27" i="461"/>
  <c r="O31" i="461"/>
  <c r="O29" i="461"/>
  <c r="O27" i="461"/>
  <c r="O25" i="461"/>
  <c r="N29" i="461"/>
  <c r="H11" i="462"/>
  <c r="H10" i="462"/>
  <c r="H9" i="462"/>
  <c r="H8" i="462"/>
  <c r="H7" i="462"/>
  <c r="H6" i="462"/>
  <c r="E10" i="462"/>
  <c r="E9" i="462"/>
  <c r="E7" i="462"/>
  <c r="G11" i="462"/>
  <c r="G10" i="462"/>
  <c r="G9" i="462"/>
  <c r="G8" i="462"/>
  <c r="G7" i="462"/>
  <c r="G6" i="462"/>
  <c r="E11" i="462"/>
  <c r="E8" i="462"/>
  <c r="E6" i="462"/>
  <c r="F11" i="462"/>
  <c r="F10" i="462"/>
  <c r="F9" i="462"/>
  <c r="F8" i="462"/>
  <c r="F7" i="462"/>
  <c r="F6" i="462"/>
  <c r="AG35" i="463"/>
  <c r="AI33" i="463"/>
  <c r="AH32" i="463"/>
  <c r="AG31" i="463"/>
  <c r="AG34" i="463"/>
  <c r="AH31" i="463"/>
  <c r="AG30" i="463"/>
  <c r="AI34" i="463"/>
  <c r="AH33" i="463"/>
  <c r="AG32" i="463"/>
  <c r="AI30" i="463"/>
  <c r="AI35" i="463"/>
  <c r="AH34" i="463"/>
  <c r="AG33" i="463"/>
  <c r="AI31" i="463"/>
  <c r="AH30" i="463"/>
  <c r="AH35" i="463"/>
  <c r="AI32" i="463"/>
  <c r="R51" i="463"/>
  <c r="R52" i="463"/>
  <c r="O19" i="472"/>
  <c r="O17" i="472"/>
  <c r="O15" i="472"/>
  <c r="O13" i="472"/>
  <c r="P18" i="472"/>
  <c r="P16" i="472"/>
  <c r="O18" i="472"/>
  <c r="O16" i="472"/>
  <c r="O14" i="472"/>
  <c r="P17" i="472"/>
  <c r="P15" i="472"/>
  <c r="P13" i="472"/>
  <c r="P14" i="472"/>
  <c r="P19" i="472"/>
  <c r="Q7" i="442"/>
  <c r="Q6" i="442"/>
  <c r="Q5" i="442"/>
  <c r="R21" i="790"/>
  <c r="R19" i="790"/>
  <c r="S22" i="790"/>
  <c r="S20" i="790"/>
  <c r="S18" i="790"/>
  <c r="R22" i="790"/>
  <c r="R20" i="790"/>
  <c r="R18" i="790"/>
  <c r="S21" i="790"/>
  <c r="S19" i="790"/>
  <c r="R29" i="790"/>
  <c r="R27" i="790"/>
  <c r="R25" i="790"/>
  <c r="S30" i="790"/>
  <c r="S28" i="790"/>
  <c r="S26" i="790"/>
  <c r="S24" i="790"/>
  <c r="R30" i="790"/>
  <c r="R28" i="790"/>
  <c r="R26" i="790"/>
  <c r="R24" i="790"/>
  <c r="S29" i="790"/>
  <c r="S27" i="790"/>
  <c r="S25" i="790"/>
  <c r="AA25" i="466"/>
  <c r="AC23" i="466"/>
  <c r="AC24" i="466"/>
  <c r="AB23" i="466"/>
  <c r="AC25" i="466"/>
  <c r="AB24" i="466"/>
  <c r="AA23" i="466"/>
  <c r="AA24" i="466"/>
  <c r="AB25" i="466"/>
  <c r="AA22" i="468"/>
  <c r="AC20" i="468"/>
  <c r="AC21" i="468"/>
  <c r="AB20" i="468"/>
  <c r="AC22" i="468"/>
  <c r="AB21" i="468"/>
  <c r="AA20" i="468"/>
  <c r="AB22" i="468"/>
  <c r="AA21" i="468"/>
  <c r="M7" i="467"/>
  <c r="M5" i="467"/>
  <c r="N8" i="467"/>
  <c r="N6" i="467"/>
  <c r="N4" i="467"/>
  <c r="M8" i="467"/>
  <c r="M6" i="467"/>
  <c r="M4" i="467"/>
  <c r="N7" i="467"/>
  <c r="N5" i="467"/>
  <c r="AB7" i="467"/>
  <c r="AA6" i="467"/>
  <c r="AC4" i="467"/>
  <c r="AA7" i="467"/>
  <c r="AC5" i="467"/>
  <c r="AB4" i="467"/>
  <c r="AC6" i="467"/>
  <c r="AB5" i="467"/>
  <c r="AA4" i="467"/>
  <c r="AC7" i="467"/>
  <c r="AA5" i="467"/>
  <c r="AB6" i="467"/>
  <c r="T8" i="467"/>
  <c r="S8" i="467"/>
  <c r="R8" i="467"/>
  <c r="Q17" i="669"/>
  <c r="M17" i="669"/>
  <c r="Q16" i="669"/>
  <c r="M16" i="669"/>
  <c r="Q15" i="669"/>
  <c r="M15" i="669"/>
  <c r="Q14" i="669"/>
  <c r="M14" i="669"/>
  <c r="P17" i="669"/>
  <c r="L17" i="669"/>
  <c r="P16" i="669"/>
  <c r="L16" i="669"/>
  <c r="P15" i="669"/>
  <c r="L15" i="669"/>
  <c r="P14" i="669"/>
  <c r="L14" i="669"/>
  <c r="O17" i="669"/>
  <c r="K17" i="669"/>
  <c r="O16" i="669"/>
  <c r="K16" i="669"/>
  <c r="O15" i="669"/>
  <c r="K15" i="669"/>
  <c r="O14" i="669"/>
  <c r="K14" i="669"/>
  <c r="R17" i="669"/>
  <c r="R15" i="669"/>
  <c r="N17" i="669"/>
  <c r="N15" i="669"/>
  <c r="N14" i="669"/>
  <c r="R16" i="669"/>
  <c r="R14" i="669"/>
  <c r="N16" i="669"/>
  <c r="P8" i="474"/>
  <c r="O7" i="474"/>
  <c r="N6" i="474"/>
  <c r="P4" i="474"/>
  <c r="O8" i="474"/>
  <c r="N7" i="474"/>
  <c r="P5" i="474"/>
  <c r="O4" i="474"/>
  <c r="N8" i="474"/>
  <c r="P6" i="474"/>
  <c r="O5" i="474"/>
  <c r="N4" i="474"/>
  <c r="P7" i="474"/>
  <c r="O6" i="474"/>
  <c r="N5" i="474"/>
  <c r="O15" i="474"/>
  <c r="O13" i="474"/>
  <c r="P14" i="474"/>
  <c r="P12" i="474"/>
  <c r="O14" i="474"/>
  <c r="O12" i="474"/>
  <c r="P15" i="474"/>
  <c r="P13" i="474"/>
  <c r="Q35" i="477"/>
  <c r="Q33" i="477"/>
  <c r="Q31" i="477"/>
  <c r="Q29" i="477"/>
  <c r="R34" i="477"/>
  <c r="R32" i="477"/>
  <c r="R30" i="477"/>
  <c r="R28" i="477"/>
  <c r="Q34" i="477"/>
  <c r="Q32" i="477"/>
  <c r="Q30" i="477"/>
  <c r="Q28" i="477"/>
  <c r="R35" i="477"/>
  <c r="R33" i="477"/>
  <c r="R31" i="477"/>
  <c r="R29" i="477"/>
  <c r="BG16" i="808"/>
  <c r="BF16" i="808"/>
  <c r="BE16" i="808"/>
  <c r="BH16" i="808"/>
  <c r="J25" i="808"/>
  <c r="J24" i="808"/>
  <c r="J23" i="808"/>
  <c r="J26" i="808"/>
  <c r="J87" i="463"/>
  <c r="J89" i="463"/>
  <c r="J86" i="463"/>
  <c r="J88" i="463"/>
  <c r="C117" i="463"/>
  <c r="D116" i="463"/>
  <c r="E115" i="463"/>
  <c r="F114" i="463"/>
  <c r="B114" i="463"/>
  <c r="C113" i="463"/>
  <c r="D112" i="463"/>
  <c r="E111" i="463"/>
  <c r="F110" i="463"/>
  <c r="B110" i="463"/>
  <c r="C109" i="463"/>
  <c r="D108" i="463"/>
  <c r="E107" i="463"/>
  <c r="F106" i="463"/>
  <c r="B106" i="463"/>
  <c r="C105" i="463"/>
  <c r="E117" i="463"/>
  <c r="F116" i="463"/>
  <c r="B116" i="463"/>
  <c r="C115" i="463"/>
  <c r="D114" i="463"/>
  <c r="E113" i="463"/>
  <c r="F112" i="463"/>
  <c r="B112" i="463"/>
  <c r="C111" i="463"/>
  <c r="D110" i="463"/>
  <c r="E109" i="463"/>
  <c r="F108" i="463"/>
  <c r="B108" i="463"/>
  <c r="C107" i="463"/>
  <c r="D106" i="463"/>
  <c r="E105" i="463"/>
  <c r="B117" i="463"/>
  <c r="D115" i="463"/>
  <c r="F113" i="463"/>
  <c r="C112" i="463"/>
  <c r="E110" i="463"/>
  <c r="B109" i="463"/>
  <c r="D107" i="463"/>
  <c r="F105" i="463"/>
  <c r="F115" i="463"/>
  <c r="E112" i="463"/>
  <c r="F107" i="463"/>
  <c r="E116" i="463"/>
  <c r="B115" i="463"/>
  <c r="D113" i="463"/>
  <c r="F111" i="463"/>
  <c r="C110" i="463"/>
  <c r="E108" i="463"/>
  <c r="B107" i="463"/>
  <c r="D105" i="463"/>
  <c r="C114" i="463"/>
  <c r="D109" i="463"/>
  <c r="F117" i="463"/>
  <c r="C116" i="463"/>
  <c r="E114" i="463"/>
  <c r="B113" i="463"/>
  <c r="D111" i="463"/>
  <c r="F109" i="463"/>
  <c r="C108" i="463"/>
  <c r="E106" i="463"/>
  <c r="B105" i="463"/>
  <c r="D117" i="463"/>
  <c r="B111" i="463"/>
  <c r="C106" i="463"/>
  <c r="G19" i="472"/>
  <c r="G18" i="472"/>
  <c r="G20" i="472"/>
  <c r="H18" i="651"/>
  <c r="H16" i="651"/>
  <c r="H14" i="651"/>
  <c r="H12" i="651"/>
  <c r="H10" i="651"/>
  <c r="H8" i="651"/>
  <c r="H6" i="651"/>
  <c r="H4" i="651"/>
  <c r="G18" i="651"/>
  <c r="G16" i="651"/>
  <c r="G14" i="651"/>
  <c r="G12" i="651"/>
  <c r="G10" i="651"/>
  <c r="G8" i="651"/>
  <c r="G6" i="651"/>
  <c r="G4" i="651"/>
  <c r="H19" i="651"/>
  <c r="H17" i="651"/>
  <c r="H15" i="651"/>
  <c r="H13" i="651"/>
  <c r="H11" i="651"/>
  <c r="H9" i="651"/>
  <c r="H7" i="651"/>
  <c r="H5" i="651"/>
  <c r="G13" i="651"/>
  <c r="G5" i="651"/>
  <c r="G19" i="651"/>
  <c r="G11" i="651"/>
  <c r="G7" i="651"/>
  <c r="G17" i="651"/>
  <c r="G9" i="651"/>
  <c r="G15" i="651"/>
  <c r="H20" i="791"/>
  <c r="H19" i="791"/>
  <c r="H21" i="791"/>
  <c r="H25" i="791"/>
  <c r="H24" i="791"/>
  <c r="H26" i="791"/>
  <c r="I31" i="471"/>
  <c r="I30" i="471"/>
  <c r="I32" i="471"/>
  <c r="K10" i="467"/>
  <c r="K8" i="467"/>
  <c r="K6" i="467"/>
  <c r="K4" i="467"/>
  <c r="J10" i="467"/>
  <c r="J8" i="467"/>
  <c r="J6" i="467"/>
  <c r="J4" i="467"/>
  <c r="K9" i="467"/>
  <c r="K7" i="467"/>
  <c r="K5" i="467"/>
  <c r="J5" i="467"/>
  <c r="J9" i="467"/>
  <c r="J7" i="467"/>
  <c r="H7" i="467"/>
  <c r="H5" i="467"/>
  <c r="G7" i="467"/>
  <c r="G5" i="467"/>
  <c r="H6" i="467"/>
  <c r="G6" i="467"/>
  <c r="S13" i="467"/>
  <c r="R13" i="467"/>
  <c r="T13" i="467"/>
  <c r="S14" i="467"/>
  <c r="R14" i="467"/>
  <c r="T14" i="467"/>
  <c r="K17" i="467"/>
  <c r="N16" i="467"/>
  <c r="J16" i="467"/>
  <c r="M15" i="467"/>
  <c r="I15" i="467"/>
  <c r="N17" i="467"/>
  <c r="J17" i="467"/>
  <c r="M16" i="467"/>
  <c r="I16" i="467"/>
  <c r="L15" i="467"/>
  <c r="H15" i="467"/>
  <c r="M17" i="467"/>
  <c r="I17" i="467"/>
  <c r="L16" i="467"/>
  <c r="H16" i="467"/>
  <c r="K15" i="467"/>
  <c r="N15" i="467"/>
  <c r="L17" i="467"/>
  <c r="J15" i="467"/>
  <c r="H17" i="467"/>
  <c r="K16" i="467"/>
  <c r="U33" i="467"/>
  <c r="W31" i="467"/>
  <c r="V30" i="467"/>
  <c r="U29" i="467"/>
  <c r="W27" i="467"/>
  <c r="V26" i="467"/>
  <c r="U25" i="467"/>
  <c r="W23" i="467"/>
  <c r="V22" i="467"/>
  <c r="W32" i="467"/>
  <c r="V31" i="467"/>
  <c r="U30" i="467"/>
  <c r="W28" i="467"/>
  <c r="V27" i="467"/>
  <c r="U26" i="467"/>
  <c r="W24" i="467"/>
  <c r="V23" i="467"/>
  <c r="U22" i="467"/>
  <c r="W33" i="467"/>
  <c r="V32" i="467"/>
  <c r="U31" i="467"/>
  <c r="W29" i="467"/>
  <c r="V28" i="467"/>
  <c r="U27" i="467"/>
  <c r="W25" i="467"/>
  <c r="V24" i="467"/>
  <c r="U23" i="467"/>
  <c r="W30" i="467"/>
  <c r="V25" i="467"/>
  <c r="W26" i="467"/>
  <c r="V29" i="467"/>
  <c r="U24" i="467"/>
  <c r="V33" i="467"/>
  <c r="U28" i="467"/>
  <c r="W22" i="467"/>
  <c r="U32" i="467"/>
  <c r="L38" i="467"/>
  <c r="H38" i="467"/>
  <c r="L37" i="467"/>
  <c r="H37" i="467"/>
  <c r="L36" i="467"/>
  <c r="H36" i="467"/>
  <c r="L35" i="467"/>
  <c r="H35" i="467"/>
  <c r="K38" i="467"/>
  <c r="G38" i="467"/>
  <c r="K37" i="467"/>
  <c r="G37" i="467"/>
  <c r="K36" i="467"/>
  <c r="G36" i="467"/>
  <c r="K35" i="467"/>
  <c r="G35" i="467"/>
  <c r="N38" i="467"/>
  <c r="J38" i="467"/>
  <c r="N37" i="467"/>
  <c r="J37" i="467"/>
  <c r="N36" i="467"/>
  <c r="J36" i="467"/>
  <c r="N35" i="467"/>
  <c r="J35" i="467"/>
  <c r="I38" i="467"/>
  <c r="I36" i="467"/>
  <c r="M37" i="467"/>
  <c r="M35" i="467"/>
  <c r="I37" i="467"/>
  <c r="I35" i="467"/>
  <c r="M38" i="467"/>
  <c r="M36" i="467"/>
  <c r="N4" i="792"/>
  <c r="F17" i="792"/>
  <c r="H15" i="792"/>
  <c r="G14" i="792"/>
  <c r="F13" i="792"/>
  <c r="H11" i="792"/>
  <c r="G10" i="792"/>
  <c r="F9" i="792"/>
  <c r="H7" i="792"/>
  <c r="G6" i="792"/>
  <c r="H16" i="792"/>
  <c r="G15" i="792"/>
  <c r="F14" i="792"/>
  <c r="H12" i="792"/>
  <c r="G11" i="792"/>
  <c r="F10" i="792"/>
  <c r="H8" i="792"/>
  <c r="G7" i="792"/>
  <c r="F6" i="792"/>
  <c r="H17" i="792"/>
  <c r="G16" i="792"/>
  <c r="F15" i="792"/>
  <c r="H13" i="792"/>
  <c r="G12" i="792"/>
  <c r="F11" i="792"/>
  <c r="H9" i="792"/>
  <c r="G8" i="792"/>
  <c r="F7" i="792"/>
  <c r="F16" i="792"/>
  <c r="H10" i="792"/>
  <c r="H14" i="792"/>
  <c r="G9" i="792"/>
  <c r="G13" i="792"/>
  <c r="F8" i="792"/>
  <c r="G17" i="792"/>
  <c r="F12" i="792"/>
  <c r="H6" i="792"/>
  <c r="T9" i="668"/>
  <c r="T7" i="668"/>
  <c r="T5" i="668"/>
  <c r="S9" i="668"/>
  <c r="S7" i="668"/>
  <c r="S5" i="668"/>
  <c r="T8" i="668"/>
  <c r="T6" i="668"/>
  <c r="S8" i="668"/>
  <c r="S6" i="668"/>
  <c r="L16" i="668"/>
  <c r="H16" i="668"/>
  <c r="L15" i="668"/>
  <c r="H15" i="668"/>
  <c r="L14" i="668"/>
  <c r="H14" i="668"/>
  <c r="L13" i="668"/>
  <c r="H13" i="668"/>
  <c r="K16" i="668"/>
  <c r="G16" i="668"/>
  <c r="K15" i="668"/>
  <c r="G15" i="668"/>
  <c r="K14" i="668"/>
  <c r="G14" i="668"/>
  <c r="K13" i="668"/>
  <c r="G13" i="668"/>
  <c r="N16" i="668"/>
  <c r="J16" i="668"/>
  <c r="N15" i="668"/>
  <c r="J15" i="668"/>
  <c r="N14" i="668"/>
  <c r="J14" i="668"/>
  <c r="N13" i="668"/>
  <c r="J13" i="668"/>
  <c r="I15" i="668"/>
  <c r="I13" i="668"/>
  <c r="M16" i="668"/>
  <c r="M14" i="668"/>
  <c r="I16" i="668"/>
  <c r="I14" i="668"/>
  <c r="M15" i="668"/>
  <c r="M13" i="668"/>
  <c r="F18" i="470"/>
  <c r="F16" i="470"/>
  <c r="F14" i="470"/>
  <c r="E18" i="470"/>
  <c r="E16" i="470"/>
  <c r="E14" i="470"/>
  <c r="F17" i="470"/>
  <c r="F15" i="470"/>
  <c r="E17" i="470"/>
  <c r="E15" i="470"/>
  <c r="H12" i="669"/>
  <c r="I11" i="669"/>
  <c r="E11" i="669"/>
  <c r="F10" i="669"/>
  <c r="G9" i="669"/>
  <c r="H8" i="669"/>
  <c r="I7" i="669"/>
  <c r="E7" i="669"/>
  <c r="F6" i="669"/>
  <c r="G12" i="669"/>
  <c r="H11" i="669"/>
  <c r="I10" i="669"/>
  <c r="E10" i="669"/>
  <c r="F9" i="669"/>
  <c r="G8" i="669"/>
  <c r="H7" i="669"/>
  <c r="I6" i="669"/>
  <c r="E6" i="669"/>
  <c r="F12" i="669"/>
  <c r="G11" i="669"/>
  <c r="H10" i="669"/>
  <c r="I9" i="669"/>
  <c r="E9" i="669"/>
  <c r="F8" i="669"/>
  <c r="G7" i="669"/>
  <c r="H6" i="669"/>
  <c r="E12" i="669"/>
  <c r="I8" i="669"/>
  <c r="F11" i="669"/>
  <c r="E8" i="669"/>
  <c r="G10" i="669"/>
  <c r="F7" i="669"/>
  <c r="I12" i="669"/>
  <c r="H9" i="669"/>
  <c r="G6" i="669"/>
  <c r="U12" i="669"/>
  <c r="U10" i="669"/>
  <c r="U8" i="669"/>
  <c r="U6" i="669"/>
  <c r="T12" i="669"/>
  <c r="T10" i="669"/>
  <c r="T8" i="669"/>
  <c r="T6" i="669"/>
  <c r="U11" i="669"/>
  <c r="U9" i="669"/>
  <c r="U7" i="669"/>
  <c r="T11" i="669"/>
  <c r="T9" i="669"/>
  <c r="T7" i="669"/>
  <c r="L16" i="474"/>
  <c r="H16" i="474"/>
  <c r="J15" i="474"/>
  <c r="L14" i="474"/>
  <c r="H14" i="474"/>
  <c r="J13" i="474"/>
  <c r="L12" i="474"/>
  <c r="H12" i="474"/>
  <c r="J11" i="474"/>
  <c r="L10" i="474"/>
  <c r="H10" i="474"/>
  <c r="J9" i="474"/>
  <c r="L8" i="474"/>
  <c r="H8" i="474"/>
  <c r="J7" i="474"/>
  <c r="L6" i="474"/>
  <c r="H6" i="474"/>
  <c r="J5" i="474"/>
  <c r="L4" i="474"/>
  <c r="H4" i="474"/>
  <c r="K16" i="474"/>
  <c r="G16" i="474"/>
  <c r="I15" i="474"/>
  <c r="K14" i="474"/>
  <c r="G14" i="474"/>
  <c r="I13" i="474"/>
  <c r="K12" i="474"/>
  <c r="G12" i="474"/>
  <c r="I11" i="474"/>
  <c r="K10" i="474"/>
  <c r="G10" i="474"/>
  <c r="I9" i="474"/>
  <c r="K8" i="474"/>
  <c r="G8" i="474"/>
  <c r="I7" i="474"/>
  <c r="K6" i="474"/>
  <c r="G6" i="474"/>
  <c r="I5" i="474"/>
  <c r="K4" i="474"/>
  <c r="G4" i="474"/>
  <c r="J16" i="474"/>
  <c r="L15" i="474"/>
  <c r="H15" i="474"/>
  <c r="J14" i="474"/>
  <c r="L13" i="474"/>
  <c r="H13" i="474"/>
  <c r="J12" i="474"/>
  <c r="L11" i="474"/>
  <c r="H11" i="474"/>
  <c r="J10" i="474"/>
  <c r="L9" i="474"/>
  <c r="H9" i="474"/>
  <c r="J8" i="474"/>
  <c r="L7" i="474"/>
  <c r="H7" i="474"/>
  <c r="J6" i="474"/>
  <c r="L5" i="474"/>
  <c r="H5" i="474"/>
  <c r="J4" i="474"/>
  <c r="I14" i="474"/>
  <c r="K11" i="474"/>
  <c r="G9" i="474"/>
  <c r="I6" i="474"/>
  <c r="I4" i="474"/>
  <c r="I16" i="474"/>
  <c r="K13" i="474"/>
  <c r="G11" i="474"/>
  <c r="I8" i="474"/>
  <c r="K5" i="474"/>
  <c r="K15" i="474"/>
  <c r="G13" i="474"/>
  <c r="I10" i="474"/>
  <c r="K7" i="474"/>
  <c r="G5" i="474"/>
  <c r="G15" i="474"/>
  <c r="I12" i="474"/>
  <c r="K9" i="474"/>
  <c r="G7" i="474"/>
  <c r="O23" i="474"/>
  <c r="N22" i="474"/>
  <c r="P20" i="474"/>
  <c r="O19" i="474"/>
  <c r="N23" i="474"/>
  <c r="P21" i="474"/>
  <c r="O20" i="474"/>
  <c r="N19" i="474"/>
  <c r="P22" i="474"/>
  <c r="O21" i="474"/>
  <c r="N20" i="474"/>
  <c r="N21" i="474"/>
  <c r="P19" i="474"/>
  <c r="P23" i="474"/>
  <c r="O22" i="474"/>
  <c r="P29" i="474"/>
  <c r="P27" i="474"/>
  <c r="O29" i="474"/>
  <c r="O27" i="474"/>
  <c r="P30" i="474"/>
  <c r="P28" i="474"/>
  <c r="O30" i="474"/>
  <c r="O28" i="474"/>
  <c r="D19" i="476"/>
  <c r="C19" i="476"/>
  <c r="F19" i="476"/>
  <c r="E19" i="476"/>
  <c r="BF15" i="808"/>
  <c r="BF14" i="808"/>
  <c r="BF13" i="808"/>
  <c r="BF12" i="808"/>
  <c r="BE15" i="808"/>
  <c r="BE14" i="808"/>
  <c r="BE13" i="808"/>
  <c r="BE12" i="808"/>
  <c r="BH15" i="808"/>
  <c r="BH14" i="808"/>
  <c r="BH13" i="808"/>
  <c r="BH12" i="808"/>
  <c r="BG14" i="808"/>
  <c r="BG13" i="808"/>
  <c r="BG12" i="808"/>
  <c r="BG15" i="808"/>
  <c r="AS37" i="808"/>
  <c r="AS33" i="808"/>
  <c r="AS29" i="808"/>
  <c r="AS25" i="808"/>
  <c r="AS36" i="808"/>
  <c r="AS32" i="808"/>
  <c r="AS28" i="808"/>
  <c r="AS24" i="808"/>
  <c r="AS35" i="808"/>
  <c r="AS31" i="808"/>
  <c r="AS27" i="808"/>
  <c r="AS34" i="808"/>
  <c r="AS30" i="808"/>
  <c r="AS26" i="808"/>
  <c r="AS38" i="808"/>
  <c r="R7" i="798"/>
  <c r="N7" i="798"/>
  <c r="Q6" i="798"/>
  <c r="M6" i="798"/>
  <c r="P5" i="798"/>
  <c r="S4" i="798"/>
  <c r="O4" i="798"/>
  <c r="R3" i="798"/>
  <c r="N3" i="798"/>
  <c r="Q7" i="798"/>
  <c r="M7" i="798"/>
  <c r="P6" i="798"/>
  <c r="S5" i="798"/>
  <c r="O5" i="798"/>
  <c r="R4" i="798"/>
  <c r="N4" i="798"/>
  <c r="Q3" i="798"/>
  <c r="M3" i="798"/>
  <c r="P7" i="798"/>
  <c r="S6" i="798"/>
  <c r="O6" i="798"/>
  <c r="R5" i="798"/>
  <c r="N5" i="798"/>
  <c r="Q4" i="798"/>
  <c r="M4" i="798"/>
  <c r="P3" i="798"/>
  <c r="R6" i="798"/>
  <c r="P4" i="798"/>
  <c r="N6" i="798"/>
  <c r="S3" i="798"/>
  <c r="S7" i="798"/>
  <c r="Q5" i="798"/>
  <c r="O3" i="798"/>
  <c r="O7" i="798"/>
  <c r="M5" i="798"/>
  <c r="Q15" i="798"/>
  <c r="M15" i="798"/>
  <c r="O15" i="798"/>
  <c r="Q14" i="798"/>
  <c r="M14" i="798"/>
  <c r="P13" i="798"/>
  <c r="S12" i="798"/>
  <c r="O12" i="798"/>
  <c r="R11" i="798"/>
  <c r="N11" i="798"/>
  <c r="S15" i="798"/>
  <c r="N15" i="798"/>
  <c r="P14" i="798"/>
  <c r="S13" i="798"/>
  <c r="O13" i="798"/>
  <c r="R12" i="798"/>
  <c r="N12" i="798"/>
  <c r="Q11" i="798"/>
  <c r="M11" i="798"/>
  <c r="R15" i="798"/>
  <c r="S14" i="798"/>
  <c r="O14" i="798"/>
  <c r="R13" i="798"/>
  <c r="N13" i="798"/>
  <c r="Q12" i="798"/>
  <c r="M12" i="798"/>
  <c r="P11" i="798"/>
  <c r="Q13" i="798"/>
  <c r="O11" i="798"/>
  <c r="P15" i="798"/>
  <c r="M13" i="798"/>
  <c r="R14" i="798"/>
  <c r="P12" i="798"/>
  <c r="N14" i="798"/>
  <c r="S11" i="798"/>
  <c r="M9" i="744"/>
  <c r="M8" i="744"/>
  <c r="M7" i="744"/>
  <c r="L6" i="749"/>
  <c r="L5" i="749"/>
  <c r="L4" i="749"/>
  <c r="I9" i="303"/>
  <c r="J8" i="303"/>
  <c r="K7" i="303"/>
  <c r="G7" i="303"/>
  <c r="H6" i="303"/>
  <c r="I5" i="303"/>
  <c r="H9" i="303"/>
  <c r="I8" i="303"/>
  <c r="J7" i="303"/>
  <c r="K6" i="303"/>
  <c r="G6" i="303"/>
  <c r="H5" i="303"/>
  <c r="K9" i="303"/>
  <c r="G9" i="303"/>
  <c r="H8" i="303"/>
  <c r="I7" i="303"/>
  <c r="J6" i="303"/>
  <c r="K5" i="303"/>
  <c r="G5" i="303"/>
  <c r="J9" i="303"/>
  <c r="I6" i="303"/>
  <c r="K8" i="303"/>
  <c r="J5" i="303"/>
  <c r="G8" i="303"/>
  <c r="H7" i="303"/>
  <c r="M20" i="794"/>
  <c r="L20" i="794"/>
  <c r="K20" i="794"/>
  <c r="J23" i="507"/>
  <c r="J22" i="507"/>
  <c r="J21" i="507"/>
  <c r="J20" i="507"/>
  <c r="J19" i="507"/>
  <c r="J18" i="507"/>
  <c r="J17" i="507"/>
  <c r="J16" i="507"/>
  <c r="J15" i="507"/>
  <c r="J14" i="507"/>
  <c r="J13" i="507"/>
  <c r="J12" i="507"/>
  <c r="J11" i="507"/>
  <c r="J10" i="507"/>
  <c r="J9" i="507"/>
  <c r="J8" i="507"/>
  <c r="J7" i="507"/>
  <c r="J6" i="507"/>
  <c r="J5" i="507"/>
  <c r="J4" i="507"/>
  <c r="I23" i="507"/>
  <c r="I22" i="507"/>
  <c r="I21" i="507"/>
  <c r="I20" i="507"/>
  <c r="H23" i="507"/>
  <c r="H22" i="507"/>
  <c r="H21" i="507"/>
  <c r="H20" i="507"/>
  <c r="H19" i="507"/>
  <c r="H18" i="507"/>
  <c r="H17" i="507"/>
  <c r="H16" i="507"/>
  <c r="H15" i="507"/>
  <c r="H14" i="507"/>
  <c r="H13" i="507"/>
  <c r="H12" i="507"/>
  <c r="H11" i="507"/>
  <c r="H10" i="507"/>
  <c r="H9" i="507"/>
  <c r="H8" i="507"/>
  <c r="H7" i="507"/>
  <c r="H6" i="507"/>
  <c r="H5" i="507"/>
  <c r="H4" i="507"/>
  <c r="K22" i="507"/>
  <c r="I19" i="507"/>
  <c r="I17" i="507"/>
  <c r="I15" i="507"/>
  <c r="I13" i="507"/>
  <c r="I11" i="507"/>
  <c r="I9" i="507"/>
  <c r="I7" i="507"/>
  <c r="I5" i="507"/>
  <c r="K21" i="507"/>
  <c r="K18" i="507"/>
  <c r="K16" i="507"/>
  <c r="K14" i="507"/>
  <c r="K12" i="507"/>
  <c r="K10" i="507"/>
  <c r="K8" i="507"/>
  <c r="K6" i="507"/>
  <c r="K4" i="507"/>
  <c r="K20" i="507"/>
  <c r="I18" i="507"/>
  <c r="I16" i="507"/>
  <c r="I14" i="507"/>
  <c r="I12" i="507"/>
  <c r="I10" i="507"/>
  <c r="I8" i="507"/>
  <c r="I6" i="507"/>
  <c r="I4" i="507"/>
  <c r="K17" i="507"/>
  <c r="K9" i="507"/>
  <c r="K15" i="507"/>
  <c r="K7" i="507"/>
  <c r="K23" i="507"/>
  <c r="K13" i="507"/>
  <c r="K5" i="507"/>
  <c r="K19" i="507"/>
  <c r="K11" i="507"/>
  <c r="I16" i="651"/>
  <c r="I12" i="651"/>
  <c r="I8" i="651"/>
  <c r="I4" i="651"/>
  <c r="I19" i="651"/>
  <c r="I15" i="651"/>
  <c r="I11" i="651"/>
  <c r="I7" i="651"/>
  <c r="I18" i="651"/>
  <c r="I14" i="651"/>
  <c r="I10" i="651"/>
  <c r="I6" i="651"/>
  <c r="I5" i="651"/>
  <c r="I17" i="651"/>
  <c r="I13" i="651"/>
  <c r="I9" i="651"/>
  <c r="AB6" i="791"/>
  <c r="AA5" i="791"/>
  <c r="Z4" i="791"/>
  <c r="AA6" i="791"/>
  <c r="Z5" i="791"/>
  <c r="Z6" i="791"/>
  <c r="AB4" i="791"/>
  <c r="AA4" i="791"/>
  <c r="AB5" i="791"/>
  <c r="N31" i="465"/>
  <c r="J31" i="465"/>
  <c r="M30" i="465"/>
  <c r="I30" i="465"/>
  <c r="L29" i="465"/>
  <c r="H29" i="465"/>
  <c r="M31" i="465"/>
  <c r="I31" i="465"/>
  <c r="L30" i="465"/>
  <c r="H30" i="465"/>
  <c r="K29" i="465"/>
  <c r="L31" i="465"/>
  <c r="H31" i="465"/>
  <c r="K30" i="465"/>
  <c r="N29" i="465"/>
  <c r="J29" i="465"/>
  <c r="N30" i="465"/>
  <c r="K31" i="465"/>
  <c r="J30" i="465"/>
  <c r="M29" i="465"/>
  <c r="I29" i="465"/>
  <c r="AC22" i="466"/>
  <c r="AB21" i="466"/>
  <c r="AA20" i="466"/>
  <c r="AB22" i="466"/>
  <c r="AA21" i="466"/>
  <c r="AA22" i="466"/>
  <c r="AC20" i="466"/>
  <c r="AC21" i="466"/>
  <c r="AB20" i="466"/>
  <c r="I29" i="466"/>
  <c r="I31" i="466"/>
  <c r="I30" i="466"/>
  <c r="AA6" i="468"/>
  <c r="AA8" i="468"/>
  <c r="AA7" i="468"/>
  <c r="AB6" i="468"/>
  <c r="AB8" i="468"/>
  <c r="AB7" i="468"/>
  <c r="Z22" i="468"/>
  <c r="Y21" i="468"/>
  <c r="X20" i="468"/>
  <c r="Y22" i="468"/>
  <c r="X21" i="468"/>
  <c r="X22" i="468"/>
  <c r="Z20" i="468"/>
  <c r="Z21" i="468"/>
  <c r="Y20" i="468"/>
  <c r="I22" i="468"/>
  <c r="I24" i="468"/>
  <c r="I23" i="468"/>
  <c r="AC25" i="468"/>
  <c r="AB24" i="468"/>
  <c r="AA23" i="468"/>
  <c r="AB25" i="468"/>
  <c r="AA24" i="468"/>
  <c r="AA25" i="468"/>
  <c r="AC23" i="468"/>
  <c r="AB23" i="468"/>
  <c r="AC24" i="468"/>
  <c r="N45" i="467"/>
  <c r="J45" i="467"/>
  <c r="M44" i="467"/>
  <c r="I44" i="467"/>
  <c r="L43" i="467"/>
  <c r="H43" i="467"/>
  <c r="M45" i="467"/>
  <c r="I45" i="467"/>
  <c r="L44" i="467"/>
  <c r="H44" i="467"/>
  <c r="K43" i="467"/>
  <c r="L45" i="467"/>
  <c r="H45" i="467"/>
  <c r="K44" i="467"/>
  <c r="N43" i="467"/>
  <c r="J43" i="467"/>
  <c r="J44" i="467"/>
  <c r="M43" i="467"/>
  <c r="K45" i="467"/>
  <c r="I43" i="467"/>
  <c r="N44" i="467"/>
  <c r="P8" i="792"/>
  <c r="O7" i="792"/>
  <c r="N6" i="792"/>
  <c r="P9" i="792"/>
  <c r="O8" i="792"/>
  <c r="N7" i="792"/>
  <c r="O9" i="792"/>
  <c r="N8" i="792"/>
  <c r="P6" i="792"/>
  <c r="N9" i="792"/>
  <c r="P7" i="792"/>
  <c r="O6" i="792"/>
  <c r="P11" i="668"/>
  <c r="P9" i="668"/>
  <c r="P7" i="668"/>
  <c r="P5" i="668"/>
  <c r="Q10" i="668"/>
  <c r="Q8" i="668"/>
  <c r="Q6" i="668"/>
  <c r="P10" i="668"/>
  <c r="P8" i="668"/>
  <c r="P6" i="668"/>
  <c r="Q11" i="668"/>
  <c r="Q9" i="668"/>
  <c r="Q7" i="668"/>
  <c r="Q5" i="668"/>
  <c r="M10" i="470"/>
  <c r="N9" i="470"/>
  <c r="O8" i="470"/>
  <c r="K8" i="470"/>
  <c r="L7" i="470"/>
  <c r="M6" i="470"/>
  <c r="N5" i="470"/>
  <c r="O4" i="470"/>
  <c r="K4" i="470"/>
  <c r="L10" i="470"/>
  <c r="M9" i="470"/>
  <c r="N8" i="470"/>
  <c r="O7" i="470"/>
  <c r="K7" i="470"/>
  <c r="L6" i="470"/>
  <c r="M5" i="470"/>
  <c r="N4" i="470"/>
  <c r="O10" i="470"/>
  <c r="K10" i="470"/>
  <c r="L9" i="470"/>
  <c r="M8" i="470"/>
  <c r="N7" i="470"/>
  <c r="O6" i="470"/>
  <c r="K6" i="470"/>
  <c r="L5" i="470"/>
  <c r="M4" i="470"/>
  <c r="N10" i="470"/>
  <c r="M7" i="470"/>
  <c r="L4" i="470"/>
  <c r="O9" i="470"/>
  <c r="N6" i="470"/>
  <c r="K9" i="470"/>
  <c r="O5" i="470"/>
  <c r="L8" i="470"/>
  <c r="K5" i="470"/>
  <c r="H10" i="470"/>
  <c r="I9" i="470"/>
  <c r="E9" i="470"/>
  <c r="F8" i="470"/>
  <c r="G7" i="470"/>
  <c r="H6" i="470"/>
  <c r="I5" i="470"/>
  <c r="E5" i="470"/>
  <c r="G10" i="470"/>
  <c r="H9" i="470"/>
  <c r="I8" i="470"/>
  <c r="E8" i="470"/>
  <c r="F7" i="470"/>
  <c r="G6" i="470"/>
  <c r="H5" i="470"/>
  <c r="F10" i="470"/>
  <c r="G9" i="470"/>
  <c r="H8" i="470"/>
  <c r="I7" i="470"/>
  <c r="E7" i="470"/>
  <c r="F6" i="470"/>
  <c r="G5" i="470"/>
  <c r="I10" i="470"/>
  <c r="H7" i="470"/>
  <c r="E10" i="470"/>
  <c r="I6" i="470"/>
  <c r="F9" i="470"/>
  <c r="E6" i="470"/>
  <c r="G8" i="470"/>
  <c r="F5" i="470"/>
  <c r="F16" i="477"/>
  <c r="F18" i="477"/>
  <c r="F17" i="477"/>
  <c r="M16" i="477"/>
  <c r="M18" i="477"/>
  <c r="M17" i="477"/>
  <c r="T16" i="477"/>
  <c r="T18" i="477"/>
  <c r="T17" i="477"/>
  <c r="C34" i="477"/>
  <c r="C32" i="477"/>
  <c r="C30" i="477"/>
  <c r="C28" i="477"/>
  <c r="D35" i="477"/>
  <c r="D33" i="477"/>
  <c r="D31" i="477"/>
  <c r="D29" i="477"/>
  <c r="C35" i="477"/>
  <c r="C33" i="477"/>
  <c r="C31" i="477"/>
  <c r="C29" i="477"/>
  <c r="D28" i="477"/>
  <c r="D34" i="477"/>
  <c r="D32" i="477"/>
  <c r="D30" i="477"/>
  <c r="C20" i="476"/>
  <c r="F20" i="476"/>
  <c r="E20" i="476"/>
  <c r="D20" i="476"/>
  <c r="AP13" i="808"/>
  <c r="AP15" i="808"/>
  <c r="AP14" i="808"/>
  <c r="AV17" i="808"/>
  <c r="AY17" i="808"/>
  <c r="AX17" i="808"/>
  <c r="AW17" i="808"/>
  <c r="P14" i="712"/>
  <c r="L14" i="712"/>
  <c r="Q13" i="712"/>
  <c r="M13" i="712"/>
  <c r="I13" i="712"/>
  <c r="N12" i="712"/>
  <c r="J12" i="712"/>
  <c r="O11" i="712"/>
  <c r="K11" i="712"/>
  <c r="O14" i="712"/>
  <c r="K14" i="712"/>
  <c r="P13" i="712"/>
  <c r="L13" i="712"/>
  <c r="Q12" i="712"/>
  <c r="M12" i="712"/>
  <c r="I12" i="712"/>
  <c r="N11" i="712"/>
  <c r="J11" i="712"/>
  <c r="N14" i="712"/>
  <c r="J14" i="712"/>
  <c r="O13" i="712"/>
  <c r="K13" i="712"/>
  <c r="P12" i="712"/>
  <c r="L12" i="712"/>
  <c r="Q11" i="712"/>
  <c r="M11" i="712"/>
  <c r="I11" i="712"/>
  <c r="Q14" i="712"/>
  <c r="J13" i="712"/>
  <c r="L11" i="712"/>
  <c r="M14" i="712"/>
  <c r="O12" i="712"/>
  <c r="I14" i="712"/>
  <c r="K12" i="712"/>
  <c r="N13" i="712"/>
  <c r="P11" i="712"/>
  <c r="G20" i="597"/>
  <c r="G19" i="597"/>
  <c r="G18" i="597"/>
  <c r="G17" i="597"/>
  <c r="G16" i="597"/>
  <c r="G15" i="597"/>
  <c r="G14" i="597"/>
  <c r="G13" i="597"/>
  <c r="G12" i="597"/>
  <c r="G11" i="597"/>
  <c r="G10" i="597"/>
  <c r="G9" i="597"/>
  <c r="G8" i="597"/>
  <c r="G7" i="597"/>
  <c r="G6" i="597"/>
  <c r="G5" i="597"/>
  <c r="F20" i="597"/>
  <c r="F19" i="597"/>
  <c r="F18" i="597"/>
  <c r="F17" i="597"/>
  <c r="F16" i="597"/>
  <c r="F15" i="597"/>
  <c r="F14" i="597"/>
  <c r="F13" i="597"/>
  <c r="F12" i="597"/>
  <c r="F11" i="597"/>
  <c r="F10" i="597"/>
  <c r="F9" i="597"/>
  <c r="F8" i="597"/>
  <c r="F7" i="597"/>
  <c r="F6" i="597"/>
  <c r="F5" i="597"/>
  <c r="E20" i="597"/>
  <c r="E19" i="597"/>
  <c r="E18" i="597"/>
  <c r="E17" i="597"/>
  <c r="E16" i="597"/>
  <c r="E15" i="597"/>
  <c r="E14" i="597"/>
  <c r="E13" i="597"/>
  <c r="E12" i="597"/>
  <c r="E11" i="597"/>
  <c r="E10" i="597"/>
  <c r="E9" i="597"/>
  <c r="E8" i="597"/>
  <c r="E7" i="597"/>
  <c r="E6" i="597"/>
  <c r="E5" i="597"/>
  <c r="H17" i="597"/>
  <c r="H13" i="597"/>
  <c r="H9" i="597"/>
  <c r="H5" i="597"/>
  <c r="H20" i="597"/>
  <c r="H16" i="597"/>
  <c r="H12" i="597"/>
  <c r="H8" i="597"/>
  <c r="H19" i="597"/>
  <c r="H15" i="597"/>
  <c r="H11" i="597"/>
  <c r="H7" i="597"/>
  <c r="H10" i="597"/>
  <c r="H6" i="597"/>
  <c r="H18" i="597"/>
  <c r="H14" i="597"/>
  <c r="N12" i="745"/>
  <c r="N11" i="745"/>
  <c r="N10" i="745"/>
  <c r="N13" i="745"/>
  <c r="M9" i="749"/>
  <c r="M8" i="749"/>
  <c r="M7" i="749"/>
  <c r="C8" i="298"/>
  <c r="C7" i="298"/>
  <c r="C6" i="298"/>
  <c r="C5" i="298"/>
  <c r="B8" i="298"/>
  <c r="B7" i="298"/>
  <c r="B6" i="298"/>
  <c r="B5" i="298"/>
  <c r="A8" i="298"/>
  <c r="A7" i="298"/>
  <c r="A6" i="298"/>
  <c r="A5" i="298"/>
  <c r="D5" i="298"/>
  <c r="D8" i="298"/>
  <c r="D7" i="298"/>
  <c r="D6" i="298"/>
  <c r="AN31" i="300"/>
  <c r="AJ31" i="300"/>
  <c r="AL30" i="300"/>
  <c r="AN29" i="300"/>
  <c r="AJ29" i="300"/>
  <c r="AL28" i="300"/>
  <c r="AN27" i="300"/>
  <c r="AJ27" i="300"/>
  <c r="AL26" i="300"/>
  <c r="AM31" i="300"/>
  <c r="AO30" i="300"/>
  <c r="AK30" i="300"/>
  <c r="AM29" i="300"/>
  <c r="AO28" i="300"/>
  <c r="AK28" i="300"/>
  <c r="AM27" i="300"/>
  <c r="AO26" i="300"/>
  <c r="AK26" i="300"/>
  <c r="AL31" i="300"/>
  <c r="AN30" i="300"/>
  <c r="AJ30" i="300"/>
  <c r="AL29" i="300"/>
  <c r="AN28" i="300"/>
  <c r="AJ28" i="300"/>
  <c r="AL27" i="300"/>
  <c r="AN26" i="300"/>
  <c r="AJ26" i="300"/>
  <c r="AO31" i="300"/>
  <c r="AK29" i="300"/>
  <c r="AM26" i="300"/>
  <c r="AK31" i="300"/>
  <c r="AM28" i="300"/>
  <c r="AM30" i="300"/>
  <c r="AO27" i="300"/>
  <c r="AK27" i="300"/>
  <c r="AO29" i="300"/>
  <c r="G20" i="793"/>
  <c r="G19" i="793"/>
  <c r="G18" i="793"/>
  <c r="G17" i="793"/>
  <c r="G16" i="793"/>
  <c r="G15" i="793"/>
  <c r="G14" i="793"/>
  <c r="G13" i="793"/>
  <c r="G12" i="793"/>
  <c r="G11" i="793"/>
  <c r="G10" i="793"/>
  <c r="G9" i="793"/>
  <c r="G8" i="793"/>
  <c r="G7" i="793"/>
  <c r="G6" i="793"/>
  <c r="G5" i="793"/>
  <c r="F20" i="793"/>
  <c r="F19" i="793"/>
  <c r="F18" i="793"/>
  <c r="F17" i="793"/>
  <c r="F16" i="793"/>
  <c r="F15" i="793"/>
  <c r="F14" i="793"/>
  <c r="F13" i="793"/>
  <c r="F12" i="793"/>
  <c r="F11" i="793"/>
  <c r="F10" i="793"/>
  <c r="F9" i="793"/>
  <c r="F8" i="793"/>
  <c r="F7" i="793"/>
  <c r="F6" i="793"/>
  <c r="F5" i="793"/>
  <c r="E20" i="793"/>
  <c r="E19" i="793"/>
  <c r="E18" i="793"/>
  <c r="E17" i="793"/>
  <c r="E16" i="793"/>
  <c r="E15" i="793"/>
  <c r="E14" i="793"/>
  <c r="E13" i="793"/>
  <c r="E12" i="793"/>
  <c r="E11" i="793"/>
  <c r="E10" i="793"/>
  <c r="E9" i="793"/>
  <c r="E8" i="793"/>
  <c r="E7" i="793"/>
  <c r="E6" i="793"/>
  <c r="E5" i="793"/>
  <c r="H19" i="793"/>
  <c r="H15" i="793"/>
  <c r="H11" i="793"/>
  <c r="H7" i="793"/>
  <c r="H18" i="793"/>
  <c r="H14" i="793"/>
  <c r="H10" i="793"/>
  <c r="H6" i="793"/>
  <c r="H17" i="793"/>
  <c r="H13" i="793"/>
  <c r="H9" i="793"/>
  <c r="H5" i="793"/>
  <c r="H8" i="793"/>
  <c r="H20" i="793"/>
  <c r="H16" i="793"/>
  <c r="H12" i="793"/>
  <c r="R20" i="499"/>
  <c r="R19" i="499"/>
  <c r="AG52" i="463"/>
  <c r="AI52" i="463"/>
  <c r="AH51" i="463"/>
  <c r="AI51" i="463"/>
  <c r="AH52" i="463"/>
  <c r="AG51" i="463"/>
  <c r="V75" i="463"/>
  <c r="V73" i="463"/>
  <c r="V74" i="463"/>
  <c r="V72" i="463"/>
  <c r="R101" i="463"/>
  <c r="R99" i="463"/>
  <c r="R97" i="463"/>
  <c r="R102" i="463"/>
  <c r="R100" i="463"/>
  <c r="R98" i="463"/>
  <c r="R96" i="463"/>
  <c r="Q101" i="463"/>
  <c r="Q97" i="463"/>
  <c r="Q102" i="463"/>
  <c r="Q100" i="463"/>
  <c r="Q96" i="463"/>
  <c r="Q99" i="463"/>
  <c r="Q98" i="463"/>
  <c r="M8" i="472"/>
  <c r="I8" i="472"/>
  <c r="M7" i="472"/>
  <c r="I7" i="472"/>
  <c r="M6" i="472"/>
  <c r="I6" i="472"/>
  <c r="M5" i="472"/>
  <c r="I5" i="472"/>
  <c r="K8" i="472"/>
  <c r="G8" i="472"/>
  <c r="K7" i="472"/>
  <c r="G7" i="472"/>
  <c r="K6" i="472"/>
  <c r="G6" i="472"/>
  <c r="K5" i="472"/>
  <c r="G5" i="472"/>
  <c r="H8" i="472"/>
  <c r="H7" i="472"/>
  <c r="H6" i="472"/>
  <c r="H5" i="472"/>
  <c r="J5" i="472"/>
  <c r="F8" i="472"/>
  <c r="F7" i="472"/>
  <c r="F6" i="472"/>
  <c r="F5" i="472"/>
  <c r="J7" i="472"/>
  <c r="L8" i="472"/>
  <c r="L7" i="472"/>
  <c r="L6" i="472"/>
  <c r="L5" i="472"/>
  <c r="J8" i="472"/>
  <c r="J6" i="472"/>
  <c r="Y8" i="472"/>
  <c r="U8" i="472"/>
  <c r="Y7" i="472"/>
  <c r="U7" i="472"/>
  <c r="Y6" i="472"/>
  <c r="U6" i="472"/>
  <c r="Y5" i="472"/>
  <c r="U5" i="472"/>
  <c r="W8" i="472"/>
  <c r="S8" i="472"/>
  <c r="W7" i="472"/>
  <c r="S7" i="472"/>
  <c r="W6" i="472"/>
  <c r="S6" i="472"/>
  <c r="W5" i="472"/>
  <c r="S5" i="472"/>
  <c r="X8" i="472"/>
  <c r="X7" i="472"/>
  <c r="X6" i="472"/>
  <c r="X5" i="472"/>
  <c r="R8" i="472"/>
  <c r="R6" i="472"/>
  <c r="V8" i="472"/>
  <c r="V7" i="472"/>
  <c r="V6" i="472"/>
  <c r="V5" i="472"/>
  <c r="T8" i="472"/>
  <c r="T7" i="472"/>
  <c r="T6" i="472"/>
  <c r="T5" i="472"/>
  <c r="R7" i="472"/>
  <c r="R5" i="472"/>
  <c r="J19" i="651"/>
  <c r="J15" i="651"/>
  <c r="J11" i="651"/>
  <c r="J7" i="651"/>
  <c r="J18" i="651"/>
  <c r="J14" i="651"/>
  <c r="J10" i="651"/>
  <c r="J6" i="651"/>
  <c r="J17" i="651"/>
  <c r="J13" i="651"/>
  <c r="J9" i="651"/>
  <c r="J5" i="651"/>
  <c r="J4" i="651"/>
  <c r="J16" i="651"/>
  <c r="J8" i="651"/>
  <c r="J12" i="651"/>
  <c r="P41" i="442"/>
  <c r="O41" i="442"/>
  <c r="P42" i="442"/>
  <c r="P40" i="442"/>
  <c r="O42" i="442"/>
  <c r="O40" i="442"/>
  <c r="U7" i="790"/>
  <c r="U6" i="790"/>
  <c r="U5" i="790"/>
  <c r="AM16" i="790"/>
  <c r="AL15" i="790"/>
  <c r="AK14" i="790"/>
  <c r="AM12" i="790"/>
  <c r="AL11" i="790"/>
  <c r="AK10" i="790"/>
  <c r="AM8" i="790"/>
  <c r="AL7" i="790"/>
  <c r="AK6" i="790"/>
  <c r="AL16" i="790"/>
  <c r="AK15" i="790"/>
  <c r="AM13" i="790"/>
  <c r="AL12" i="790"/>
  <c r="AK11" i="790"/>
  <c r="AM9" i="790"/>
  <c r="AL8" i="790"/>
  <c r="AK7" i="790"/>
  <c r="AM5" i="790"/>
  <c r="AK16" i="790"/>
  <c r="AM14" i="790"/>
  <c r="AL13" i="790"/>
  <c r="AK12" i="790"/>
  <c r="AM10" i="790"/>
  <c r="AL9" i="790"/>
  <c r="AK8" i="790"/>
  <c r="AM6" i="790"/>
  <c r="AL5" i="790"/>
  <c r="AM11" i="790"/>
  <c r="AL6" i="790"/>
  <c r="AK13" i="790"/>
  <c r="AM15" i="790"/>
  <c r="AL10" i="790"/>
  <c r="AK5" i="790"/>
  <c r="AL14" i="790"/>
  <c r="AK9" i="790"/>
  <c r="AM7" i="790"/>
  <c r="H21" i="790"/>
  <c r="H20" i="790"/>
  <c r="H19" i="790"/>
  <c r="L26" i="790"/>
  <c r="H26" i="790"/>
  <c r="K25" i="790"/>
  <c r="G25" i="790"/>
  <c r="J24" i="790"/>
  <c r="F24" i="790"/>
  <c r="I23" i="790"/>
  <c r="K26" i="790"/>
  <c r="G26" i="790"/>
  <c r="J25" i="790"/>
  <c r="F25" i="790"/>
  <c r="I24" i="790"/>
  <c r="L23" i="790"/>
  <c r="H23" i="790"/>
  <c r="J26" i="790"/>
  <c r="F26" i="790"/>
  <c r="I25" i="790"/>
  <c r="L24" i="790"/>
  <c r="H24" i="790"/>
  <c r="K23" i="790"/>
  <c r="G23" i="790"/>
  <c r="H25" i="790"/>
  <c r="F23" i="790"/>
  <c r="L25" i="790"/>
  <c r="K24" i="790"/>
  <c r="J23" i="790"/>
  <c r="I26" i="790"/>
  <c r="G24" i="790"/>
  <c r="X8" i="465"/>
  <c r="X7" i="465"/>
  <c r="X6" i="465"/>
  <c r="Y8" i="465"/>
  <c r="Y7" i="465"/>
  <c r="Y6" i="465"/>
  <c r="I24" i="471"/>
  <c r="I23" i="471"/>
  <c r="I22" i="471"/>
  <c r="Y16" i="467"/>
  <c r="Y15" i="467"/>
  <c r="Y14" i="467"/>
  <c r="Y13" i="467"/>
  <c r="Y12" i="467"/>
  <c r="Y11" i="467"/>
  <c r="Y10" i="467"/>
  <c r="Y9" i="467"/>
  <c r="Y8" i="467"/>
  <c r="Y7" i="467"/>
  <c r="Y6" i="467"/>
  <c r="Y5" i="467"/>
  <c r="Y4" i="467"/>
  <c r="X16" i="467"/>
  <c r="X15" i="467"/>
  <c r="X14" i="467"/>
  <c r="X13" i="467"/>
  <c r="X12" i="467"/>
  <c r="X11" i="467"/>
  <c r="X10" i="467"/>
  <c r="X9" i="467"/>
  <c r="X8" i="467"/>
  <c r="X7" i="467"/>
  <c r="X6" i="467"/>
  <c r="X5" i="467"/>
  <c r="X4" i="467"/>
  <c r="W16" i="467"/>
  <c r="W15" i="467"/>
  <c r="W14" i="467"/>
  <c r="W13" i="467"/>
  <c r="W12" i="467"/>
  <c r="W11" i="467"/>
  <c r="W10" i="467"/>
  <c r="W9" i="467"/>
  <c r="W8" i="467"/>
  <c r="W7" i="467"/>
  <c r="W6" i="467"/>
  <c r="W5" i="467"/>
  <c r="W4" i="467"/>
  <c r="V13" i="467"/>
  <c r="V9" i="467"/>
  <c r="V5" i="467"/>
  <c r="V14" i="467"/>
  <c r="V6" i="467"/>
  <c r="V16" i="467"/>
  <c r="V12" i="467"/>
  <c r="V8" i="467"/>
  <c r="V4" i="467"/>
  <c r="V15" i="467"/>
  <c r="V11" i="467"/>
  <c r="V7" i="467"/>
  <c r="V10" i="467"/>
  <c r="T15" i="467"/>
  <c r="S15" i="467"/>
  <c r="R15" i="467"/>
  <c r="T16" i="467"/>
  <c r="S16" i="467"/>
  <c r="R16" i="467"/>
  <c r="AC19" i="467"/>
  <c r="AB19" i="467"/>
  <c r="AC20" i="467"/>
  <c r="AC18" i="467"/>
  <c r="AB20" i="467"/>
  <c r="AB18" i="467"/>
  <c r="M24" i="467"/>
  <c r="I24" i="467"/>
  <c r="L23" i="467"/>
  <c r="H23" i="467"/>
  <c r="K22" i="467"/>
  <c r="L24" i="467"/>
  <c r="H24" i="467"/>
  <c r="K23" i="467"/>
  <c r="N22" i="467"/>
  <c r="J22" i="467"/>
  <c r="K24" i="467"/>
  <c r="N23" i="467"/>
  <c r="J23" i="467"/>
  <c r="M22" i="467"/>
  <c r="I22" i="467"/>
  <c r="J24" i="467"/>
  <c r="H22" i="467"/>
  <c r="M23" i="467"/>
  <c r="I23" i="467"/>
  <c r="N24" i="467"/>
  <c r="L22" i="467"/>
  <c r="Z28" i="467"/>
  <c r="Z26" i="467"/>
  <c r="Y28" i="467"/>
  <c r="Y26" i="467"/>
  <c r="Z27" i="467"/>
  <c r="Z25" i="467"/>
  <c r="Y27" i="467"/>
  <c r="Y25" i="467"/>
  <c r="R4" i="792"/>
  <c r="T17" i="792"/>
  <c r="S16" i="792"/>
  <c r="R15" i="792"/>
  <c r="T13" i="792"/>
  <c r="S12" i="792"/>
  <c r="R11" i="792"/>
  <c r="T9" i="792"/>
  <c r="S8" i="792"/>
  <c r="R7" i="792"/>
  <c r="S17" i="792"/>
  <c r="R16" i="792"/>
  <c r="T14" i="792"/>
  <c r="S13" i="792"/>
  <c r="R12" i="792"/>
  <c r="T10" i="792"/>
  <c r="S9" i="792"/>
  <c r="R8" i="792"/>
  <c r="T6" i="792"/>
  <c r="R17" i="792"/>
  <c r="T15" i="792"/>
  <c r="S14" i="792"/>
  <c r="R13" i="792"/>
  <c r="T11" i="792"/>
  <c r="S10" i="792"/>
  <c r="R9" i="792"/>
  <c r="T7" i="792"/>
  <c r="S6" i="792"/>
  <c r="S15" i="792"/>
  <c r="R10" i="792"/>
  <c r="R14" i="792"/>
  <c r="T8" i="792"/>
  <c r="T12" i="792"/>
  <c r="S7" i="792"/>
  <c r="T16" i="792"/>
  <c r="S11" i="792"/>
  <c r="R6" i="792"/>
  <c r="M17" i="470"/>
  <c r="L16" i="470"/>
  <c r="K15" i="470"/>
  <c r="L17" i="470"/>
  <c r="K16" i="470"/>
  <c r="M14" i="470"/>
  <c r="K17" i="470"/>
  <c r="M15" i="470"/>
  <c r="L14" i="470"/>
  <c r="M16" i="470"/>
  <c r="L15" i="470"/>
  <c r="K14" i="470"/>
  <c r="R11" i="669"/>
  <c r="N11" i="669"/>
  <c r="R10" i="669"/>
  <c r="N10" i="669"/>
  <c r="R9" i="669"/>
  <c r="N9" i="669"/>
  <c r="R8" i="669"/>
  <c r="N8" i="669"/>
  <c r="Q11" i="669"/>
  <c r="M11" i="669"/>
  <c r="Q10" i="669"/>
  <c r="M10" i="669"/>
  <c r="Q9" i="669"/>
  <c r="M9" i="669"/>
  <c r="Q8" i="669"/>
  <c r="M8" i="669"/>
  <c r="P11" i="669"/>
  <c r="L11" i="669"/>
  <c r="P10" i="669"/>
  <c r="L10" i="669"/>
  <c r="P9" i="669"/>
  <c r="L9" i="669"/>
  <c r="P8" i="669"/>
  <c r="L8" i="669"/>
  <c r="K10" i="669"/>
  <c r="K8" i="669"/>
  <c r="O11" i="669"/>
  <c r="O9" i="669"/>
  <c r="K11" i="669"/>
  <c r="K9" i="669"/>
  <c r="O10" i="669"/>
  <c r="O8" i="669"/>
  <c r="K35" i="477"/>
  <c r="K33" i="477"/>
  <c r="K31" i="477"/>
  <c r="K29" i="477"/>
  <c r="J35" i="477"/>
  <c r="J33" i="477"/>
  <c r="J31" i="477"/>
  <c r="J29" i="477"/>
  <c r="K34" i="477"/>
  <c r="K32" i="477"/>
  <c r="K30" i="477"/>
  <c r="K28" i="477"/>
  <c r="J28" i="477"/>
  <c r="J34" i="477"/>
  <c r="J32" i="477"/>
  <c r="J30" i="477"/>
  <c r="L28" i="476"/>
  <c r="L27" i="476"/>
  <c r="L26" i="476"/>
  <c r="L25" i="476"/>
  <c r="K28" i="476"/>
  <c r="K27" i="476"/>
  <c r="K26" i="476"/>
  <c r="K25" i="476"/>
  <c r="J28" i="476"/>
  <c r="J27" i="476"/>
  <c r="J26" i="476"/>
  <c r="J25" i="476"/>
  <c r="I26" i="476"/>
  <c r="I25" i="476"/>
  <c r="I28" i="476"/>
  <c r="I27" i="476"/>
  <c r="N32" i="476"/>
  <c r="M32" i="476"/>
  <c r="L32" i="476"/>
  <c r="K32" i="476"/>
  <c r="AY16" i="808"/>
  <c r="AX16" i="808"/>
  <c r="AW16" i="808"/>
  <c r="AV16" i="808"/>
  <c r="BH17" i="808"/>
  <c r="BG17" i="808"/>
  <c r="BF17" i="808"/>
  <c r="BE17" i="808"/>
  <c r="G18" i="710"/>
  <c r="G14" i="710"/>
  <c r="G10" i="710"/>
  <c r="G17" i="710"/>
  <c r="G13" i="710"/>
  <c r="G9" i="710"/>
  <c r="G16" i="710"/>
  <c r="G12" i="710"/>
  <c r="G8" i="710"/>
  <c r="G19" i="710"/>
  <c r="G15" i="710"/>
  <c r="G11" i="710"/>
  <c r="N12" i="750"/>
  <c r="N11" i="750"/>
  <c r="N10" i="750"/>
  <c r="N13" i="750"/>
  <c r="AT28" i="302"/>
  <c r="AU27" i="302"/>
  <c r="AV26" i="302"/>
  <c r="AR26" i="302"/>
  <c r="AS25" i="302"/>
  <c r="AT24" i="302"/>
  <c r="AS28" i="302"/>
  <c r="AT27" i="302"/>
  <c r="AU26" i="302"/>
  <c r="AV25" i="302"/>
  <c r="AR25" i="302"/>
  <c r="AS24" i="302"/>
  <c r="AV28" i="302"/>
  <c r="AR28" i="302"/>
  <c r="AS27" i="302"/>
  <c r="AT26" i="302"/>
  <c r="AU25" i="302"/>
  <c r="AV24" i="302"/>
  <c r="AR24" i="302"/>
  <c r="AR27" i="302"/>
  <c r="AS26" i="302"/>
  <c r="AU28" i="302"/>
  <c r="AT25" i="302"/>
  <c r="AV27" i="302"/>
  <c r="AU24" i="302"/>
  <c r="AJ24" i="590"/>
  <c r="AF24" i="590"/>
  <c r="AH23" i="590"/>
  <c r="AJ22" i="590"/>
  <c r="AF22" i="590"/>
  <c r="AH21" i="590"/>
  <c r="AJ20" i="590"/>
  <c r="AF20" i="590"/>
  <c r="AH19" i="590"/>
  <c r="AJ18" i="590"/>
  <c r="AF18" i="590"/>
  <c r="AH17" i="590"/>
  <c r="AJ16" i="590"/>
  <c r="AF16" i="590"/>
  <c r="AH15" i="590"/>
  <c r="AJ14" i="590"/>
  <c r="AF14" i="590"/>
  <c r="AH13" i="590"/>
  <c r="AJ12" i="590"/>
  <c r="AF12" i="590"/>
  <c r="AH11" i="590"/>
  <c r="AJ10" i="590"/>
  <c r="AF10" i="590"/>
  <c r="AH9" i="590"/>
  <c r="AJ8" i="590"/>
  <c r="AF8" i="590"/>
  <c r="AH7" i="590"/>
  <c r="AJ6" i="590"/>
  <c r="AF6" i="590"/>
  <c r="AH5" i="590"/>
  <c r="AJ4" i="590"/>
  <c r="AF4" i="590"/>
  <c r="AH3" i="590"/>
  <c r="AI24" i="590"/>
  <c r="AK23" i="590"/>
  <c r="AG23" i="590"/>
  <c r="AI22" i="590"/>
  <c r="AK21" i="590"/>
  <c r="AG21" i="590"/>
  <c r="AI20" i="590"/>
  <c r="AK19" i="590"/>
  <c r="AG19" i="590"/>
  <c r="AI18" i="590"/>
  <c r="AK17" i="590"/>
  <c r="AG17" i="590"/>
  <c r="AI16" i="590"/>
  <c r="AK15" i="590"/>
  <c r="AG15" i="590"/>
  <c r="AI14" i="590"/>
  <c r="AK13" i="590"/>
  <c r="AG13" i="590"/>
  <c r="AI12" i="590"/>
  <c r="AK11" i="590"/>
  <c r="AG11" i="590"/>
  <c r="AI10" i="590"/>
  <c r="AK9" i="590"/>
  <c r="AG9" i="590"/>
  <c r="AI8" i="590"/>
  <c r="AK7" i="590"/>
  <c r="AG7" i="590"/>
  <c r="AI6" i="590"/>
  <c r="AK5" i="590"/>
  <c r="AG5" i="590"/>
  <c r="AI4" i="590"/>
  <c r="AK3" i="590"/>
  <c r="AG3" i="590"/>
  <c r="AH24" i="590"/>
  <c r="AJ23" i="590"/>
  <c r="AF23" i="590"/>
  <c r="AH22" i="590"/>
  <c r="AJ21" i="590"/>
  <c r="AF21" i="590"/>
  <c r="AH20" i="590"/>
  <c r="AJ19" i="590"/>
  <c r="AF19" i="590"/>
  <c r="AH18" i="590"/>
  <c r="AJ17" i="590"/>
  <c r="AF17" i="590"/>
  <c r="AH16" i="590"/>
  <c r="AJ15" i="590"/>
  <c r="AF15" i="590"/>
  <c r="AH14" i="590"/>
  <c r="AJ13" i="590"/>
  <c r="AF13" i="590"/>
  <c r="AH12" i="590"/>
  <c r="AJ11" i="590"/>
  <c r="AF11" i="590"/>
  <c r="AH10" i="590"/>
  <c r="AJ9" i="590"/>
  <c r="AF9" i="590"/>
  <c r="AH8" i="590"/>
  <c r="AJ7" i="590"/>
  <c r="AF7" i="590"/>
  <c r="AH6" i="590"/>
  <c r="AJ5" i="590"/>
  <c r="AF5" i="590"/>
  <c r="AH4" i="590"/>
  <c r="AJ3" i="590"/>
  <c r="AF3" i="590"/>
  <c r="AG24" i="590"/>
  <c r="AI21" i="590"/>
  <c r="AK18" i="590"/>
  <c r="AG16" i="590"/>
  <c r="AI13" i="590"/>
  <c r="AK10" i="590"/>
  <c r="AG8" i="590"/>
  <c r="AI5" i="590"/>
  <c r="AI23" i="590"/>
  <c r="AK20" i="590"/>
  <c r="AG18" i="590"/>
  <c r="AI15" i="590"/>
  <c r="AK12" i="590"/>
  <c r="AG10" i="590"/>
  <c r="AI7" i="590"/>
  <c r="AK4" i="590"/>
  <c r="AK22" i="590"/>
  <c r="AG20" i="590"/>
  <c r="AI17" i="590"/>
  <c r="AK14" i="590"/>
  <c r="AG12" i="590"/>
  <c r="AI9" i="590"/>
  <c r="AK6" i="590"/>
  <c r="AG4" i="590"/>
  <c r="AI19" i="590"/>
  <c r="AK8" i="590"/>
  <c r="AK16" i="590"/>
  <c r="AG6" i="590"/>
  <c r="AK24" i="590"/>
  <c r="AG14" i="590"/>
  <c r="AI3" i="590"/>
  <c r="AG22" i="590"/>
  <c r="AI11" i="590"/>
  <c r="Z90" i="795"/>
  <c r="Z88" i="795"/>
  <c r="AA91" i="795"/>
  <c r="AA89" i="795"/>
  <c r="AA87" i="795"/>
  <c r="Z91" i="795"/>
  <c r="Z89" i="795"/>
  <c r="Z87" i="795"/>
  <c r="AA90" i="795"/>
  <c r="AA88" i="795"/>
  <c r="Z111" i="795"/>
  <c r="AA112" i="795"/>
  <c r="AA110" i="795"/>
  <c r="Z112" i="795"/>
  <c r="Z110" i="795"/>
  <c r="AA111" i="795"/>
  <c r="J7" i="794"/>
  <c r="J9" i="794"/>
  <c r="J8" i="794"/>
  <c r="J23" i="505"/>
  <c r="J22" i="505"/>
  <c r="J21" i="505"/>
  <c r="J20" i="505"/>
  <c r="J19" i="505"/>
  <c r="J18" i="505"/>
  <c r="J17" i="505"/>
  <c r="J16" i="505"/>
  <c r="J15" i="505"/>
  <c r="J14" i="505"/>
  <c r="J13" i="505"/>
  <c r="J12" i="505"/>
  <c r="J11" i="505"/>
  <c r="J10" i="505"/>
  <c r="J9" i="505"/>
  <c r="J8" i="505"/>
  <c r="J7" i="505"/>
  <c r="J6" i="505"/>
  <c r="J5" i="505"/>
  <c r="J4" i="505"/>
  <c r="J3" i="505"/>
  <c r="I23" i="505"/>
  <c r="I22" i="505"/>
  <c r="I21" i="505"/>
  <c r="I20" i="505"/>
  <c r="I19" i="505"/>
  <c r="I18" i="505"/>
  <c r="I17" i="505"/>
  <c r="I16" i="505"/>
  <c r="I15" i="505"/>
  <c r="I14" i="505"/>
  <c r="I13" i="505"/>
  <c r="I12" i="505"/>
  <c r="I11" i="505"/>
  <c r="I10" i="505"/>
  <c r="I9" i="505"/>
  <c r="I8" i="505"/>
  <c r="I7" i="505"/>
  <c r="I6" i="505"/>
  <c r="I5" i="505"/>
  <c r="I4" i="505"/>
  <c r="I3" i="505"/>
  <c r="H23" i="505"/>
  <c r="H22" i="505"/>
  <c r="H21" i="505"/>
  <c r="H20" i="505"/>
  <c r="H19" i="505"/>
  <c r="H18" i="505"/>
  <c r="H17" i="505"/>
  <c r="H16" i="505"/>
  <c r="H15" i="505"/>
  <c r="H14" i="505"/>
  <c r="H13" i="505"/>
  <c r="H12" i="505"/>
  <c r="H11" i="505"/>
  <c r="H10" i="505"/>
  <c r="H9" i="505"/>
  <c r="H8" i="505"/>
  <c r="H7" i="505"/>
  <c r="H6" i="505"/>
  <c r="H5" i="505"/>
  <c r="H4" i="505"/>
  <c r="H3" i="505"/>
  <c r="K21" i="505"/>
  <c r="K17" i="505"/>
  <c r="K13" i="505"/>
  <c r="K9" i="505"/>
  <c r="K5" i="505"/>
  <c r="K20" i="505"/>
  <c r="K16" i="505"/>
  <c r="K12" i="505"/>
  <c r="K8" i="505"/>
  <c r="K4" i="505"/>
  <c r="K23" i="505"/>
  <c r="K19" i="505"/>
  <c r="K15" i="505"/>
  <c r="K11" i="505"/>
  <c r="K7" i="505"/>
  <c r="K3" i="505"/>
  <c r="K18" i="505"/>
  <c r="K14" i="505"/>
  <c r="K10" i="505"/>
  <c r="K22" i="505"/>
  <c r="K6" i="505"/>
  <c r="X12" i="710"/>
  <c r="W11" i="710"/>
  <c r="Y9" i="710"/>
  <c r="X8" i="710"/>
  <c r="W12" i="710"/>
  <c r="Y10" i="710"/>
  <c r="X9" i="710"/>
  <c r="W8" i="710"/>
  <c r="Y11" i="710"/>
  <c r="X10" i="710"/>
  <c r="W9" i="710"/>
  <c r="Y8" i="710"/>
  <c r="Y12" i="710"/>
  <c r="X11" i="710"/>
  <c r="W10" i="710"/>
  <c r="E17" i="711"/>
  <c r="E13" i="711"/>
  <c r="E9" i="711"/>
  <c r="E16" i="711"/>
  <c r="E12" i="711"/>
  <c r="E8" i="711"/>
  <c r="E19" i="711"/>
  <c r="E15" i="711"/>
  <c r="E11" i="711"/>
  <c r="E10" i="711"/>
  <c r="E18" i="711"/>
  <c r="E14" i="711"/>
  <c r="AO22" i="702"/>
  <c r="AO21" i="702"/>
  <c r="AN22" i="702"/>
  <c r="AN21" i="702"/>
  <c r="AQ22" i="702"/>
  <c r="AQ21" i="702"/>
  <c r="AP22" i="702"/>
  <c r="AP21" i="702"/>
  <c r="M32" i="591"/>
  <c r="M28" i="591"/>
  <c r="M24" i="591"/>
  <c r="M20" i="591"/>
  <c r="M16" i="591"/>
  <c r="M12" i="591"/>
  <c r="M8" i="591"/>
  <c r="M4" i="591"/>
  <c r="M31" i="591"/>
  <c r="M27" i="591"/>
  <c r="M23" i="591"/>
  <c r="M19" i="591"/>
  <c r="M15" i="591"/>
  <c r="M11" i="591"/>
  <c r="M7" i="591"/>
  <c r="M3" i="591"/>
  <c r="M30" i="591"/>
  <c r="M26" i="591"/>
  <c r="M22" i="591"/>
  <c r="M18" i="591"/>
  <c r="M14" i="591"/>
  <c r="M10" i="591"/>
  <c r="M6" i="591"/>
  <c r="M21" i="591"/>
  <c r="M5" i="591"/>
  <c r="M17" i="591"/>
  <c r="M29" i="591"/>
  <c r="M13" i="591"/>
  <c r="M25" i="591"/>
  <c r="M9" i="591"/>
  <c r="H38" i="745"/>
  <c r="H37" i="745"/>
  <c r="H36" i="745"/>
  <c r="H35" i="745"/>
  <c r="H34" i="745"/>
  <c r="H33" i="745"/>
  <c r="H32" i="745"/>
  <c r="H31" i="745"/>
  <c r="H30" i="745"/>
  <c r="H29" i="745"/>
  <c r="H28" i="745"/>
  <c r="H27" i="745"/>
  <c r="H26" i="745"/>
  <c r="H25" i="745"/>
  <c r="H24" i="745"/>
  <c r="H23" i="745"/>
  <c r="H22" i="745"/>
  <c r="H21" i="745"/>
  <c r="H20" i="745"/>
  <c r="H19" i="745"/>
  <c r="H18" i="745"/>
  <c r="H17" i="745"/>
  <c r="H16" i="745"/>
  <c r="H15" i="745"/>
  <c r="H14" i="745"/>
  <c r="H13" i="745"/>
  <c r="H12" i="745"/>
  <c r="H11" i="745"/>
  <c r="H10" i="745"/>
  <c r="H9" i="745"/>
  <c r="H8" i="745"/>
  <c r="H7" i="745"/>
  <c r="H6" i="745"/>
  <c r="H5" i="745"/>
  <c r="H4" i="745"/>
  <c r="H3" i="745"/>
  <c r="G38" i="745"/>
  <c r="G37" i="745"/>
  <c r="G36" i="745"/>
  <c r="G35" i="745"/>
  <c r="G34" i="745"/>
  <c r="G33" i="745"/>
  <c r="G32" i="745"/>
  <c r="G31" i="745"/>
  <c r="G30" i="745"/>
  <c r="G29" i="745"/>
  <c r="G28" i="745"/>
  <c r="G27" i="745"/>
  <c r="G26" i="745"/>
  <c r="G25" i="745"/>
  <c r="G24" i="745"/>
  <c r="G23" i="745"/>
  <c r="G22" i="745"/>
  <c r="G21" i="745"/>
  <c r="G20" i="745"/>
  <c r="G19" i="745"/>
  <c r="G18" i="745"/>
  <c r="G17" i="745"/>
  <c r="G16" i="745"/>
  <c r="G15" i="745"/>
  <c r="G14" i="745"/>
  <c r="G13" i="745"/>
  <c r="G12" i="745"/>
  <c r="G11" i="745"/>
  <c r="G10" i="745"/>
  <c r="G9" i="745"/>
  <c r="G8" i="745"/>
  <c r="G7" i="745"/>
  <c r="G6" i="745"/>
  <c r="G5" i="745"/>
  <c r="G4" i="745"/>
  <c r="G3" i="745"/>
  <c r="J38" i="745"/>
  <c r="J37" i="745"/>
  <c r="J36" i="745"/>
  <c r="J35" i="745"/>
  <c r="J34" i="745"/>
  <c r="J33" i="745"/>
  <c r="J32" i="745"/>
  <c r="J31" i="745"/>
  <c r="J30" i="745"/>
  <c r="J29" i="745"/>
  <c r="J28" i="745"/>
  <c r="J27" i="745"/>
  <c r="J26" i="745"/>
  <c r="J25" i="745"/>
  <c r="J24" i="745"/>
  <c r="J23" i="745"/>
  <c r="J22" i="745"/>
  <c r="J21" i="745"/>
  <c r="J20" i="745"/>
  <c r="J19" i="745"/>
  <c r="J18" i="745"/>
  <c r="J17" i="745"/>
  <c r="J16" i="745"/>
  <c r="J15" i="745"/>
  <c r="J14" i="745"/>
  <c r="J13" i="745"/>
  <c r="J12" i="745"/>
  <c r="J11" i="745"/>
  <c r="J10" i="745"/>
  <c r="J9" i="745"/>
  <c r="J8" i="745"/>
  <c r="J7" i="745"/>
  <c r="J6" i="745"/>
  <c r="J5" i="745"/>
  <c r="J4" i="745"/>
  <c r="J3" i="745"/>
  <c r="I38" i="745"/>
  <c r="I34" i="745"/>
  <c r="I30" i="745"/>
  <c r="I26" i="745"/>
  <c r="I22" i="745"/>
  <c r="I18" i="745"/>
  <c r="I14" i="745"/>
  <c r="I10" i="745"/>
  <c r="I6" i="745"/>
  <c r="I37" i="745"/>
  <c r="I33" i="745"/>
  <c r="I29" i="745"/>
  <c r="I25" i="745"/>
  <c r="I21" i="745"/>
  <c r="I17" i="745"/>
  <c r="I13" i="745"/>
  <c r="I9" i="745"/>
  <c r="I5" i="745"/>
  <c r="I36" i="745"/>
  <c r="I32" i="745"/>
  <c r="I28" i="745"/>
  <c r="I24" i="745"/>
  <c r="I20" i="745"/>
  <c r="I16" i="745"/>
  <c r="I12" i="745"/>
  <c r="I8" i="745"/>
  <c r="I4" i="745"/>
  <c r="I23" i="745"/>
  <c r="I7" i="745"/>
  <c r="I35" i="745"/>
  <c r="I19" i="745"/>
  <c r="I3" i="745"/>
  <c r="I31" i="745"/>
  <c r="I15" i="745"/>
  <c r="I27" i="745"/>
  <c r="I11" i="745"/>
  <c r="H38" i="750"/>
  <c r="H37" i="750"/>
  <c r="H36" i="750"/>
  <c r="H35" i="750"/>
  <c r="H34" i="750"/>
  <c r="H33" i="750"/>
  <c r="H32" i="750"/>
  <c r="H31" i="750"/>
  <c r="H30" i="750"/>
  <c r="H29" i="750"/>
  <c r="H28" i="750"/>
  <c r="H27" i="750"/>
  <c r="H26" i="750"/>
  <c r="H25" i="750"/>
  <c r="H24" i="750"/>
  <c r="H23" i="750"/>
  <c r="H22" i="750"/>
  <c r="H21" i="750"/>
  <c r="H20" i="750"/>
  <c r="H19" i="750"/>
  <c r="H18" i="750"/>
  <c r="H17" i="750"/>
  <c r="H16" i="750"/>
  <c r="H15" i="750"/>
  <c r="H14" i="750"/>
  <c r="H13" i="750"/>
  <c r="H12" i="750"/>
  <c r="H11" i="750"/>
  <c r="H10" i="750"/>
  <c r="H9" i="750"/>
  <c r="H8" i="750"/>
  <c r="H7" i="750"/>
  <c r="H6" i="750"/>
  <c r="H5" i="750"/>
  <c r="H4" i="750"/>
  <c r="H3" i="750"/>
  <c r="G38" i="750"/>
  <c r="G37" i="750"/>
  <c r="G36" i="750"/>
  <c r="G35" i="750"/>
  <c r="G34" i="750"/>
  <c r="G33" i="750"/>
  <c r="G32" i="750"/>
  <c r="G31" i="750"/>
  <c r="G30" i="750"/>
  <c r="G29" i="750"/>
  <c r="G28" i="750"/>
  <c r="G27" i="750"/>
  <c r="G26" i="750"/>
  <c r="G25" i="750"/>
  <c r="G24" i="750"/>
  <c r="G23" i="750"/>
  <c r="G22" i="750"/>
  <c r="G21" i="750"/>
  <c r="G20" i="750"/>
  <c r="G19" i="750"/>
  <c r="G18" i="750"/>
  <c r="G17" i="750"/>
  <c r="G16" i="750"/>
  <c r="G15" i="750"/>
  <c r="G14" i="750"/>
  <c r="G13" i="750"/>
  <c r="G12" i="750"/>
  <c r="G11" i="750"/>
  <c r="G10" i="750"/>
  <c r="G9" i="750"/>
  <c r="G8" i="750"/>
  <c r="G7" i="750"/>
  <c r="G6" i="750"/>
  <c r="G5" i="750"/>
  <c r="G4" i="750"/>
  <c r="G3" i="750"/>
  <c r="J38" i="750"/>
  <c r="J37" i="750"/>
  <c r="J36" i="750"/>
  <c r="J35" i="750"/>
  <c r="J34" i="750"/>
  <c r="J33" i="750"/>
  <c r="J32" i="750"/>
  <c r="J31" i="750"/>
  <c r="J30" i="750"/>
  <c r="J29" i="750"/>
  <c r="J28" i="750"/>
  <c r="J27" i="750"/>
  <c r="J26" i="750"/>
  <c r="J25" i="750"/>
  <c r="J24" i="750"/>
  <c r="J23" i="750"/>
  <c r="J22" i="750"/>
  <c r="J21" i="750"/>
  <c r="J20" i="750"/>
  <c r="J19" i="750"/>
  <c r="J18" i="750"/>
  <c r="J17" i="750"/>
  <c r="J16" i="750"/>
  <c r="J15" i="750"/>
  <c r="J14" i="750"/>
  <c r="J13" i="750"/>
  <c r="J12" i="750"/>
  <c r="J11" i="750"/>
  <c r="J10" i="750"/>
  <c r="J9" i="750"/>
  <c r="J8" i="750"/>
  <c r="J7" i="750"/>
  <c r="J6" i="750"/>
  <c r="J5" i="750"/>
  <c r="J4" i="750"/>
  <c r="J3" i="750"/>
  <c r="I37" i="750"/>
  <c r="I33" i="750"/>
  <c r="I29" i="750"/>
  <c r="I25" i="750"/>
  <c r="I21" i="750"/>
  <c r="I17" i="750"/>
  <c r="I13" i="750"/>
  <c r="I9" i="750"/>
  <c r="I5" i="750"/>
  <c r="I36" i="750"/>
  <c r="I32" i="750"/>
  <c r="I28" i="750"/>
  <c r="I24" i="750"/>
  <c r="I20" i="750"/>
  <c r="I16" i="750"/>
  <c r="I12" i="750"/>
  <c r="I8" i="750"/>
  <c r="I4" i="750"/>
  <c r="I35" i="750"/>
  <c r="I31" i="750"/>
  <c r="I27" i="750"/>
  <c r="I23" i="750"/>
  <c r="I19" i="750"/>
  <c r="I15" i="750"/>
  <c r="I11" i="750"/>
  <c r="I7" i="750"/>
  <c r="I3" i="750"/>
  <c r="I38" i="750"/>
  <c r="I22" i="750"/>
  <c r="I6" i="750"/>
  <c r="I34" i="750"/>
  <c r="I18" i="750"/>
  <c r="I30" i="750"/>
  <c r="I14" i="750"/>
  <c r="I26" i="750"/>
  <c r="I10" i="750"/>
  <c r="AM8" i="297"/>
  <c r="AM7" i="297"/>
  <c r="AM6" i="297"/>
  <c r="AM5" i="297"/>
  <c r="AL8" i="297"/>
  <c r="AL7" i="297"/>
  <c r="AL6" i="297"/>
  <c r="AL5" i="297"/>
  <c r="AO8" i="297"/>
  <c r="AO7" i="297"/>
  <c r="AO6" i="297"/>
  <c r="AO5" i="297"/>
  <c r="AN7" i="297"/>
  <c r="AN6" i="297"/>
  <c r="AN5" i="297"/>
  <c r="AN8" i="297"/>
  <c r="B22" i="298"/>
  <c r="A22" i="298"/>
  <c r="C22" i="298"/>
  <c r="C3" i="299"/>
  <c r="B3" i="299"/>
  <c r="D3" i="299"/>
  <c r="AK42" i="300"/>
  <c r="AN42" i="300"/>
  <c r="AJ42" i="300"/>
  <c r="AM42" i="300"/>
  <c r="AL42" i="300"/>
  <c r="AS19" i="302"/>
  <c r="AT18" i="302"/>
  <c r="AU17" i="302"/>
  <c r="AV16" i="302"/>
  <c r="AR16" i="302"/>
  <c r="AS15" i="302"/>
  <c r="AV19" i="302"/>
  <c r="AR19" i="302"/>
  <c r="AS18" i="302"/>
  <c r="AT17" i="302"/>
  <c r="AU16" i="302"/>
  <c r="AV15" i="302"/>
  <c r="AR15" i="302"/>
  <c r="AU19" i="302"/>
  <c r="AV18" i="302"/>
  <c r="AR18" i="302"/>
  <c r="AS17" i="302"/>
  <c r="AT16" i="302"/>
  <c r="AU15" i="302"/>
  <c r="AV17" i="302"/>
  <c r="AR17" i="302"/>
  <c r="AT19" i="302"/>
  <c r="AS16" i="302"/>
  <c r="AT15" i="302"/>
  <c r="AU18" i="302"/>
  <c r="AA66" i="795"/>
  <c r="AA64" i="795"/>
  <c r="AA62" i="795"/>
  <c r="AA60" i="795"/>
  <c r="AA58" i="795"/>
  <c r="AA56" i="795"/>
  <c r="AA54" i="795"/>
  <c r="Z66" i="795"/>
  <c r="Z64" i="795"/>
  <c r="Z62" i="795"/>
  <c r="Z60" i="795"/>
  <c r="Z58" i="795"/>
  <c r="Z56" i="795"/>
  <c r="Z54" i="795"/>
  <c r="AA67" i="795"/>
  <c r="AA65" i="795"/>
  <c r="AA63" i="795"/>
  <c r="AA61" i="795"/>
  <c r="AA59" i="795"/>
  <c r="AA57" i="795"/>
  <c r="AA55" i="795"/>
  <c r="Z67" i="795"/>
  <c r="Z59" i="795"/>
  <c r="Z65" i="795"/>
  <c r="Z57" i="795"/>
  <c r="Z63" i="795"/>
  <c r="Z55" i="795"/>
  <c r="Z61" i="795"/>
  <c r="U12" i="711"/>
  <c r="W10" i="711"/>
  <c r="V9" i="711"/>
  <c r="U8" i="711"/>
  <c r="W11" i="711"/>
  <c r="V10" i="711"/>
  <c r="U9" i="711"/>
  <c r="W12" i="711"/>
  <c r="V11" i="711"/>
  <c r="U10" i="711"/>
  <c r="W8" i="711"/>
  <c r="W9" i="711"/>
  <c r="V8" i="711"/>
  <c r="V12" i="711"/>
  <c r="U11" i="711"/>
  <c r="G21" i="708"/>
  <c r="G20" i="708"/>
  <c r="G19" i="708"/>
  <c r="G18" i="708"/>
  <c r="G17" i="708"/>
  <c r="G16" i="708"/>
  <c r="G15" i="708"/>
  <c r="G14" i="708"/>
  <c r="G13" i="708"/>
  <c r="G12" i="708"/>
  <c r="G11" i="708"/>
  <c r="G10" i="708"/>
  <c r="G9" i="708"/>
  <c r="G8" i="708"/>
  <c r="G7" i="708"/>
  <c r="G6" i="708"/>
  <c r="G5" i="708"/>
  <c r="G4" i="708"/>
  <c r="J21" i="708"/>
  <c r="J20" i="708"/>
  <c r="J19" i="708"/>
  <c r="J18" i="708"/>
  <c r="J17" i="708"/>
  <c r="J16" i="708"/>
  <c r="J15" i="708"/>
  <c r="J14" i="708"/>
  <c r="J13" i="708"/>
  <c r="J12" i="708"/>
  <c r="J11" i="708"/>
  <c r="J10" i="708"/>
  <c r="J9" i="708"/>
  <c r="J8" i="708"/>
  <c r="J7" i="708"/>
  <c r="J6" i="708"/>
  <c r="J5" i="708"/>
  <c r="J4" i="708"/>
  <c r="I21" i="708"/>
  <c r="I20" i="708"/>
  <c r="I19" i="708"/>
  <c r="I18" i="708"/>
  <c r="I17" i="708"/>
  <c r="I16" i="708"/>
  <c r="I15" i="708"/>
  <c r="I14" i="708"/>
  <c r="I13" i="708"/>
  <c r="I12" i="708"/>
  <c r="I11" i="708"/>
  <c r="I10" i="708"/>
  <c r="I9" i="708"/>
  <c r="I8" i="708"/>
  <c r="I7" i="708"/>
  <c r="I6" i="708"/>
  <c r="I5" i="708"/>
  <c r="I4" i="708"/>
  <c r="H21" i="708"/>
  <c r="H17" i="708"/>
  <c r="H13" i="708"/>
  <c r="H9" i="708"/>
  <c r="H5" i="708"/>
  <c r="H20" i="708"/>
  <c r="H16" i="708"/>
  <c r="H12" i="708"/>
  <c r="H8" i="708"/>
  <c r="H4" i="708"/>
  <c r="H19" i="708"/>
  <c r="H15" i="708"/>
  <c r="H11" i="708"/>
  <c r="H7" i="708"/>
  <c r="H10" i="708"/>
  <c r="H6" i="708"/>
  <c r="H18" i="708"/>
  <c r="H14" i="708"/>
  <c r="AO17" i="702"/>
  <c r="AO16" i="702"/>
  <c r="AR17" i="702"/>
  <c r="AR16" i="702"/>
  <c r="AQ17" i="702"/>
  <c r="AQ16" i="702"/>
  <c r="AP16" i="702"/>
  <c r="AP17" i="702"/>
  <c r="G21" i="704"/>
  <c r="G20" i="704"/>
  <c r="G19" i="704"/>
  <c r="G18" i="704"/>
  <c r="G17" i="704"/>
  <c r="G16" i="704"/>
  <c r="G15" i="704"/>
  <c r="G14" i="704"/>
  <c r="G13" i="704"/>
  <c r="G12" i="704"/>
  <c r="G11" i="704"/>
  <c r="G10" i="704"/>
  <c r="G9" i="704"/>
  <c r="G8" i="704"/>
  <c r="G7" i="704"/>
  <c r="G6" i="704"/>
  <c r="G5" i="704"/>
  <c r="G4" i="704"/>
  <c r="J21" i="704"/>
  <c r="J20" i="704"/>
  <c r="J19" i="704"/>
  <c r="J18" i="704"/>
  <c r="J17" i="704"/>
  <c r="J16" i="704"/>
  <c r="J15" i="704"/>
  <c r="J14" i="704"/>
  <c r="J13" i="704"/>
  <c r="J12" i="704"/>
  <c r="J11" i="704"/>
  <c r="J10" i="704"/>
  <c r="J9" i="704"/>
  <c r="J8" i="704"/>
  <c r="J7" i="704"/>
  <c r="J6" i="704"/>
  <c r="J5" i="704"/>
  <c r="J4" i="704"/>
  <c r="I21" i="704"/>
  <c r="I20" i="704"/>
  <c r="I19" i="704"/>
  <c r="I18" i="704"/>
  <c r="I17" i="704"/>
  <c r="I16" i="704"/>
  <c r="I15" i="704"/>
  <c r="I14" i="704"/>
  <c r="I13" i="704"/>
  <c r="I12" i="704"/>
  <c r="I11" i="704"/>
  <c r="I10" i="704"/>
  <c r="I9" i="704"/>
  <c r="I8" i="704"/>
  <c r="I7" i="704"/>
  <c r="I6" i="704"/>
  <c r="I5" i="704"/>
  <c r="I4" i="704"/>
  <c r="H19" i="704"/>
  <c r="H15" i="704"/>
  <c r="H11" i="704"/>
  <c r="H7" i="704"/>
  <c r="H18" i="704"/>
  <c r="H14" i="704"/>
  <c r="H10" i="704"/>
  <c r="H6" i="704"/>
  <c r="H21" i="704"/>
  <c r="H17" i="704"/>
  <c r="H13" i="704"/>
  <c r="H9" i="704"/>
  <c r="H5" i="704"/>
  <c r="H16" i="704"/>
  <c r="H12" i="704"/>
  <c r="H8" i="704"/>
  <c r="H20" i="704"/>
  <c r="H4" i="704"/>
  <c r="L31" i="591"/>
  <c r="L27" i="591"/>
  <c r="L23" i="591"/>
  <c r="L19" i="591"/>
  <c r="L15" i="591"/>
  <c r="L11" i="591"/>
  <c r="L7" i="591"/>
  <c r="L3" i="591"/>
  <c r="L30" i="591"/>
  <c r="L26" i="591"/>
  <c r="L22" i="591"/>
  <c r="L18" i="591"/>
  <c r="L14" i="591"/>
  <c r="L10" i="591"/>
  <c r="L6" i="591"/>
  <c r="L29" i="591"/>
  <c r="L25" i="591"/>
  <c r="L21" i="591"/>
  <c r="L17" i="591"/>
  <c r="L13" i="591"/>
  <c r="L9" i="591"/>
  <c r="L5" i="591"/>
  <c r="L20" i="591"/>
  <c r="L4" i="591"/>
  <c r="L32" i="591"/>
  <c r="L16" i="591"/>
  <c r="L28" i="591"/>
  <c r="L12" i="591"/>
  <c r="L24" i="591"/>
  <c r="L8" i="591"/>
  <c r="L4" i="745"/>
  <c r="L6" i="745"/>
  <c r="L5" i="745"/>
  <c r="M7" i="745"/>
  <c r="M9" i="745"/>
  <c r="M8" i="745"/>
  <c r="N10" i="744"/>
  <c r="N13" i="744"/>
  <c r="N12" i="744"/>
  <c r="N11" i="744"/>
  <c r="L4" i="750"/>
  <c r="L6" i="750"/>
  <c r="L5" i="750"/>
  <c r="M7" i="750"/>
  <c r="M9" i="750"/>
  <c r="M8" i="750"/>
  <c r="N10" i="749"/>
  <c r="N13" i="749"/>
  <c r="N12" i="749"/>
  <c r="N11" i="749"/>
  <c r="W28" i="297"/>
  <c r="W27" i="297"/>
  <c r="W26" i="297"/>
  <c r="W25" i="297"/>
  <c r="Z28" i="297"/>
  <c r="Z27" i="297"/>
  <c r="Z26" i="297"/>
  <c r="Z25" i="297"/>
  <c r="Y28" i="297"/>
  <c r="Y27" i="297"/>
  <c r="Y26" i="297"/>
  <c r="Y25" i="297"/>
  <c r="X27" i="297"/>
  <c r="X26" i="297"/>
  <c r="X25" i="297"/>
  <c r="X28" i="297"/>
  <c r="L3" i="298"/>
  <c r="O23" i="723"/>
  <c r="O21" i="723"/>
  <c r="O19" i="723"/>
  <c r="P22" i="723"/>
  <c r="P20" i="723"/>
  <c r="O22" i="723"/>
  <c r="O20" i="723"/>
  <c r="P23" i="723"/>
  <c r="P21" i="723"/>
  <c r="P19" i="723"/>
  <c r="AF5" i="300"/>
  <c r="AG6" i="300"/>
  <c r="AF6" i="300"/>
  <c r="AG5" i="300"/>
  <c r="AV37" i="302"/>
  <c r="AR37" i="302"/>
  <c r="AS36" i="302"/>
  <c r="AT35" i="302"/>
  <c r="AU34" i="302"/>
  <c r="AV33" i="302"/>
  <c r="AR33" i="302"/>
  <c r="AU37" i="302"/>
  <c r="AV36" i="302"/>
  <c r="AR36" i="302"/>
  <c r="AS35" i="302"/>
  <c r="AT34" i="302"/>
  <c r="AU33" i="302"/>
  <c r="AT37" i="302"/>
  <c r="AU36" i="302"/>
  <c r="AV35" i="302"/>
  <c r="AR35" i="302"/>
  <c r="AS34" i="302"/>
  <c r="AT33" i="302"/>
  <c r="AT36" i="302"/>
  <c r="AS33" i="302"/>
  <c r="AU35" i="302"/>
  <c r="AV34" i="302"/>
  <c r="AR34" i="302"/>
  <c r="AS37" i="302"/>
  <c r="E9" i="303"/>
  <c r="A9" i="303"/>
  <c r="B8" i="303"/>
  <c r="C7" i="303"/>
  <c r="D6" i="303"/>
  <c r="E5" i="303"/>
  <c r="A5" i="303"/>
  <c r="D9" i="303"/>
  <c r="E8" i="303"/>
  <c r="A8" i="303"/>
  <c r="B7" i="303"/>
  <c r="C6" i="303"/>
  <c r="D5" i="303"/>
  <c r="C9" i="303"/>
  <c r="D8" i="303"/>
  <c r="E7" i="303"/>
  <c r="A7" i="303"/>
  <c r="B6" i="303"/>
  <c r="C5" i="303"/>
  <c r="C8" i="303"/>
  <c r="B5" i="303"/>
  <c r="D7" i="303"/>
  <c r="E6" i="303"/>
  <c r="B9" i="303"/>
  <c r="A6" i="303"/>
  <c r="E17" i="303"/>
  <c r="A17" i="303"/>
  <c r="B16" i="303"/>
  <c r="C15" i="303"/>
  <c r="D14" i="303"/>
  <c r="E13" i="303"/>
  <c r="A13" i="303"/>
  <c r="D17" i="303"/>
  <c r="E16" i="303"/>
  <c r="A16" i="303"/>
  <c r="B15" i="303"/>
  <c r="C14" i="303"/>
  <c r="D13" i="303"/>
  <c r="C17" i="303"/>
  <c r="D16" i="303"/>
  <c r="E15" i="303"/>
  <c r="A15" i="303"/>
  <c r="B14" i="303"/>
  <c r="C13" i="303"/>
  <c r="D15" i="303"/>
  <c r="E14" i="303"/>
  <c r="B17" i="303"/>
  <c r="A14" i="303"/>
  <c r="C16" i="303"/>
  <c r="B13" i="303"/>
  <c r="Z33" i="795"/>
  <c r="Z31" i="795"/>
  <c r="Z29" i="795"/>
  <c r="Z27" i="795"/>
  <c r="Z25" i="795"/>
  <c r="Z23" i="795"/>
  <c r="Z21" i="795"/>
  <c r="Z19" i="795"/>
  <c r="Z17" i="795"/>
  <c r="AA34" i="795"/>
  <c r="AA32" i="795"/>
  <c r="AA30" i="795"/>
  <c r="AA28" i="795"/>
  <c r="AA26" i="795"/>
  <c r="AA24" i="795"/>
  <c r="AA22" i="795"/>
  <c r="AA20" i="795"/>
  <c r="AA18" i="795"/>
  <c r="Z34" i="795"/>
  <c r="Z32" i="795"/>
  <c r="Z30" i="795"/>
  <c r="Z28" i="795"/>
  <c r="Z26" i="795"/>
  <c r="Z24" i="795"/>
  <c r="Z22" i="795"/>
  <c r="Z20" i="795"/>
  <c r="Z18" i="795"/>
  <c r="AA33" i="795"/>
  <c r="AA25" i="795"/>
  <c r="AA17" i="795"/>
  <c r="AA31" i="795"/>
  <c r="AA23" i="795"/>
  <c r="AA29" i="795"/>
  <c r="AA21" i="795"/>
  <c r="AA19" i="795"/>
  <c r="AA27" i="795"/>
  <c r="Z145" i="795"/>
  <c r="Z143" i="795"/>
  <c r="Z141" i="795"/>
  <c r="Z139" i="795"/>
  <c r="Z137" i="795"/>
  <c r="Z135" i="795"/>
  <c r="Z133" i="795"/>
  <c r="Z131" i="795"/>
  <c r="AA146" i="795"/>
  <c r="AA144" i="795"/>
  <c r="AA142" i="795"/>
  <c r="AA140" i="795"/>
  <c r="AA138" i="795"/>
  <c r="AA136" i="795"/>
  <c r="AA134" i="795"/>
  <c r="AA132" i="795"/>
  <c r="Z146" i="795"/>
  <c r="Z144" i="795"/>
  <c r="Z142" i="795"/>
  <c r="Z140" i="795"/>
  <c r="Z138" i="795"/>
  <c r="Z136" i="795"/>
  <c r="Z134" i="795"/>
  <c r="Z132" i="795"/>
  <c r="AA141" i="795"/>
  <c r="AA133" i="795"/>
  <c r="AA139" i="795"/>
  <c r="AA131" i="795"/>
  <c r="AA145" i="795"/>
  <c r="AA137" i="795"/>
  <c r="AA135" i="795"/>
  <c r="AA143" i="795"/>
  <c r="K6" i="794"/>
  <c r="M6" i="794"/>
  <c r="L6" i="794"/>
  <c r="J14" i="794"/>
  <c r="J16" i="794"/>
  <c r="J15" i="794"/>
  <c r="Y9" i="765"/>
  <c r="Y8" i="765"/>
  <c r="Y7" i="765"/>
  <c r="Y10" i="765"/>
  <c r="AO19" i="510"/>
  <c r="AK19" i="510"/>
  <c r="AG19" i="510"/>
  <c r="AN18" i="510"/>
  <c r="AJ18" i="510"/>
  <c r="AF18" i="510"/>
  <c r="AM17" i="510"/>
  <c r="AI17" i="510"/>
  <c r="AE17" i="510"/>
  <c r="AL16" i="510"/>
  <c r="AH16" i="510"/>
  <c r="AO15" i="510"/>
  <c r="AK15" i="510"/>
  <c r="AG15" i="510"/>
  <c r="AN19" i="510"/>
  <c r="AJ19" i="510"/>
  <c r="AF19" i="510"/>
  <c r="AM18" i="510"/>
  <c r="AI18" i="510"/>
  <c r="AE18" i="510"/>
  <c r="AL17" i="510"/>
  <c r="AH17" i="510"/>
  <c r="AO16" i="510"/>
  <c r="AK16" i="510"/>
  <c r="AG16" i="510"/>
  <c r="AN15" i="510"/>
  <c r="AJ15" i="510"/>
  <c r="AF15" i="510"/>
  <c r="AM19" i="510"/>
  <c r="AI19" i="510"/>
  <c r="AE19" i="510"/>
  <c r="AL18" i="510"/>
  <c r="AH18" i="510"/>
  <c r="AO17" i="510"/>
  <c r="AK17" i="510"/>
  <c r="AG17" i="510"/>
  <c r="AN16" i="510"/>
  <c r="AJ16" i="510"/>
  <c r="AF16" i="510"/>
  <c r="AM15" i="510"/>
  <c r="AI15" i="510"/>
  <c r="AE15" i="510"/>
  <c r="AO18" i="510"/>
  <c r="AJ17" i="510"/>
  <c r="AE16" i="510"/>
  <c r="AK18" i="510"/>
  <c r="AF17" i="510"/>
  <c r="AL15" i="510"/>
  <c r="AL19" i="510"/>
  <c r="AG18" i="510"/>
  <c r="AM16" i="510"/>
  <c r="AH15" i="510"/>
  <c r="AI16" i="510"/>
  <c r="AH19" i="510"/>
  <c r="AN17" i="510"/>
  <c r="P5" i="800"/>
  <c r="L5" i="800"/>
  <c r="O4" i="800"/>
  <c r="K4" i="800"/>
  <c r="N3" i="800"/>
  <c r="Q5" i="800"/>
  <c r="K5" i="800"/>
  <c r="M4" i="800"/>
  <c r="O3" i="800"/>
  <c r="O5" i="800"/>
  <c r="Q4" i="800"/>
  <c r="L4" i="800"/>
  <c r="M3" i="800"/>
  <c r="N5" i="800"/>
  <c r="P4" i="800"/>
  <c r="Q3" i="800"/>
  <c r="L3" i="800"/>
  <c r="P3" i="800"/>
  <c r="K3" i="800"/>
  <c r="M5" i="800"/>
  <c r="N4" i="800"/>
  <c r="P11" i="800"/>
  <c r="L11" i="800"/>
  <c r="O10" i="800"/>
  <c r="K10" i="800"/>
  <c r="N9" i="800"/>
  <c r="N11" i="800"/>
  <c r="Q10" i="800"/>
  <c r="M10" i="800"/>
  <c r="P9" i="800"/>
  <c r="L9" i="800"/>
  <c r="O11" i="800"/>
  <c r="N10" i="800"/>
  <c r="M9" i="800"/>
  <c r="M11" i="800"/>
  <c r="L10" i="800"/>
  <c r="K9" i="800"/>
  <c r="K11" i="800"/>
  <c r="Q9" i="800"/>
  <c r="O9" i="800"/>
  <c r="Q11" i="800"/>
  <c r="P10" i="800"/>
  <c r="D13" i="709"/>
  <c r="D9" i="709"/>
  <c r="D12" i="709"/>
  <c r="D8" i="709"/>
  <c r="D11" i="709"/>
  <c r="D7" i="709"/>
  <c r="D10" i="709"/>
  <c r="D6" i="709"/>
  <c r="J21" i="705"/>
  <c r="J20" i="705"/>
  <c r="J19" i="705"/>
  <c r="J18" i="705"/>
  <c r="J17" i="705"/>
  <c r="J16" i="705"/>
  <c r="J15" i="705"/>
  <c r="J14" i="705"/>
  <c r="J13" i="705"/>
  <c r="J12" i="705"/>
  <c r="J11" i="705"/>
  <c r="J10" i="705"/>
  <c r="J9" i="705"/>
  <c r="J8" i="705"/>
  <c r="J7" i="705"/>
  <c r="J6" i="705"/>
  <c r="J5" i="705"/>
  <c r="J4" i="705"/>
  <c r="I21" i="705"/>
  <c r="I20" i="705"/>
  <c r="I19" i="705"/>
  <c r="I18" i="705"/>
  <c r="I17" i="705"/>
  <c r="I16" i="705"/>
  <c r="I15" i="705"/>
  <c r="I14" i="705"/>
  <c r="I13" i="705"/>
  <c r="I12" i="705"/>
  <c r="I11" i="705"/>
  <c r="I10" i="705"/>
  <c r="I9" i="705"/>
  <c r="I8" i="705"/>
  <c r="I7" i="705"/>
  <c r="I6" i="705"/>
  <c r="I5" i="705"/>
  <c r="I4" i="705"/>
  <c r="H21" i="705"/>
  <c r="H20" i="705"/>
  <c r="H19" i="705"/>
  <c r="H18" i="705"/>
  <c r="H17" i="705"/>
  <c r="H16" i="705"/>
  <c r="H15" i="705"/>
  <c r="H14" i="705"/>
  <c r="H13" i="705"/>
  <c r="H12" i="705"/>
  <c r="H11" i="705"/>
  <c r="H10" i="705"/>
  <c r="H9" i="705"/>
  <c r="H8" i="705"/>
  <c r="H7" i="705"/>
  <c r="H6" i="705"/>
  <c r="H5" i="705"/>
  <c r="H4" i="705"/>
  <c r="G21" i="705"/>
  <c r="G17" i="705"/>
  <c r="G13" i="705"/>
  <c r="G9" i="705"/>
  <c r="G5" i="705"/>
  <c r="G20" i="705"/>
  <c r="G16" i="705"/>
  <c r="G12" i="705"/>
  <c r="G8" i="705"/>
  <c r="G4" i="705"/>
  <c r="G19" i="705"/>
  <c r="G15" i="705"/>
  <c r="G11" i="705"/>
  <c r="G7" i="705"/>
  <c r="G14" i="705"/>
  <c r="G10" i="705"/>
  <c r="G6" i="705"/>
  <c r="G18" i="705"/>
  <c r="X43" i="712"/>
  <c r="T43" i="712"/>
  <c r="V42" i="712"/>
  <c r="X41" i="712"/>
  <c r="T41" i="712"/>
  <c r="V40" i="712"/>
  <c r="X39" i="712"/>
  <c r="T39" i="712"/>
  <c r="V38" i="712"/>
  <c r="X37" i="712"/>
  <c r="T37" i="712"/>
  <c r="V36" i="712"/>
  <c r="X35" i="712"/>
  <c r="T35" i="712"/>
  <c r="V34" i="712"/>
  <c r="X33" i="712"/>
  <c r="T33" i="712"/>
  <c r="V32" i="712"/>
  <c r="X31" i="712"/>
  <c r="T31" i="712"/>
  <c r="V30" i="712"/>
  <c r="X29" i="712"/>
  <c r="T29" i="712"/>
  <c r="V28" i="712"/>
  <c r="X27" i="712"/>
  <c r="T27" i="712"/>
  <c r="V26" i="712"/>
  <c r="X25" i="712"/>
  <c r="T25" i="712"/>
  <c r="V24" i="712"/>
  <c r="X23" i="712"/>
  <c r="T23" i="712"/>
  <c r="V22" i="712"/>
  <c r="X21" i="712"/>
  <c r="T21" i="712"/>
  <c r="V20" i="712"/>
  <c r="X19" i="712"/>
  <c r="T19" i="712"/>
  <c r="V18" i="712"/>
  <c r="X17" i="712"/>
  <c r="T17" i="712"/>
  <c r="V16" i="712"/>
  <c r="X15" i="712"/>
  <c r="T15" i="712"/>
  <c r="V14" i="712"/>
  <c r="X13" i="712"/>
  <c r="T13" i="712"/>
  <c r="V12" i="712"/>
  <c r="X11" i="712"/>
  <c r="T11" i="712"/>
  <c r="V10" i="712"/>
  <c r="X9" i="712"/>
  <c r="T9" i="712"/>
  <c r="V8" i="712"/>
  <c r="X7" i="712"/>
  <c r="T7" i="712"/>
  <c r="V6" i="712"/>
  <c r="X5" i="712"/>
  <c r="T5" i="712"/>
  <c r="V4" i="712"/>
  <c r="W43" i="712"/>
  <c r="S43" i="712"/>
  <c r="U42" i="712"/>
  <c r="W41" i="712"/>
  <c r="S41" i="712"/>
  <c r="U40" i="712"/>
  <c r="W39" i="712"/>
  <c r="S39" i="712"/>
  <c r="U38" i="712"/>
  <c r="W37" i="712"/>
  <c r="S37" i="712"/>
  <c r="U36" i="712"/>
  <c r="W35" i="712"/>
  <c r="S35" i="712"/>
  <c r="U34" i="712"/>
  <c r="W33" i="712"/>
  <c r="S33" i="712"/>
  <c r="U32" i="712"/>
  <c r="W31" i="712"/>
  <c r="S31" i="712"/>
  <c r="U30" i="712"/>
  <c r="W29" i="712"/>
  <c r="S29" i="712"/>
  <c r="U28" i="712"/>
  <c r="W27" i="712"/>
  <c r="S27" i="712"/>
  <c r="U26" i="712"/>
  <c r="W25" i="712"/>
  <c r="S25" i="712"/>
  <c r="U24" i="712"/>
  <c r="W23" i="712"/>
  <c r="S23" i="712"/>
  <c r="U22" i="712"/>
  <c r="W21" i="712"/>
  <c r="S21" i="712"/>
  <c r="U20" i="712"/>
  <c r="W19" i="712"/>
  <c r="S19" i="712"/>
  <c r="U18" i="712"/>
  <c r="W17" i="712"/>
  <c r="S17" i="712"/>
  <c r="U16" i="712"/>
  <c r="W15" i="712"/>
  <c r="S15" i="712"/>
  <c r="U14" i="712"/>
  <c r="W13" i="712"/>
  <c r="S13" i="712"/>
  <c r="U12" i="712"/>
  <c r="W11" i="712"/>
  <c r="S11" i="712"/>
  <c r="U10" i="712"/>
  <c r="W9" i="712"/>
  <c r="S9" i="712"/>
  <c r="U8" i="712"/>
  <c r="W7" i="712"/>
  <c r="S7" i="712"/>
  <c r="U6" i="712"/>
  <c r="W5" i="712"/>
  <c r="S5" i="712"/>
  <c r="U4" i="712"/>
  <c r="V43" i="712"/>
  <c r="X42" i="712"/>
  <c r="T42" i="712"/>
  <c r="V41" i="712"/>
  <c r="X40" i="712"/>
  <c r="T40" i="712"/>
  <c r="V39" i="712"/>
  <c r="X38" i="712"/>
  <c r="T38" i="712"/>
  <c r="V37" i="712"/>
  <c r="X36" i="712"/>
  <c r="T36" i="712"/>
  <c r="V35" i="712"/>
  <c r="X34" i="712"/>
  <c r="T34" i="712"/>
  <c r="V33" i="712"/>
  <c r="X32" i="712"/>
  <c r="T32" i="712"/>
  <c r="V31" i="712"/>
  <c r="X30" i="712"/>
  <c r="T30" i="712"/>
  <c r="V29" i="712"/>
  <c r="X28" i="712"/>
  <c r="T28" i="712"/>
  <c r="V27" i="712"/>
  <c r="X26" i="712"/>
  <c r="T26" i="712"/>
  <c r="V25" i="712"/>
  <c r="X24" i="712"/>
  <c r="T24" i="712"/>
  <c r="V23" i="712"/>
  <c r="X22" i="712"/>
  <c r="T22" i="712"/>
  <c r="V21" i="712"/>
  <c r="X20" i="712"/>
  <c r="T20" i="712"/>
  <c r="V19" i="712"/>
  <c r="X18" i="712"/>
  <c r="T18" i="712"/>
  <c r="V17" i="712"/>
  <c r="X16" i="712"/>
  <c r="T16" i="712"/>
  <c r="V15" i="712"/>
  <c r="X14" i="712"/>
  <c r="T14" i="712"/>
  <c r="V13" i="712"/>
  <c r="X12" i="712"/>
  <c r="T12" i="712"/>
  <c r="V11" i="712"/>
  <c r="X10" i="712"/>
  <c r="T10" i="712"/>
  <c r="V9" i="712"/>
  <c r="X8" i="712"/>
  <c r="T8" i="712"/>
  <c r="V7" i="712"/>
  <c r="X6" i="712"/>
  <c r="T6" i="712"/>
  <c r="V5" i="712"/>
  <c r="X4" i="712"/>
  <c r="T4" i="712"/>
  <c r="S42" i="712"/>
  <c r="U39" i="712"/>
  <c r="W36" i="712"/>
  <c r="S34" i="712"/>
  <c r="U31" i="712"/>
  <c r="W28" i="712"/>
  <c r="S26" i="712"/>
  <c r="U23" i="712"/>
  <c r="W20" i="712"/>
  <c r="S18" i="712"/>
  <c r="U15" i="712"/>
  <c r="W12" i="712"/>
  <c r="S10" i="712"/>
  <c r="U7" i="712"/>
  <c r="W4" i="712"/>
  <c r="U41" i="712"/>
  <c r="W38" i="712"/>
  <c r="S36" i="712"/>
  <c r="U33" i="712"/>
  <c r="W30" i="712"/>
  <c r="S28" i="712"/>
  <c r="U25" i="712"/>
  <c r="W22" i="712"/>
  <c r="S20" i="712"/>
  <c r="U17" i="712"/>
  <c r="W14" i="712"/>
  <c r="S12" i="712"/>
  <c r="U9" i="712"/>
  <c r="W6" i="712"/>
  <c r="S4" i="712"/>
  <c r="U43" i="712"/>
  <c r="W40" i="712"/>
  <c r="S38" i="712"/>
  <c r="U35" i="712"/>
  <c r="W32" i="712"/>
  <c r="S30" i="712"/>
  <c r="U27" i="712"/>
  <c r="W24" i="712"/>
  <c r="S22" i="712"/>
  <c r="U19" i="712"/>
  <c r="W16" i="712"/>
  <c r="S14" i="712"/>
  <c r="U11" i="712"/>
  <c r="W8" i="712"/>
  <c r="S6" i="712"/>
  <c r="S40" i="712"/>
  <c r="U29" i="712"/>
  <c r="W18" i="712"/>
  <c r="S8" i="712"/>
  <c r="U37" i="712"/>
  <c r="W26" i="712"/>
  <c r="S16" i="712"/>
  <c r="U5" i="712"/>
  <c r="W34" i="712"/>
  <c r="S24" i="712"/>
  <c r="U13" i="712"/>
  <c r="W42" i="712"/>
  <c r="S32" i="712"/>
  <c r="U21" i="712"/>
  <c r="W10" i="712"/>
  <c r="K30" i="591"/>
  <c r="K26" i="591"/>
  <c r="K22" i="591"/>
  <c r="K18" i="591"/>
  <c r="K14" i="591"/>
  <c r="K10" i="591"/>
  <c r="K6" i="591"/>
  <c r="K29" i="591"/>
  <c r="K25" i="591"/>
  <c r="K21" i="591"/>
  <c r="K17" i="591"/>
  <c r="K13" i="591"/>
  <c r="K9" i="591"/>
  <c r="K5" i="591"/>
  <c r="K32" i="591"/>
  <c r="K28" i="591"/>
  <c r="K24" i="591"/>
  <c r="K20" i="591"/>
  <c r="K16" i="591"/>
  <c r="K12" i="591"/>
  <c r="K8" i="591"/>
  <c r="K4" i="591"/>
  <c r="K19" i="591"/>
  <c r="K3" i="591"/>
  <c r="K31" i="591"/>
  <c r="K15" i="591"/>
  <c r="K27" i="591"/>
  <c r="K11" i="591"/>
  <c r="K23" i="591"/>
  <c r="K7" i="591"/>
  <c r="J38" i="744"/>
  <c r="J37" i="744"/>
  <c r="J36" i="744"/>
  <c r="J35" i="744"/>
  <c r="J34" i="744"/>
  <c r="J33" i="744"/>
  <c r="J32" i="744"/>
  <c r="J31" i="744"/>
  <c r="J30" i="744"/>
  <c r="J29" i="744"/>
  <c r="J28" i="744"/>
  <c r="J27" i="744"/>
  <c r="J26" i="744"/>
  <c r="J25" i="744"/>
  <c r="J24" i="744"/>
  <c r="J23" i="744"/>
  <c r="J22" i="744"/>
  <c r="J21" i="744"/>
  <c r="J20" i="744"/>
  <c r="J19" i="744"/>
  <c r="J18" i="744"/>
  <c r="J17" i="744"/>
  <c r="J16" i="744"/>
  <c r="J15" i="744"/>
  <c r="J14" i="744"/>
  <c r="J13" i="744"/>
  <c r="J12" i="744"/>
  <c r="J11" i="744"/>
  <c r="J10" i="744"/>
  <c r="J9" i="744"/>
  <c r="J8" i="744"/>
  <c r="J7" i="744"/>
  <c r="J6" i="744"/>
  <c r="J5" i="744"/>
  <c r="J4" i="744"/>
  <c r="J3" i="744"/>
  <c r="I38" i="744"/>
  <c r="I37" i="744"/>
  <c r="I36" i="744"/>
  <c r="I35" i="744"/>
  <c r="I34" i="744"/>
  <c r="I33" i="744"/>
  <c r="I32" i="744"/>
  <c r="I31" i="744"/>
  <c r="I30" i="744"/>
  <c r="I29" i="744"/>
  <c r="I28" i="744"/>
  <c r="I27" i="744"/>
  <c r="I26" i="744"/>
  <c r="I25" i="744"/>
  <c r="I24" i="744"/>
  <c r="I23" i="744"/>
  <c r="I22" i="744"/>
  <c r="I21" i="744"/>
  <c r="I20" i="744"/>
  <c r="I19" i="744"/>
  <c r="I18" i="744"/>
  <c r="I17" i="744"/>
  <c r="I16" i="744"/>
  <c r="I15" i="744"/>
  <c r="I14" i="744"/>
  <c r="I13" i="744"/>
  <c r="I12" i="744"/>
  <c r="I11" i="744"/>
  <c r="I10" i="744"/>
  <c r="I9" i="744"/>
  <c r="I8" i="744"/>
  <c r="I7" i="744"/>
  <c r="I6" i="744"/>
  <c r="I5" i="744"/>
  <c r="I4" i="744"/>
  <c r="I3" i="744"/>
  <c r="H38" i="744"/>
  <c r="H37" i="744"/>
  <c r="H36" i="744"/>
  <c r="H35" i="744"/>
  <c r="H34" i="744"/>
  <c r="H33" i="744"/>
  <c r="H32" i="744"/>
  <c r="H31" i="744"/>
  <c r="H30" i="744"/>
  <c r="H29" i="744"/>
  <c r="H28" i="744"/>
  <c r="H27" i="744"/>
  <c r="H26" i="744"/>
  <c r="H25" i="744"/>
  <c r="H24" i="744"/>
  <c r="H23" i="744"/>
  <c r="H22" i="744"/>
  <c r="H21" i="744"/>
  <c r="H20" i="744"/>
  <c r="H19" i="744"/>
  <c r="H18" i="744"/>
  <c r="H17" i="744"/>
  <c r="H16" i="744"/>
  <c r="H15" i="744"/>
  <c r="H14" i="744"/>
  <c r="H13" i="744"/>
  <c r="H12" i="744"/>
  <c r="H11" i="744"/>
  <c r="H10" i="744"/>
  <c r="H9" i="744"/>
  <c r="H8" i="744"/>
  <c r="H7" i="744"/>
  <c r="H6" i="744"/>
  <c r="H5" i="744"/>
  <c r="H4" i="744"/>
  <c r="H3" i="744"/>
  <c r="G38" i="744"/>
  <c r="G34" i="744"/>
  <c r="G30" i="744"/>
  <c r="G26" i="744"/>
  <c r="G22" i="744"/>
  <c r="G18" i="744"/>
  <c r="G14" i="744"/>
  <c r="G10" i="744"/>
  <c r="G6" i="744"/>
  <c r="G37" i="744"/>
  <c r="G33" i="744"/>
  <c r="G29" i="744"/>
  <c r="G25" i="744"/>
  <c r="G21" i="744"/>
  <c r="G17" i="744"/>
  <c r="G13" i="744"/>
  <c r="G9" i="744"/>
  <c r="G5" i="744"/>
  <c r="G36" i="744"/>
  <c r="G32" i="744"/>
  <c r="G28" i="744"/>
  <c r="G24" i="744"/>
  <c r="G20" i="744"/>
  <c r="G16" i="744"/>
  <c r="G12" i="744"/>
  <c r="G8" i="744"/>
  <c r="G4" i="744"/>
  <c r="G31" i="744"/>
  <c r="G15" i="744"/>
  <c r="G27" i="744"/>
  <c r="G11" i="744"/>
  <c r="G23" i="744"/>
  <c r="G7" i="744"/>
  <c r="G35" i="744"/>
  <c r="G19" i="744"/>
  <c r="G3" i="744"/>
  <c r="J38" i="749"/>
  <c r="J37" i="749"/>
  <c r="J36" i="749"/>
  <c r="J35" i="749"/>
  <c r="J34" i="749"/>
  <c r="J33" i="749"/>
  <c r="J32" i="749"/>
  <c r="J31" i="749"/>
  <c r="J30" i="749"/>
  <c r="J29" i="749"/>
  <c r="J28" i="749"/>
  <c r="J27" i="749"/>
  <c r="J26" i="749"/>
  <c r="J25" i="749"/>
  <c r="J24" i="749"/>
  <c r="J23" i="749"/>
  <c r="J22" i="749"/>
  <c r="J21" i="749"/>
  <c r="J20" i="749"/>
  <c r="J19" i="749"/>
  <c r="J18" i="749"/>
  <c r="J17" i="749"/>
  <c r="J16" i="749"/>
  <c r="J15" i="749"/>
  <c r="J14" i="749"/>
  <c r="J13" i="749"/>
  <c r="J12" i="749"/>
  <c r="J11" i="749"/>
  <c r="J10" i="749"/>
  <c r="J9" i="749"/>
  <c r="J8" i="749"/>
  <c r="J7" i="749"/>
  <c r="J6" i="749"/>
  <c r="J5" i="749"/>
  <c r="J4" i="749"/>
  <c r="J3" i="749"/>
  <c r="I38" i="749"/>
  <c r="I37" i="749"/>
  <c r="I36" i="749"/>
  <c r="I35" i="749"/>
  <c r="I34" i="749"/>
  <c r="I33" i="749"/>
  <c r="I32" i="749"/>
  <c r="I31" i="749"/>
  <c r="I30" i="749"/>
  <c r="I29" i="749"/>
  <c r="I28" i="749"/>
  <c r="I27" i="749"/>
  <c r="I26" i="749"/>
  <c r="I25" i="749"/>
  <c r="I24" i="749"/>
  <c r="I23" i="749"/>
  <c r="I22" i="749"/>
  <c r="I21" i="749"/>
  <c r="I20" i="749"/>
  <c r="I19" i="749"/>
  <c r="I18" i="749"/>
  <c r="I17" i="749"/>
  <c r="I16" i="749"/>
  <c r="I15" i="749"/>
  <c r="I14" i="749"/>
  <c r="I13" i="749"/>
  <c r="I12" i="749"/>
  <c r="I11" i="749"/>
  <c r="I10" i="749"/>
  <c r="I9" i="749"/>
  <c r="I8" i="749"/>
  <c r="I7" i="749"/>
  <c r="I6" i="749"/>
  <c r="I5" i="749"/>
  <c r="I4" i="749"/>
  <c r="I3" i="749"/>
  <c r="H38" i="749"/>
  <c r="H37" i="749"/>
  <c r="H36" i="749"/>
  <c r="H35" i="749"/>
  <c r="H34" i="749"/>
  <c r="H33" i="749"/>
  <c r="H32" i="749"/>
  <c r="H31" i="749"/>
  <c r="H30" i="749"/>
  <c r="H29" i="749"/>
  <c r="H28" i="749"/>
  <c r="H27" i="749"/>
  <c r="H26" i="749"/>
  <c r="H25" i="749"/>
  <c r="H24" i="749"/>
  <c r="H23" i="749"/>
  <c r="H22" i="749"/>
  <c r="H21" i="749"/>
  <c r="H20" i="749"/>
  <c r="H19" i="749"/>
  <c r="H18" i="749"/>
  <c r="H17" i="749"/>
  <c r="H16" i="749"/>
  <c r="H15" i="749"/>
  <c r="H14" i="749"/>
  <c r="H13" i="749"/>
  <c r="H12" i="749"/>
  <c r="H11" i="749"/>
  <c r="H10" i="749"/>
  <c r="H9" i="749"/>
  <c r="H8" i="749"/>
  <c r="H7" i="749"/>
  <c r="H6" i="749"/>
  <c r="H5" i="749"/>
  <c r="H4" i="749"/>
  <c r="H3" i="749"/>
  <c r="G37" i="749"/>
  <c r="G33" i="749"/>
  <c r="G29" i="749"/>
  <c r="G25" i="749"/>
  <c r="G21" i="749"/>
  <c r="G17" i="749"/>
  <c r="G13" i="749"/>
  <c r="G9" i="749"/>
  <c r="G5" i="749"/>
  <c r="G36" i="749"/>
  <c r="G32" i="749"/>
  <c r="G28" i="749"/>
  <c r="G24" i="749"/>
  <c r="G20" i="749"/>
  <c r="G16" i="749"/>
  <c r="G12" i="749"/>
  <c r="G8" i="749"/>
  <c r="G4" i="749"/>
  <c r="G35" i="749"/>
  <c r="G31" i="749"/>
  <c r="G27" i="749"/>
  <c r="G23" i="749"/>
  <c r="G19" i="749"/>
  <c r="G15" i="749"/>
  <c r="G11" i="749"/>
  <c r="G7" i="749"/>
  <c r="G3" i="749"/>
  <c r="G30" i="749"/>
  <c r="G14" i="749"/>
  <c r="G26" i="749"/>
  <c r="G10" i="749"/>
  <c r="G38" i="749"/>
  <c r="G22" i="749"/>
  <c r="G6" i="749"/>
  <c r="G34" i="749"/>
  <c r="G18" i="749"/>
  <c r="K33" i="297"/>
  <c r="K32" i="297"/>
  <c r="K31" i="297"/>
  <c r="K30" i="297"/>
  <c r="J33" i="297"/>
  <c r="J32" i="297"/>
  <c r="J31" i="297"/>
  <c r="J30" i="297"/>
  <c r="I33" i="297"/>
  <c r="I32" i="297"/>
  <c r="I31" i="297"/>
  <c r="I30" i="297"/>
  <c r="H32" i="297"/>
  <c r="H31" i="297"/>
  <c r="H30" i="297"/>
  <c r="H33" i="297"/>
  <c r="AN7" i="300"/>
  <c r="AM6" i="300"/>
  <c r="AM7" i="300"/>
  <c r="AO5" i="300"/>
  <c r="AO6" i="300"/>
  <c r="AN5" i="300"/>
  <c r="AN6" i="300"/>
  <c r="AM5" i="300"/>
  <c r="AO7" i="300"/>
  <c r="AU10" i="302"/>
  <c r="AV9" i="302"/>
  <c r="AR9" i="302"/>
  <c r="AS8" i="302"/>
  <c r="AT7" i="302"/>
  <c r="AU6" i="302"/>
  <c r="AT10" i="302"/>
  <c r="AU9" i="302"/>
  <c r="AV8" i="302"/>
  <c r="AR8" i="302"/>
  <c r="AS7" i="302"/>
  <c r="AT6" i="302"/>
  <c r="AS10" i="302"/>
  <c r="AT9" i="302"/>
  <c r="AU8" i="302"/>
  <c r="AV7" i="302"/>
  <c r="AR7" i="302"/>
  <c r="AS6" i="302"/>
  <c r="AV10" i="302"/>
  <c r="AU7" i="302"/>
  <c r="AR10" i="302"/>
  <c r="AV6" i="302"/>
  <c r="AS9" i="302"/>
  <c r="AR6" i="302"/>
  <c r="AT8" i="302"/>
  <c r="Z181" i="795"/>
  <c r="Z179" i="795"/>
  <c r="Z177" i="795"/>
  <c r="AA180" i="795"/>
  <c r="Z178" i="795"/>
  <c r="AA175" i="795"/>
  <c r="AA173" i="795"/>
  <c r="AA171" i="795"/>
  <c r="AA169" i="795"/>
  <c r="AA167" i="795"/>
  <c r="Z180" i="795"/>
  <c r="AA177" i="795"/>
  <c r="Z175" i="795"/>
  <c r="Z173" i="795"/>
  <c r="Z171" i="795"/>
  <c r="Z169" i="795"/>
  <c r="Z167" i="795"/>
  <c r="AA179" i="795"/>
  <c r="AA176" i="795"/>
  <c r="AA174" i="795"/>
  <c r="AA172" i="795"/>
  <c r="AA170" i="795"/>
  <c r="AA168" i="795"/>
  <c r="AA166" i="795"/>
  <c r="Z176" i="795"/>
  <c r="Z168" i="795"/>
  <c r="Z174" i="795"/>
  <c r="Z166" i="795"/>
  <c r="AA181" i="795"/>
  <c r="Z172" i="795"/>
  <c r="AA178" i="795"/>
  <c r="Z170" i="795"/>
  <c r="F43" i="794"/>
  <c r="H41" i="794"/>
  <c r="G40" i="794"/>
  <c r="F39" i="794"/>
  <c r="H37" i="794"/>
  <c r="G36" i="794"/>
  <c r="F35" i="794"/>
  <c r="H33" i="794"/>
  <c r="G32" i="794"/>
  <c r="F31" i="794"/>
  <c r="H29" i="794"/>
  <c r="G28" i="794"/>
  <c r="F27" i="794"/>
  <c r="H25" i="794"/>
  <c r="G24" i="794"/>
  <c r="F23" i="794"/>
  <c r="H21" i="794"/>
  <c r="G20" i="794"/>
  <c r="F19" i="794"/>
  <c r="H17" i="794"/>
  <c r="G16" i="794"/>
  <c r="F15" i="794"/>
  <c r="H13" i="794"/>
  <c r="G12" i="794"/>
  <c r="F11" i="794"/>
  <c r="H9" i="794"/>
  <c r="G8" i="794"/>
  <c r="F7" i="794"/>
  <c r="H5" i="794"/>
  <c r="H43" i="794"/>
  <c r="G42" i="794"/>
  <c r="F41" i="794"/>
  <c r="H39" i="794"/>
  <c r="G38" i="794"/>
  <c r="F37" i="794"/>
  <c r="H35" i="794"/>
  <c r="G34" i="794"/>
  <c r="F33" i="794"/>
  <c r="H31" i="794"/>
  <c r="G30" i="794"/>
  <c r="F29" i="794"/>
  <c r="H27" i="794"/>
  <c r="G26" i="794"/>
  <c r="F25" i="794"/>
  <c r="H23" i="794"/>
  <c r="G22" i="794"/>
  <c r="F21" i="794"/>
  <c r="H19" i="794"/>
  <c r="G18" i="794"/>
  <c r="F17" i="794"/>
  <c r="H15" i="794"/>
  <c r="G14" i="794"/>
  <c r="F13" i="794"/>
  <c r="H11" i="794"/>
  <c r="G10" i="794"/>
  <c r="F9" i="794"/>
  <c r="H7" i="794"/>
  <c r="G6" i="794"/>
  <c r="F5" i="794"/>
  <c r="F42" i="794"/>
  <c r="G39" i="794"/>
  <c r="H36" i="794"/>
  <c r="F34" i="794"/>
  <c r="G31" i="794"/>
  <c r="H28" i="794"/>
  <c r="F26" i="794"/>
  <c r="G23" i="794"/>
  <c r="H20" i="794"/>
  <c r="F18" i="794"/>
  <c r="G15" i="794"/>
  <c r="H12" i="794"/>
  <c r="F10" i="794"/>
  <c r="G7" i="794"/>
  <c r="G41" i="794"/>
  <c r="H38" i="794"/>
  <c r="F36" i="794"/>
  <c r="G33" i="794"/>
  <c r="H30" i="794"/>
  <c r="F28" i="794"/>
  <c r="G25" i="794"/>
  <c r="H22" i="794"/>
  <c r="F20" i="794"/>
  <c r="G17" i="794"/>
  <c r="H14" i="794"/>
  <c r="F12" i="794"/>
  <c r="G9" i="794"/>
  <c r="H6" i="794"/>
  <c r="G43" i="794"/>
  <c r="H40" i="794"/>
  <c r="F38" i="794"/>
  <c r="G35" i="794"/>
  <c r="H32" i="794"/>
  <c r="F30" i="794"/>
  <c r="G27" i="794"/>
  <c r="H24" i="794"/>
  <c r="F22" i="794"/>
  <c r="G19" i="794"/>
  <c r="H16" i="794"/>
  <c r="F14" i="794"/>
  <c r="G11" i="794"/>
  <c r="H8" i="794"/>
  <c r="F6" i="794"/>
  <c r="H34" i="794"/>
  <c r="F24" i="794"/>
  <c r="G13" i="794"/>
  <c r="H42" i="794"/>
  <c r="F32" i="794"/>
  <c r="G21" i="794"/>
  <c r="H10" i="794"/>
  <c r="F40" i="794"/>
  <c r="G29" i="794"/>
  <c r="H18" i="794"/>
  <c r="F8" i="794"/>
  <c r="H26" i="794"/>
  <c r="F16" i="794"/>
  <c r="G5" i="794"/>
  <c r="G37" i="794"/>
  <c r="L6" i="793"/>
  <c r="K6" i="793"/>
  <c r="M6" i="793"/>
  <c r="J8" i="793"/>
  <c r="J7" i="793"/>
  <c r="J9" i="793"/>
  <c r="L13" i="793"/>
  <c r="K13" i="793"/>
  <c r="M13" i="793"/>
  <c r="J15" i="793"/>
  <c r="J14" i="793"/>
  <c r="J16" i="793"/>
  <c r="J22" i="793"/>
  <c r="J21" i="793"/>
  <c r="J23" i="793"/>
  <c r="T15" i="619"/>
  <c r="S15" i="619"/>
  <c r="V15" i="619"/>
  <c r="U15" i="619"/>
  <c r="L38" i="766"/>
  <c r="N36" i="766"/>
  <c r="M35" i="766"/>
  <c r="L34" i="766"/>
  <c r="N32" i="766"/>
  <c r="M31" i="766"/>
  <c r="L30" i="766"/>
  <c r="N28" i="766"/>
  <c r="M27" i="766"/>
  <c r="L26" i="766"/>
  <c r="N24" i="766"/>
  <c r="M23" i="766"/>
  <c r="L22" i="766"/>
  <c r="N20" i="766"/>
  <c r="M19" i="766"/>
  <c r="L18" i="766"/>
  <c r="N16" i="766"/>
  <c r="M15" i="766"/>
  <c r="L14" i="766"/>
  <c r="N12" i="766"/>
  <c r="M11" i="766"/>
  <c r="L10" i="766"/>
  <c r="N8" i="766"/>
  <c r="M7" i="766"/>
  <c r="L6" i="766"/>
  <c r="N4" i="766"/>
  <c r="M3" i="766"/>
  <c r="N37" i="766"/>
  <c r="M36" i="766"/>
  <c r="L35" i="766"/>
  <c r="N33" i="766"/>
  <c r="M32" i="766"/>
  <c r="L31" i="766"/>
  <c r="N29" i="766"/>
  <c r="M28" i="766"/>
  <c r="L27" i="766"/>
  <c r="N25" i="766"/>
  <c r="M24" i="766"/>
  <c r="L23" i="766"/>
  <c r="N21" i="766"/>
  <c r="M20" i="766"/>
  <c r="L19" i="766"/>
  <c r="N17" i="766"/>
  <c r="M16" i="766"/>
  <c r="L15" i="766"/>
  <c r="N13" i="766"/>
  <c r="M12" i="766"/>
  <c r="L11" i="766"/>
  <c r="N9" i="766"/>
  <c r="M8" i="766"/>
  <c r="L7" i="766"/>
  <c r="N5" i="766"/>
  <c r="M4" i="766"/>
  <c r="L3" i="766"/>
  <c r="N38" i="766"/>
  <c r="M37" i="766"/>
  <c r="L36" i="766"/>
  <c r="N34" i="766"/>
  <c r="M33" i="766"/>
  <c r="L32" i="766"/>
  <c r="N30" i="766"/>
  <c r="M29" i="766"/>
  <c r="L28" i="766"/>
  <c r="N26" i="766"/>
  <c r="M25" i="766"/>
  <c r="L24" i="766"/>
  <c r="N22" i="766"/>
  <c r="M21" i="766"/>
  <c r="L20" i="766"/>
  <c r="N18" i="766"/>
  <c r="M17" i="766"/>
  <c r="L16" i="766"/>
  <c r="N14" i="766"/>
  <c r="M13" i="766"/>
  <c r="L12" i="766"/>
  <c r="N10" i="766"/>
  <c r="M9" i="766"/>
  <c r="L8" i="766"/>
  <c r="N6" i="766"/>
  <c r="M5" i="766"/>
  <c r="L4" i="766"/>
  <c r="L37" i="766"/>
  <c r="N31" i="766"/>
  <c r="M26" i="766"/>
  <c r="L21" i="766"/>
  <c r="N15" i="766"/>
  <c r="M10" i="766"/>
  <c r="L5" i="766"/>
  <c r="N35" i="766"/>
  <c r="M30" i="766"/>
  <c r="L25" i="766"/>
  <c r="N19" i="766"/>
  <c r="M14" i="766"/>
  <c r="L9" i="766"/>
  <c r="N3" i="766"/>
  <c r="M34" i="766"/>
  <c r="L29" i="766"/>
  <c r="N23" i="766"/>
  <c r="M18" i="766"/>
  <c r="L13" i="766"/>
  <c r="N7" i="766"/>
  <c r="M38" i="766"/>
  <c r="L17" i="766"/>
  <c r="L33" i="766"/>
  <c r="N11" i="766"/>
  <c r="N27" i="766"/>
  <c r="M6" i="766"/>
  <c r="M22" i="766"/>
  <c r="AF8" i="765"/>
  <c r="AF7" i="765"/>
  <c r="AF10" i="765"/>
  <c r="AF9" i="765"/>
  <c r="K20" i="499"/>
  <c r="K19" i="499"/>
  <c r="L19" i="504"/>
  <c r="H19" i="504"/>
  <c r="J18" i="504"/>
  <c r="L17" i="504"/>
  <c r="H17" i="504"/>
  <c r="J16" i="504"/>
  <c r="L15" i="504"/>
  <c r="H15" i="504"/>
  <c r="J14" i="504"/>
  <c r="L13" i="504"/>
  <c r="H13" i="504"/>
  <c r="J12" i="504"/>
  <c r="L11" i="504"/>
  <c r="H11" i="504"/>
  <c r="K19" i="504"/>
  <c r="G19" i="504"/>
  <c r="I18" i="504"/>
  <c r="K17" i="504"/>
  <c r="G17" i="504"/>
  <c r="I16" i="504"/>
  <c r="K15" i="504"/>
  <c r="G15" i="504"/>
  <c r="I14" i="504"/>
  <c r="K13" i="504"/>
  <c r="G13" i="504"/>
  <c r="I12" i="504"/>
  <c r="K11" i="504"/>
  <c r="G11" i="504"/>
  <c r="J19" i="504"/>
  <c r="L18" i="504"/>
  <c r="H18" i="504"/>
  <c r="J17" i="504"/>
  <c r="L16" i="504"/>
  <c r="H16" i="504"/>
  <c r="J15" i="504"/>
  <c r="L14" i="504"/>
  <c r="H14" i="504"/>
  <c r="J13" i="504"/>
  <c r="L12" i="504"/>
  <c r="H12" i="504"/>
  <c r="J11" i="504"/>
  <c r="I19" i="504"/>
  <c r="K16" i="504"/>
  <c r="G14" i="504"/>
  <c r="I11" i="504"/>
  <c r="K18" i="504"/>
  <c r="G16" i="504"/>
  <c r="I13" i="504"/>
  <c r="G18" i="504"/>
  <c r="I15" i="504"/>
  <c r="K12" i="504"/>
  <c r="I17" i="504"/>
  <c r="K14" i="504"/>
  <c r="G12" i="504"/>
  <c r="O23" i="505"/>
  <c r="O22" i="505"/>
  <c r="O21" i="505"/>
  <c r="O20" i="505"/>
  <c r="O19" i="505"/>
  <c r="O18" i="505"/>
  <c r="O17" i="505"/>
  <c r="O16" i="505"/>
  <c r="O15" i="505"/>
  <c r="O14" i="505"/>
  <c r="O13" i="505"/>
  <c r="O12" i="505"/>
  <c r="O11" i="505"/>
  <c r="O10" i="505"/>
  <c r="O9" i="505"/>
  <c r="O8" i="505"/>
  <c r="O7" i="505"/>
  <c r="O6" i="505"/>
  <c r="O5" i="505"/>
  <c r="O4" i="505"/>
  <c r="O3" i="505"/>
  <c r="N23" i="505"/>
  <c r="N22" i="505"/>
  <c r="N21" i="505"/>
  <c r="N20" i="505"/>
  <c r="N19" i="505"/>
  <c r="N18" i="505"/>
  <c r="N17" i="505"/>
  <c r="N16" i="505"/>
  <c r="N15" i="505"/>
  <c r="N14" i="505"/>
  <c r="N13" i="505"/>
  <c r="N12" i="505"/>
  <c r="N11" i="505"/>
  <c r="N10" i="505"/>
  <c r="N9" i="505"/>
  <c r="N8" i="505"/>
  <c r="N7" i="505"/>
  <c r="N6" i="505"/>
  <c r="N5" i="505"/>
  <c r="N4" i="505"/>
  <c r="N3" i="505"/>
  <c r="Q23" i="505"/>
  <c r="Q22" i="505"/>
  <c r="Q21" i="505"/>
  <c r="Q20" i="505"/>
  <c r="Q19" i="505"/>
  <c r="Q18" i="505"/>
  <c r="Q17" i="505"/>
  <c r="Q16" i="505"/>
  <c r="Q15" i="505"/>
  <c r="Q14" i="505"/>
  <c r="Q13" i="505"/>
  <c r="Q12" i="505"/>
  <c r="Q11" i="505"/>
  <c r="Q10" i="505"/>
  <c r="Q9" i="505"/>
  <c r="Q8" i="505"/>
  <c r="Q7" i="505"/>
  <c r="Q6" i="505"/>
  <c r="Q5" i="505"/>
  <c r="Q4" i="505"/>
  <c r="Q3" i="505"/>
  <c r="P20" i="505"/>
  <c r="P16" i="505"/>
  <c r="P12" i="505"/>
  <c r="P8" i="505"/>
  <c r="P4" i="505"/>
  <c r="P23" i="505"/>
  <c r="P19" i="505"/>
  <c r="P15" i="505"/>
  <c r="P11" i="505"/>
  <c r="P7" i="505"/>
  <c r="P3" i="505"/>
  <c r="P22" i="505"/>
  <c r="P18" i="505"/>
  <c r="P14" i="505"/>
  <c r="P10" i="505"/>
  <c r="P6" i="505"/>
  <c r="P13" i="505"/>
  <c r="P9" i="505"/>
  <c r="P21" i="505"/>
  <c r="P5" i="505"/>
  <c r="P17" i="505"/>
  <c r="N20" i="514"/>
  <c r="N19" i="514"/>
  <c r="N22" i="514"/>
  <c r="N21" i="514"/>
  <c r="H23" i="506"/>
  <c r="H22" i="506"/>
  <c r="H21" i="506"/>
  <c r="H20" i="506"/>
  <c r="H19" i="506"/>
  <c r="H18" i="506"/>
  <c r="H17" i="506"/>
  <c r="H16" i="506"/>
  <c r="H15" i="506"/>
  <c r="H14" i="506"/>
  <c r="H13" i="506"/>
  <c r="H12" i="506"/>
  <c r="H11" i="506"/>
  <c r="H10" i="506"/>
  <c r="H9" i="506"/>
  <c r="H8" i="506"/>
  <c r="H7" i="506"/>
  <c r="H6" i="506"/>
  <c r="H5" i="506"/>
  <c r="H4" i="506"/>
  <c r="J23" i="506"/>
  <c r="J22" i="506"/>
  <c r="J21" i="506"/>
  <c r="J20" i="506"/>
  <c r="J19" i="506"/>
  <c r="J18" i="506"/>
  <c r="J17" i="506"/>
  <c r="J16" i="506"/>
  <c r="J15" i="506"/>
  <c r="J14" i="506"/>
  <c r="J13" i="506"/>
  <c r="J12" i="506"/>
  <c r="J11" i="506"/>
  <c r="J10" i="506"/>
  <c r="J9" i="506"/>
  <c r="J8" i="506"/>
  <c r="J7" i="506"/>
  <c r="J6" i="506"/>
  <c r="J5" i="506"/>
  <c r="J4" i="506"/>
  <c r="K22" i="506"/>
  <c r="K20" i="506"/>
  <c r="K18" i="506"/>
  <c r="K16" i="506"/>
  <c r="K14" i="506"/>
  <c r="K12" i="506"/>
  <c r="K10" i="506"/>
  <c r="K8" i="506"/>
  <c r="K6" i="506"/>
  <c r="K4" i="506"/>
  <c r="I22" i="506"/>
  <c r="I20" i="506"/>
  <c r="I18" i="506"/>
  <c r="I16" i="506"/>
  <c r="I14" i="506"/>
  <c r="I12" i="506"/>
  <c r="I10" i="506"/>
  <c r="I8" i="506"/>
  <c r="I6" i="506"/>
  <c r="I4" i="506"/>
  <c r="K23" i="506"/>
  <c r="K21" i="506"/>
  <c r="K19" i="506"/>
  <c r="K17" i="506"/>
  <c r="K15" i="506"/>
  <c r="K13" i="506"/>
  <c r="K11" i="506"/>
  <c r="K9" i="506"/>
  <c r="K7" i="506"/>
  <c r="K5" i="506"/>
  <c r="I19" i="506"/>
  <c r="I11" i="506"/>
  <c r="I17" i="506"/>
  <c r="I9" i="506"/>
  <c r="I23" i="506"/>
  <c r="I15" i="506"/>
  <c r="I7" i="506"/>
  <c r="I21" i="506"/>
  <c r="I13" i="506"/>
  <c r="I5" i="506"/>
  <c r="J21" i="794"/>
  <c r="J23" i="794"/>
  <c r="J22" i="794"/>
  <c r="Q15" i="620"/>
  <c r="S15" i="620"/>
  <c r="R15" i="620"/>
  <c r="N37" i="765"/>
  <c r="M36" i="765"/>
  <c r="L35" i="765"/>
  <c r="N33" i="765"/>
  <c r="M32" i="765"/>
  <c r="L31" i="765"/>
  <c r="N29" i="765"/>
  <c r="M28" i="765"/>
  <c r="L27" i="765"/>
  <c r="N25" i="765"/>
  <c r="M24" i="765"/>
  <c r="L23" i="765"/>
  <c r="N21" i="765"/>
  <c r="M20" i="765"/>
  <c r="L19" i="765"/>
  <c r="N17" i="765"/>
  <c r="M16" i="765"/>
  <c r="L15" i="765"/>
  <c r="N13" i="765"/>
  <c r="M12" i="765"/>
  <c r="L11" i="765"/>
  <c r="N9" i="765"/>
  <c r="M8" i="765"/>
  <c r="L7" i="765"/>
  <c r="N5" i="765"/>
  <c r="M4" i="765"/>
  <c r="L3" i="765"/>
  <c r="N38" i="765"/>
  <c r="M37" i="765"/>
  <c r="L36" i="765"/>
  <c r="N34" i="765"/>
  <c r="M33" i="765"/>
  <c r="L32" i="765"/>
  <c r="N30" i="765"/>
  <c r="M29" i="765"/>
  <c r="L28" i="765"/>
  <c r="N26" i="765"/>
  <c r="M25" i="765"/>
  <c r="L24" i="765"/>
  <c r="N22" i="765"/>
  <c r="M21" i="765"/>
  <c r="L20" i="765"/>
  <c r="N18" i="765"/>
  <c r="M17" i="765"/>
  <c r="L16" i="765"/>
  <c r="N14" i="765"/>
  <c r="M13" i="765"/>
  <c r="L12" i="765"/>
  <c r="N10" i="765"/>
  <c r="M9" i="765"/>
  <c r="L8" i="765"/>
  <c r="N6" i="765"/>
  <c r="M5" i="765"/>
  <c r="L4" i="765"/>
  <c r="M38" i="765"/>
  <c r="L37" i="765"/>
  <c r="N35" i="765"/>
  <c r="M34" i="765"/>
  <c r="L33" i="765"/>
  <c r="N31" i="765"/>
  <c r="M30" i="765"/>
  <c r="L29" i="765"/>
  <c r="N27" i="765"/>
  <c r="M26" i="765"/>
  <c r="L25" i="765"/>
  <c r="N23" i="765"/>
  <c r="M22" i="765"/>
  <c r="L21" i="765"/>
  <c r="N19" i="765"/>
  <c r="M18" i="765"/>
  <c r="L17" i="765"/>
  <c r="N15" i="765"/>
  <c r="M14" i="765"/>
  <c r="L13" i="765"/>
  <c r="N11" i="765"/>
  <c r="M10" i="765"/>
  <c r="L9" i="765"/>
  <c r="N7" i="765"/>
  <c r="M6" i="765"/>
  <c r="L5" i="765"/>
  <c r="N3" i="765"/>
  <c r="L38" i="765"/>
  <c r="N32" i="765"/>
  <c r="M27" i="765"/>
  <c r="L22" i="765"/>
  <c r="N16" i="765"/>
  <c r="M11" i="765"/>
  <c r="L6" i="765"/>
  <c r="N36" i="765"/>
  <c r="M31" i="765"/>
  <c r="L26" i="765"/>
  <c r="N20" i="765"/>
  <c r="M15" i="765"/>
  <c r="L10" i="765"/>
  <c r="N4" i="765"/>
  <c r="M35" i="765"/>
  <c r="L30" i="765"/>
  <c r="N24" i="765"/>
  <c r="M19" i="765"/>
  <c r="L14" i="765"/>
  <c r="N8" i="765"/>
  <c r="M3" i="765"/>
  <c r="M23" i="765"/>
  <c r="L18" i="765"/>
  <c r="L34" i="765"/>
  <c r="N12" i="765"/>
  <c r="M7" i="765"/>
  <c r="N28" i="765"/>
  <c r="AH7" i="765"/>
  <c r="AH10" i="765"/>
  <c r="AH9" i="765"/>
  <c r="AH8" i="765"/>
  <c r="R15" i="765"/>
  <c r="Q14" i="765"/>
  <c r="P13" i="765"/>
  <c r="R16" i="765"/>
  <c r="Q15" i="765"/>
  <c r="P14" i="765"/>
  <c r="Q16" i="765"/>
  <c r="P15" i="765"/>
  <c r="R13" i="765"/>
  <c r="Q13" i="765"/>
  <c r="P16" i="765"/>
  <c r="R14" i="765"/>
  <c r="P24" i="765"/>
  <c r="P22" i="765"/>
  <c r="P20" i="765"/>
  <c r="Q25" i="765"/>
  <c r="Q23" i="765"/>
  <c r="Q21" i="765"/>
  <c r="P25" i="765"/>
  <c r="P23" i="765"/>
  <c r="P21" i="765"/>
  <c r="Q20" i="765"/>
  <c r="Q24" i="765"/>
  <c r="Q22" i="765"/>
  <c r="AA40" i="290"/>
  <c r="AA38" i="290"/>
  <c r="AB39" i="290"/>
  <c r="AA39" i="290"/>
  <c r="AB38" i="290"/>
  <c r="AB40" i="290"/>
  <c r="AA44" i="290"/>
  <c r="AA42" i="290"/>
  <c r="AB43" i="290"/>
  <c r="AA43" i="290"/>
  <c r="AB44" i="290"/>
  <c r="AB42" i="290"/>
  <c r="H54" i="479"/>
  <c r="H52" i="479"/>
  <c r="I53" i="479"/>
  <c r="H53" i="479"/>
  <c r="I54" i="479"/>
  <c r="I52" i="479"/>
  <c r="H58" i="479"/>
  <c r="H56" i="479"/>
  <c r="I57" i="479"/>
  <c r="H57" i="479"/>
  <c r="I58" i="479"/>
  <c r="I56" i="479"/>
  <c r="H7" i="670"/>
  <c r="H6" i="670"/>
  <c r="H5" i="670"/>
  <c r="K7" i="670"/>
  <c r="K6" i="670"/>
  <c r="K5" i="670"/>
  <c r="J7" i="670"/>
  <c r="J6" i="670"/>
  <c r="J5" i="670"/>
  <c r="I6" i="670"/>
  <c r="I5" i="670"/>
  <c r="I7" i="670"/>
  <c r="J19" i="499"/>
  <c r="J20" i="499"/>
  <c r="K7" i="504"/>
  <c r="G7" i="504"/>
  <c r="I6" i="504"/>
  <c r="K5" i="504"/>
  <c r="G5" i="504"/>
  <c r="J7" i="504"/>
  <c r="L6" i="504"/>
  <c r="H6" i="504"/>
  <c r="J5" i="504"/>
  <c r="I7" i="504"/>
  <c r="K6" i="504"/>
  <c r="G6" i="504"/>
  <c r="I5" i="504"/>
  <c r="L5" i="504"/>
  <c r="L7" i="504"/>
  <c r="H5" i="504"/>
  <c r="H7" i="504"/>
  <c r="J6" i="504"/>
  <c r="U7" i="514"/>
  <c r="U6" i="514"/>
  <c r="U5" i="514"/>
  <c r="U4" i="514"/>
  <c r="X7" i="514"/>
  <c r="X6" i="514"/>
  <c r="X5" i="514"/>
  <c r="X4" i="514"/>
  <c r="W7" i="514"/>
  <c r="W6" i="514"/>
  <c r="W5" i="514"/>
  <c r="W4" i="514"/>
  <c r="V4" i="514"/>
  <c r="V7" i="514"/>
  <c r="V6" i="514"/>
  <c r="V5" i="514"/>
  <c r="O19" i="514"/>
  <c r="O22" i="514"/>
  <c r="O21" i="514"/>
  <c r="O20" i="514"/>
  <c r="AK27" i="510"/>
  <c r="AG27" i="510"/>
  <c r="AK26" i="510"/>
  <c r="AG26" i="510"/>
  <c r="AK25" i="510"/>
  <c r="AG25" i="510"/>
  <c r="AK24" i="510"/>
  <c r="AG24" i="510"/>
  <c r="AK23" i="510"/>
  <c r="AG23" i="510"/>
  <c r="AJ27" i="510"/>
  <c r="AF27" i="510"/>
  <c r="AJ26" i="510"/>
  <c r="AF26" i="510"/>
  <c r="AJ25" i="510"/>
  <c r="AF25" i="510"/>
  <c r="AJ24" i="510"/>
  <c r="AF24" i="510"/>
  <c r="AJ23" i="510"/>
  <c r="AF23" i="510"/>
  <c r="AI27" i="510"/>
  <c r="AE27" i="510"/>
  <c r="AI26" i="510"/>
  <c r="AE26" i="510"/>
  <c r="AI25" i="510"/>
  <c r="AE25" i="510"/>
  <c r="AI24" i="510"/>
  <c r="AE24" i="510"/>
  <c r="AI23" i="510"/>
  <c r="AE23" i="510"/>
  <c r="AH27" i="510"/>
  <c r="AH25" i="510"/>
  <c r="AH23" i="510"/>
  <c r="AL26" i="510"/>
  <c r="AL24" i="510"/>
  <c r="AH26" i="510"/>
  <c r="AH24" i="510"/>
  <c r="AL25" i="510"/>
  <c r="AL23" i="510"/>
  <c r="AL27" i="510"/>
  <c r="AA220" i="795"/>
  <c r="AA218" i="795"/>
  <c r="AA216" i="795"/>
  <c r="AA214" i="795"/>
  <c r="AA221" i="795"/>
  <c r="AA219" i="795"/>
  <c r="AA217" i="795"/>
  <c r="AA215" i="795"/>
  <c r="AA213" i="795"/>
  <c r="Z219" i="795"/>
  <c r="Z215" i="795"/>
  <c r="Z218" i="795"/>
  <c r="Z214" i="795"/>
  <c r="Z221" i="795"/>
  <c r="Z217" i="795"/>
  <c r="Z213" i="795"/>
  <c r="Z220" i="795"/>
  <c r="Z216" i="795"/>
  <c r="AA241" i="795"/>
  <c r="AA242" i="795"/>
  <c r="AA240" i="795"/>
  <c r="Z240" i="795"/>
  <c r="Z242" i="795"/>
  <c r="Z241" i="795"/>
  <c r="M20" i="793"/>
  <c r="L20" i="793"/>
  <c r="K20" i="793"/>
  <c r="N16" i="620"/>
  <c r="M16" i="620"/>
  <c r="L16" i="620"/>
  <c r="P16" i="619"/>
  <c r="O16" i="619"/>
  <c r="N16" i="619"/>
  <c r="M16" i="619"/>
  <c r="Q9" i="765"/>
  <c r="Q8" i="765"/>
  <c r="Q7" i="765"/>
  <c r="W10" i="765"/>
  <c r="W9" i="765"/>
  <c r="W8" i="765"/>
  <c r="W7" i="765"/>
  <c r="I44" i="756"/>
  <c r="H44" i="756"/>
  <c r="I45" i="756"/>
  <c r="I43" i="756"/>
  <c r="H45" i="756"/>
  <c r="H43" i="756"/>
  <c r="I48" i="756"/>
  <c r="H48" i="756"/>
  <c r="I49" i="756"/>
  <c r="I47" i="756"/>
  <c r="H49" i="756"/>
  <c r="H47" i="756"/>
  <c r="AG10" i="290"/>
  <c r="AF10" i="290"/>
  <c r="AG11" i="290"/>
  <c r="AG9" i="290"/>
  <c r="AF9" i="290"/>
  <c r="AF11" i="290"/>
  <c r="W10" i="671"/>
  <c r="S10" i="671"/>
  <c r="U9" i="671"/>
  <c r="W8" i="671"/>
  <c r="S8" i="671"/>
  <c r="U7" i="671"/>
  <c r="W6" i="671"/>
  <c r="S6" i="671"/>
  <c r="U5" i="671"/>
  <c r="V10" i="671"/>
  <c r="R10" i="671"/>
  <c r="T9" i="671"/>
  <c r="V8" i="671"/>
  <c r="R8" i="671"/>
  <c r="T7" i="671"/>
  <c r="V6" i="671"/>
  <c r="R6" i="671"/>
  <c r="T5" i="671"/>
  <c r="U10" i="671"/>
  <c r="W9" i="671"/>
  <c r="S9" i="671"/>
  <c r="U8" i="671"/>
  <c r="W7" i="671"/>
  <c r="S7" i="671"/>
  <c r="U6" i="671"/>
  <c r="W5" i="671"/>
  <c r="S5" i="671"/>
  <c r="R9" i="671"/>
  <c r="T6" i="671"/>
  <c r="T8" i="671"/>
  <c r="V5" i="671"/>
  <c r="T10" i="671"/>
  <c r="V7" i="671"/>
  <c r="R5" i="671"/>
  <c r="V9" i="671"/>
  <c r="R7" i="671"/>
  <c r="S20" i="499"/>
  <c r="S19" i="499"/>
  <c r="X13" i="514"/>
  <c r="X12" i="514"/>
  <c r="X11" i="514"/>
  <c r="X10" i="514"/>
  <c r="W13" i="514"/>
  <c r="W12" i="514"/>
  <c r="W11" i="514"/>
  <c r="W10" i="514"/>
  <c r="V13" i="514"/>
  <c r="V12" i="514"/>
  <c r="V11" i="514"/>
  <c r="V10" i="514"/>
  <c r="U10" i="514"/>
  <c r="U13" i="514"/>
  <c r="U12" i="514"/>
  <c r="U11" i="514"/>
  <c r="O23" i="506"/>
  <c r="O22" i="506"/>
  <c r="O21" i="506"/>
  <c r="O20" i="506"/>
  <c r="O19" i="506"/>
  <c r="O18" i="506"/>
  <c r="O17" i="506"/>
  <c r="O16" i="506"/>
  <c r="O15" i="506"/>
  <c r="O14" i="506"/>
  <c r="O13" i="506"/>
  <c r="O12" i="506"/>
  <c r="O11" i="506"/>
  <c r="O10" i="506"/>
  <c r="O9" i="506"/>
  <c r="O8" i="506"/>
  <c r="Q23" i="506"/>
  <c r="Q22" i="506"/>
  <c r="Q21" i="506"/>
  <c r="Q20" i="506"/>
  <c r="Q19" i="506"/>
  <c r="Q18" i="506"/>
  <c r="Q17" i="506"/>
  <c r="Q16" i="506"/>
  <c r="Q15" i="506"/>
  <c r="Q14" i="506"/>
  <c r="Q13" i="506"/>
  <c r="Q12" i="506"/>
  <c r="Q11" i="506"/>
  <c r="Q10" i="506"/>
  <c r="Q9" i="506"/>
  <c r="N23" i="506"/>
  <c r="N21" i="506"/>
  <c r="N19" i="506"/>
  <c r="N17" i="506"/>
  <c r="N15" i="506"/>
  <c r="N13" i="506"/>
  <c r="N11" i="506"/>
  <c r="N9" i="506"/>
  <c r="Q7" i="506"/>
  <c r="Q6" i="506"/>
  <c r="Q5" i="506"/>
  <c r="Q4" i="506"/>
  <c r="Q3" i="506"/>
  <c r="P22" i="506"/>
  <c r="P20" i="506"/>
  <c r="P18" i="506"/>
  <c r="P16" i="506"/>
  <c r="P14" i="506"/>
  <c r="P12" i="506"/>
  <c r="P10" i="506"/>
  <c r="Q8" i="506"/>
  <c r="P7" i="506"/>
  <c r="P6" i="506"/>
  <c r="P5" i="506"/>
  <c r="P4" i="506"/>
  <c r="P3" i="506"/>
  <c r="N22" i="506"/>
  <c r="N20" i="506"/>
  <c r="N18" i="506"/>
  <c r="N16" i="506"/>
  <c r="N14" i="506"/>
  <c r="N12" i="506"/>
  <c r="N10" i="506"/>
  <c r="P8" i="506"/>
  <c r="O7" i="506"/>
  <c r="O6" i="506"/>
  <c r="O5" i="506"/>
  <c r="O4" i="506"/>
  <c r="O3" i="506"/>
  <c r="P23" i="506"/>
  <c r="P15" i="506"/>
  <c r="N8" i="506"/>
  <c r="N4" i="506"/>
  <c r="P21" i="506"/>
  <c r="P13" i="506"/>
  <c r="N7" i="506"/>
  <c r="N3" i="506"/>
  <c r="P19" i="506"/>
  <c r="P11" i="506"/>
  <c r="N6" i="506"/>
  <c r="P17" i="506"/>
  <c r="P9" i="506"/>
  <c r="N5" i="506"/>
  <c r="J23" i="510"/>
  <c r="J22" i="510"/>
  <c r="J21" i="510"/>
  <c r="J20" i="510"/>
  <c r="J19" i="510"/>
  <c r="J18" i="510"/>
  <c r="J17" i="510"/>
  <c r="J16" i="510"/>
  <c r="J15" i="510"/>
  <c r="J14" i="510"/>
  <c r="J13" i="510"/>
  <c r="J12" i="510"/>
  <c r="J11" i="510"/>
  <c r="J10" i="510"/>
  <c r="J9" i="510"/>
  <c r="J8" i="510"/>
  <c r="J7" i="510"/>
  <c r="J6" i="510"/>
  <c r="J5" i="510"/>
  <c r="J4" i="510"/>
  <c r="I23" i="510"/>
  <c r="I22" i="510"/>
  <c r="I21" i="510"/>
  <c r="I20" i="510"/>
  <c r="I19" i="510"/>
  <c r="I18" i="510"/>
  <c r="I17" i="510"/>
  <c r="I16" i="510"/>
  <c r="I15" i="510"/>
  <c r="I14" i="510"/>
  <c r="I13" i="510"/>
  <c r="I12" i="510"/>
  <c r="I11" i="510"/>
  <c r="I10" i="510"/>
  <c r="I9" i="510"/>
  <c r="I8" i="510"/>
  <c r="I7" i="510"/>
  <c r="I6" i="510"/>
  <c r="I5" i="510"/>
  <c r="I4" i="510"/>
  <c r="H23" i="510"/>
  <c r="H22" i="510"/>
  <c r="H21" i="510"/>
  <c r="H20" i="510"/>
  <c r="H19" i="510"/>
  <c r="H18" i="510"/>
  <c r="H17" i="510"/>
  <c r="H16" i="510"/>
  <c r="H15" i="510"/>
  <c r="H14" i="510"/>
  <c r="H13" i="510"/>
  <c r="H12" i="510"/>
  <c r="H11" i="510"/>
  <c r="H10" i="510"/>
  <c r="H9" i="510"/>
  <c r="H8" i="510"/>
  <c r="H7" i="510"/>
  <c r="H6" i="510"/>
  <c r="H5" i="510"/>
  <c r="H4" i="510"/>
  <c r="K23" i="510"/>
  <c r="K19" i="510"/>
  <c r="K15" i="510"/>
  <c r="K11" i="510"/>
  <c r="K7" i="510"/>
  <c r="K22" i="510"/>
  <c r="K18" i="510"/>
  <c r="K14" i="510"/>
  <c r="K10" i="510"/>
  <c r="K6" i="510"/>
  <c r="K21" i="510"/>
  <c r="K17" i="510"/>
  <c r="K13" i="510"/>
  <c r="K9" i="510"/>
  <c r="K5" i="510"/>
  <c r="K8" i="510"/>
  <c r="K20" i="510"/>
  <c r="K4" i="510"/>
  <c r="K16" i="510"/>
  <c r="K12" i="510"/>
  <c r="M23" i="523"/>
  <c r="M22" i="523"/>
  <c r="M21" i="523"/>
  <c r="M20" i="523"/>
  <c r="M19" i="523"/>
  <c r="M18" i="523"/>
  <c r="M17" i="523"/>
  <c r="M16" i="523"/>
  <c r="M15" i="523"/>
  <c r="M14" i="523"/>
  <c r="M13" i="523"/>
  <c r="M12" i="523"/>
  <c r="M11" i="523"/>
  <c r="M10" i="523"/>
  <c r="M9" i="523"/>
  <c r="M8" i="523"/>
  <c r="M7" i="523"/>
  <c r="M6" i="523"/>
  <c r="M5" i="523"/>
  <c r="M4" i="523"/>
  <c r="M3" i="523"/>
  <c r="L23" i="523"/>
  <c r="L22" i="523"/>
  <c r="L21" i="523"/>
  <c r="L20" i="523"/>
  <c r="L19" i="523"/>
  <c r="L18" i="523"/>
  <c r="L17" i="523"/>
  <c r="L16" i="523"/>
  <c r="L15" i="523"/>
  <c r="L14" i="523"/>
  <c r="L13" i="523"/>
  <c r="L12" i="523"/>
  <c r="L11" i="523"/>
  <c r="L10" i="523"/>
  <c r="L9" i="523"/>
  <c r="L8" i="523"/>
  <c r="L7" i="523"/>
  <c r="L6" i="523"/>
  <c r="L5" i="523"/>
  <c r="L4" i="523"/>
  <c r="L3" i="523"/>
  <c r="K23" i="523"/>
  <c r="K22" i="523"/>
  <c r="K21" i="523"/>
  <c r="K20" i="523"/>
  <c r="K19" i="523"/>
  <c r="K18" i="523"/>
  <c r="K17" i="523"/>
  <c r="K16" i="523"/>
  <c r="K15" i="523"/>
  <c r="K14" i="523"/>
  <c r="K13" i="523"/>
  <c r="K12" i="523"/>
  <c r="K11" i="523"/>
  <c r="K10" i="523"/>
  <c r="K9" i="523"/>
  <c r="K8" i="523"/>
  <c r="K7" i="523"/>
  <c r="K6" i="523"/>
  <c r="K5" i="523"/>
  <c r="K4" i="523"/>
  <c r="K3" i="523"/>
  <c r="N21" i="523"/>
  <c r="N17" i="523"/>
  <c r="N13" i="523"/>
  <c r="N9" i="523"/>
  <c r="N5" i="523"/>
  <c r="N20" i="523"/>
  <c r="N16" i="523"/>
  <c r="N12" i="523"/>
  <c r="N8" i="523"/>
  <c r="N4" i="523"/>
  <c r="N23" i="523"/>
  <c r="N19" i="523"/>
  <c r="N15" i="523"/>
  <c r="N11" i="523"/>
  <c r="N7" i="523"/>
  <c r="N3" i="523"/>
  <c r="N18" i="523"/>
  <c r="N14" i="523"/>
  <c r="N10" i="523"/>
  <c r="N22" i="523"/>
  <c r="N6" i="523"/>
  <c r="O8" i="509"/>
  <c r="O7" i="509"/>
  <c r="O6" i="509"/>
  <c r="O5" i="509"/>
  <c r="O4" i="509"/>
  <c r="O3" i="509"/>
  <c r="N8" i="509"/>
  <c r="N7" i="509"/>
  <c r="N6" i="509"/>
  <c r="N5" i="509"/>
  <c r="N4" i="509"/>
  <c r="N3" i="509"/>
  <c r="Q8" i="509"/>
  <c r="Q7" i="509"/>
  <c r="Q6" i="509"/>
  <c r="Q5" i="509"/>
  <c r="Q4" i="509"/>
  <c r="Q3" i="509"/>
  <c r="P5" i="509"/>
  <c r="P8" i="509"/>
  <c r="P4" i="509"/>
  <c r="P7" i="509"/>
  <c r="P3" i="509"/>
  <c r="P6" i="509"/>
  <c r="Q35" i="509"/>
  <c r="M35" i="509"/>
  <c r="N34" i="509"/>
  <c r="O33" i="509"/>
  <c r="P32" i="509"/>
  <c r="Q31" i="509"/>
  <c r="M31" i="509"/>
  <c r="N30" i="509"/>
  <c r="P35" i="509"/>
  <c r="Q34" i="509"/>
  <c r="M34" i="509"/>
  <c r="N33" i="509"/>
  <c r="O32" i="509"/>
  <c r="P31" i="509"/>
  <c r="Q30" i="509"/>
  <c r="M30" i="509"/>
  <c r="O35" i="509"/>
  <c r="P34" i="509"/>
  <c r="Q33" i="509"/>
  <c r="M33" i="509"/>
  <c r="N32" i="509"/>
  <c r="O31" i="509"/>
  <c r="P30" i="509"/>
  <c r="Q32" i="509"/>
  <c r="N35" i="509"/>
  <c r="M32" i="509"/>
  <c r="O34" i="509"/>
  <c r="N31" i="509"/>
  <c r="P33" i="509"/>
  <c r="O30" i="509"/>
  <c r="O23" i="510"/>
  <c r="O22" i="510"/>
  <c r="O21" i="510"/>
  <c r="O20" i="510"/>
  <c r="O19" i="510"/>
  <c r="O18" i="510"/>
  <c r="O17" i="510"/>
  <c r="O16" i="510"/>
  <c r="O15" i="510"/>
  <c r="O14" i="510"/>
  <c r="O13" i="510"/>
  <c r="O12" i="510"/>
  <c r="O11" i="510"/>
  <c r="O10" i="510"/>
  <c r="O9" i="510"/>
  <c r="O8" i="510"/>
  <c r="O7" i="510"/>
  <c r="O6" i="510"/>
  <c r="O5" i="510"/>
  <c r="O4" i="510"/>
  <c r="N23" i="510"/>
  <c r="N22" i="510"/>
  <c r="N21" i="510"/>
  <c r="N20" i="510"/>
  <c r="N19" i="510"/>
  <c r="N18" i="510"/>
  <c r="N17" i="510"/>
  <c r="N16" i="510"/>
  <c r="N15" i="510"/>
  <c r="N14" i="510"/>
  <c r="N13" i="510"/>
  <c r="N12" i="510"/>
  <c r="N11" i="510"/>
  <c r="N10" i="510"/>
  <c r="N9" i="510"/>
  <c r="N8" i="510"/>
  <c r="N7" i="510"/>
  <c r="N6" i="510"/>
  <c r="N5" i="510"/>
  <c r="N4" i="510"/>
  <c r="Q23" i="510"/>
  <c r="Q22" i="510"/>
  <c r="Q21" i="510"/>
  <c r="Q20" i="510"/>
  <c r="Q19" i="510"/>
  <c r="Q18" i="510"/>
  <c r="Q17" i="510"/>
  <c r="Q16" i="510"/>
  <c r="Q15" i="510"/>
  <c r="Q14" i="510"/>
  <c r="Q13" i="510"/>
  <c r="Q12" i="510"/>
  <c r="Q11" i="510"/>
  <c r="Q10" i="510"/>
  <c r="Q9" i="510"/>
  <c r="Q8" i="510"/>
  <c r="Q7" i="510"/>
  <c r="Q6" i="510"/>
  <c r="Q5" i="510"/>
  <c r="Q4" i="510"/>
  <c r="P23" i="510"/>
  <c r="P19" i="510"/>
  <c r="P15" i="510"/>
  <c r="P11" i="510"/>
  <c r="P7" i="510"/>
  <c r="P22" i="510"/>
  <c r="P18" i="510"/>
  <c r="P14" i="510"/>
  <c r="P10" i="510"/>
  <c r="P6" i="510"/>
  <c r="P21" i="510"/>
  <c r="P17" i="510"/>
  <c r="P13" i="510"/>
  <c r="P9" i="510"/>
  <c r="P5" i="510"/>
  <c r="P20" i="510"/>
  <c r="P4" i="510"/>
  <c r="P16" i="510"/>
  <c r="P12" i="510"/>
  <c r="P8" i="510"/>
  <c r="I29" i="510"/>
  <c r="I28" i="510"/>
  <c r="I27" i="510"/>
  <c r="I26" i="510"/>
  <c r="I25" i="510"/>
  <c r="H29" i="510"/>
  <c r="H28" i="510"/>
  <c r="H27" i="510"/>
  <c r="H26" i="510"/>
  <c r="H25" i="510"/>
  <c r="K29" i="510"/>
  <c r="K28" i="510"/>
  <c r="K27" i="510"/>
  <c r="K26" i="510"/>
  <c r="K25" i="510"/>
  <c r="J27" i="510"/>
  <c r="J26" i="510"/>
  <c r="J29" i="510"/>
  <c r="J25" i="510"/>
  <c r="J28" i="510"/>
  <c r="P29" i="508"/>
  <c r="P28" i="508"/>
  <c r="P27" i="508"/>
  <c r="P26" i="508"/>
  <c r="P25" i="508"/>
  <c r="N29" i="508"/>
  <c r="N28" i="508"/>
  <c r="N27" i="508"/>
  <c r="N26" i="508"/>
  <c r="N25" i="508"/>
  <c r="Q29" i="508"/>
  <c r="Q27" i="508"/>
  <c r="Q25" i="508"/>
  <c r="O29" i="508"/>
  <c r="O27" i="508"/>
  <c r="O25" i="508"/>
  <c r="Q28" i="508"/>
  <c r="Q26" i="508"/>
  <c r="O28" i="508"/>
  <c r="O26" i="508"/>
  <c r="AG23" i="523"/>
  <c r="AG22" i="523"/>
  <c r="AG21" i="523"/>
  <c r="AG20" i="523"/>
  <c r="AG19" i="523"/>
  <c r="AG18" i="523"/>
  <c r="AG17" i="523"/>
  <c r="AG16" i="523"/>
  <c r="AG15" i="523"/>
  <c r="AG14" i="523"/>
  <c r="AG13" i="523"/>
  <c r="AG12" i="523"/>
  <c r="AG11" i="523"/>
  <c r="AG10" i="523"/>
  <c r="AG9" i="523"/>
  <c r="AG8" i="523"/>
  <c r="AG7" i="523"/>
  <c r="AG6" i="523"/>
  <c r="AG5" i="523"/>
  <c r="AG4" i="523"/>
  <c r="AG3" i="523"/>
  <c r="AF23" i="523"/>
  <c r="AF22" i="523"/>
  <c r="AF21" i="523"/>
  <c r="AF20" i="523"/>
  <c r="AF19" i="523"/>
  <c r="AF18" i="523"/>
  <c r="AF17" i="523"/>
  <c r="AF16" i="523"/>
  <c r="AF15" i="523"/>
  <c r="AF14" i="523"/>
  <c r="AF13" i="523"/>
  <c r="AF12" i="523"/>
  <c r="AF11" i="523"/>
  <c r="AF10" i="523"/>
  <c r="AF9" i="523"/>
  <c r="AF8" i="523"/>
  <c r="AF7" i="523"/>
  <c r="AF6" i="523"/>
  <c r="AF5" i="523"/>
  <c r="AF4" i="523"/>
  <c r="AF3" i="523"/>
  <c r="AE23" i="523"/>
  <c r="AE22" i="523"/>
  <c r="AE21" i="523"/>
  <c r="AE20" i="523"/>
  <c r="AE19" i="523"/>
  <c r="AE18" i="523"/>
  <c r="AE17" i="523"/>
  <c r="AE16" i="523"/>
  <c r="AE15" i="523"/>
  <c r="AE14" i="523"/>
  <c r="AE13" i="523"/>
  <c r="AE12" i="523"/>
  <c r="AE11" i="523"/>
  <c r="AE10" i="523"/>
  <c r="AE9" i="523"/>
  <c r="AE8" i="523"/>
  <c r="AE7" i="523"/>
  <c r="AE6" i="523"/>
  <c r="AE5" i="523"/>
  <c r="AE4" i="523"/>
  <c r="AE3" i="523"/>
  <c r="AH20" i="523"/>
  <c r="AH16" i="523"/>
  <c r="AH12" i="523"/>
  <c r="AH8" i="523"/>
  <c r="AH4" i="523"/>
  <c r="AH23" i="523"/>
  <c r="AH19" i="523"/>
  <c r="AH15" i="523"/>
  <c r="AH11" i="523"/>
  <c r="AH7" i="523"/>
  <c r="AH3" i="523"/>
  <c r="AH22" i="523"/>
  <c r="AH18" i="523"/>
  <c r="AH14" i="523"/>
  <c r="AH10" i="523"/>
  <c r="AH6" i="523"/>
  <c r="AH13" i="523"/>
  <c r="AH9" i="523"/>
  <c r="AH21" i="523"/>
  <c r="AH5" i="523"/>
  <c r="AH17" i="523"/>
  <c r="C23" i="531"/>
  <c r="C22" i="531"/>
  <c r="C21" i="531"/>
  <c r="C20" i="531"/>
  <c r="C19" i="531"/>
  <c r="C18" i="531"/>
  <c r="C17" i="531"/>
  <c r="C16" i="531"/>
  <c r="C15" i="531"/>
  <c r="C14" i="531"/>
  <c r="C13" i="531"/>
  <c r="C12" i="531"/>
  <c r="C11" i="531"/>
  <c r="C10" i="531"/>
  <c r="C9" i="531"/>
  <c r="C8" i="531"/>
  <c r="C7" i="531"/>
  <c r="C6" i="531"/>
  <c r="C5" i="531"/>
  <c r="C4" i="531"/>
  <c r="C3" i="531"/>
  <c r="B23" i="531"/>
  <c r="B22" i="531"/>
  <c r="B21" i="531"/>
  <c r="B20" i="531"/>
  <c r="B19" i="531"/>
  <c r="B18" i="531"/>
  <c r="B17" i="531"/>
  <c r="B16" i="531"/>
  <c r="B15" i="531"/>
  <c r="B14" i="531"/>
  <c r="B13" i="531"/>
  <c r="B12" i="531"/>
  <c r="B11" i="531"/>
  <c r="B10" i="531"/>
  <c r="B9" i="531"/>
  <c r="B8" i="531"/>
  <c r="B7" i="531"/>
  <c r="B6" i="531"/>
  <c r="B5" i="531"/>
  <c r="B4" i="531"/>
  <c r="B3" i="531"/>
  <c r="A23" i="531"/>
  <c r="A22" i="531"/>
  <c r="A21" i="531"/>
  <c r="A20" i="531"/>
  <c r="A19" i="531"/>
  <c r="A18" i="531"/>
  <c r="A17" i="531"/>
  <c r="A16" i="531"/>
  <c r="A15" i="531"/>
  <c r="A14" i="531"/>
  <c r="A13" i="531"/>
  <c r="A12" i="531"/>
  <c r="A11" i="531"/>
  <c r="A10" i="531"/>
  <c r="A9" i="531"/>
  <c r="A8" i="531"/>
  <c r="A7" i="531"/>
  <c r="A6" i="531"/>
  <c r="A5" i="531"/>
  <c r="A4" i="531"/>
  <c r="A3" i="531"/>
  <c r="D21" i="531"/>
  <c r="D17" i="531"/>
  <c r="D13" i="531"/>
  <c r="D9" i="531"/>
  <c r="D5" i="531"/>
  <c r="D20" i="531"/>
  <c r="D16" i="531"/>
  <c r="D12" i="531"/>
  <c r="D8" i="531"/>
  <c r="D4" i="531"/>
  <c r="D23" i="531"/>
  <c r="D19" i="531"/>
  <c r="D15" i="531"/>
  <c r="D11" i="531"/>
  <c r="D7" i="531"/>
  <c r="D3" i="531"/>
  <c r="D10" i="531"/>
  <c r="D22" i="531"/>
  <c r="D6" i="531"/>
  <c r="D18" i="531"/>
  <c r="D14" i="531"/>
  <c r="Z23" i="531"/>
  <c r="Z22" i="531"/>
  <c r="Z21" i="531"/>
  <c r="Z20" i="531"/>
  <c r="Z19" i="531"/>
  <c r="Z18" i="531"/>
  <c r="Z17" i="531"/>
  <c r="Z16" i="531"/>
  <c r="Z15" i="531"/>
  <c r="Z14" i="531"/>
  <c r="Z13" i="531"/>
  <c r="Z12" i="531"/>
  <c r="Z11" i="531"/>
  <c r="Z10" i="531"/>
  <c r="Z9" i="531"/>
  <c r="Z8" i="531"/>
  <c r="Z7" i="531"/>
  <c r="Z6" i="531"/>
  <c r="Z5" i="531"/>
  <c r="Z4" i="531"/>
  <c r="Z3" i="531"/>
  <c r="AB23" i="531"/>
  <c r="AB22" i="531"/>
  <c r="AB21" i="531"/>
  <c r="AB20" i="531"/>
  <c r="AB19" i="531"/>
  <c r="AB18" i="531"/>
  <c r="AB17" i="531"/>
  <c r="AB16" i="531"/>
  <c r="AB15" i="531"/>
  <c r="AB14" i="531"/>
  <c r="AB13" i="531"/>
  <c r="AB12" i="531"/>
  <c r="AB11" i="531"/>
  <c r="AB10" i="531"/>
  <c r="AB9" i="531"/>
  <c r="AB8" i="531"/>
  <c r="AB7" i="531"/>
  <c r="AB6" i="531"/>
  <c r="AB5" i="531"/>
  <c r="AB4" i="531"/>
  <c r="AB3" i="531"/>
  <c r="AA22" i="531"/>
  <c r="AA20" i="531"/>
  <c r="AA18" i="531"/>
  <c r="AA16" i="531"/>
  <c r="AA14" i="531"/>
  <c r="AA12" i="531"/>
  <c r="AA10" i="531"/>
  <c r="AA8" i="531"/>
  <c r="AA6" i="531"/>
  <c r="AA4" i="531"/>
  <c r="AC23" i="531"/>
  <c r="AC21" i="531"/>
  <c r="AC19" i="531"/>
  <c r="AC17" i="531"/>
  <c r="AC15" i="531"/>
  <c r="AC13" i="531"/>
  <c r="AC11" i="531"/>
  <c r="AC9" i="531"/>
  <c r="AC7" i="531"/>
  <c r="AC5" i="531"/>
  <c r="AC3" i="531"/>
  <c r="AA23" i="531"/>
  <c r="AA21" i="531"/>
  <c r="AA19" i="531"/>
  <c r="AA17" i="531"/>
  <c r="AA15" i="531"/>
  <c r="AA13" i="531"/>
  <c r="AA11" i="531"/>
  <c r="AA9" i="531"/>
  <c r="AA7" i="531"/>
  <c r="AA5" i="531"/>
  <c r="AA3" i="531"/>
  <c r="AC16" i="531"/>
  <c r="AC8" i="531"/>
  <c r="AC22" i="531"/>
  <c r="AC14" i="531"/>
  <c r="AC6" i="531"/>
  <c r="AC20" i="531"/>
  <c r="AC12" i="531"/>
  <c r="AC4" i="531"/>
  <c r="AC18" i="531"/>
  <c r="AC10" i="531"/>
  <c r="S23" i="509"/>
  <c r="S22" i="509"/>
  <c r="S21" i="509"/>
  <c r="S20" i="509"/>
  <c r="S19" i="509"/>
  <c r="S18" i="509"/>
  <c r="S17" i="509"/>
  <c r="S16" i="509"/>
  <c r="S15" i="509"/>
  <c r="S14" i="509"/>
  <c r="S13" i="509"/>
  <c r="S12" i="509"/>
  <c r="S11" i="509"/>
  <c r="S10" i="509"/>
  <c r="S9" i="509"/>
  <c r="S8" i="509"/>
  <c r="S7" i="509"/>
  <c r="S6" i="509"/>
  <c r="S5" i="509"/>
  <c r="S4" i="509"/>
  <c r="S3" i="509"/>
  <c r="V23" i="509"/>
  <c r="V22" i="509"/>
  <c r="V21" i="509"/>
  <c r="V20" i="509"/>
  <c r="V19" i="509"/>
  <c r="V18" i="509"/>
  <c r="V17" i="509"/>
  <c r="V16" i="509"/>
  <c r="V15" i="509"/>
  <c r="V14" i="509"/>
  <c r="V13" i="509"/>
  <c r="V12" i="509"/>
  <c r="V11" i="509"/>
  <c r="V10" i="509"/>
  <c r="V9" i="509"/>
  <c r="V8" i="509"/>
  <c r="V7" i="509"/>
  <c r="V6" i="509"/>
  <c r="V5" i="509"/>
  <c r="V4" i="509"/>
  <c r="V3" i="509"/>
  <c r="U23" i="509"/>
  <c r="U22" i="509"/>
  <c r="U21" i="509"/>
  <c r="U20" i="509"/>
  <c r="U19" i="509"/>
  <c r="U18" i="509"/>
  <c r="U17" i="509"/>
  <c r="U16" i="509"/>
  <c r="U15" i="509"/>
  <c r="U14" i="509"/>
  <c r="U13" i="509"/>
  <c r="U12" i="509"/>
  <c r="U11" i="509"/>
  <c r="U10" i="509"/>
  <c r="U9" i="509"/>
  <c r="U8" i="509"/>
  <c r="U7" i="509"/>
  <c r="U6" i="509"/>
  <c r="U5" i="509"/>
  <c r="U4" i="509"/>
  <c r="U3" i="509"/>
  <c r="T23" i="509"/>
  <c r="T19" i="509"/>
  <c r="T15" i="509"/>
  <c r="T11" i="509"/>
  <c r="T7" i="509"/>
  <c r="T3" i="509"/>
  <c r="T22" i="509"/>
  <c r="T18" i="509"/>
  <c r="T14" i="509"/>
  <c r="T10" i="509"/>
  <c r="T6" i="509"/>
  <c r="T21" i="509"/>
  <c r="T17" i="509"/>
  <c r="T13" i="509"/>
  <c r="T9" i="509"/>
  <c r="T5" i="509"/>
  <c r="T20" i="509"/>
  <c r="T4" i="509"/>
  <c r="T16" i="509"/>
  <c r="T12" i="509"/>
  <c r="T8" i="509"/>
  <c r="P26" i="509"/>
  <c r="Q25" i="509"/>
  <c r="M25" i="509"/>
  <c r="N24" i="509"/>
  <c r="O23" i="509"/>
  <c r="P22" i="509"/>
  <c r="Q21" i="509"/>
  <c r="M21" i="509"/>
  <c r="O26" i="509"/>
  <c r="P25" i="509"/>
  <c r="Q24" i="509"/>
  <c r="M24" i="509"/>
  <c r="N23" i="509"/>
  <c r="O22" i="509"/>
  <c r="P21" i="509"/>
  <c r="N26" i="509"/>
  <c r="O25" i="509"/>
  <c r="P24" i="509"/>
  <c r="Q23" i="509"/>
  <c r="M23" i="509"/>
  <c r="N22" i="509"/>
  <c r="O21" i="509"/>
  <c r="Q26" i="509"/>
  <c r="P23" i="509"/>
  <c r="M26" i="509"/>
  <c r="Q22" i="509"/>
  <c r="N25" i="509"/>
  <c r="M22" i="509"/>
  <c r="O24" i="509"/>
  <c r="N21" i="509"/>
  <c r="T23" i="510"/>
  <c r="T22" i="510"/>
  <c r="T21" i="510"/>
  <c r="T20" i="510"/>
  <c r="T19" i="510"/>
  <c r="T18" i="510"/>
  <c r="T17" i="510"/>
  <c r="T16" i="510"/>
  <c r="T15" i="510"/>
  <c r="T14" i="510"/>
  <c r="T13" i="510"/>
  <c r="T12" i="510"/>
  <c r="T11" i="510"/>
  <c r="T10" i="510"/>
  <c r="T9" i="510"/>
  <c r="T8" i="510"/>
  <c r="T7" i="510"/>
  <c r="T6" i="510"/>
  <c r="T5" i="510"/>
  <c r="T4" i="510"/>
  <c r="W23" i="510"/>
  <c r="W22" i="510"/>
  <c r="W21" i="510"/>
  <c r="W20" i="510"/>
  <c r="W19" i="510"/>
  <c r="W18" i="510"/>
  <c r="W17" i="510"/>
  <c r="W16" i="510"/>
  <c r="W15" i="510"/>
  <c r="W14" i="510"/>
  <c r="W13" i="510"/>
  <c r="W12" i="510"/>
  <c r="W11" i="510"/>
  <c r="W10" i="510"/>
  <c r="W9" i="510"/>
  <c r="W8" i="510"/>
  <c r="W7" i="510"/>
  <c r="W6" i="510"/>
  <c r="W5" i="510"/>
  <c r="W4" i="510"/>
  <c r="V23" i="510"/>
  <c r="V22" i="510"/>
  <c r="V21" i="510"/>
  <c r="V20" i="510"/>
  <c r="V19" i="510"/>
  <c r="V18" i="510"/>
  <c r="V17" i="510"/>
  <c r="V16" i="510"/>
  <c r="V15" i="510"/>
  <c r="V14" i="510"/>
  <c r="V13" i="510"/>
  <c r="V12" i="510"/>
  <c r="V11" i="510"/>
  <c r="V10" i="510"/>
  <c r="V9" i="510"/>
  <c r="V8" i="510"/>
  <c r="V7" i="510"/>
  <c r="V6" i="510"/>
  <c r="V5" i="510"/>
  <c r="V4" i="510"/>
  <c r="U23" i="510"/>
  <c r="U19" i="510"/>
  <c r="U15" i="510"/>
  <c r="U11" i="510"/>
  <c r="U7" i="510"/>
  <c r="U22" i="510"/>
  <c r="U18" i="510"/>
  <c r="U14" i="510"/>
  <c r="U10" i="510"/>
  <c r="U6" i="510"/>
  <c r="U21" i="510"/>
  <c r="U17" i="510"/>
  <c r="U13" i="510"/>
  <c r="U9" i="510"/>
  <c r="U5" i="510"/>
  <c r="U16" i="510"/>
  <c r="U12" i="510"/>
  <c r="U8" i="510"/>
  <c r="U20" i="510"/>
  <c r="U4" i="510"/>
  <c r="N29" i="510"/>
  <c r="N28" i="510"/>
  <c r="N27" i="510"/>
  <c r="N26" i="510"/>
  <c r="N25" i="510"/>
  <c r="Q29" i="510"/>
  <c r="Q28" i="510"/>
  <c r="Q27" i="510"/>
  <c r="Q26" i="510"/>
  <c r="Q25" i="510"/>
  <c r="P29" i="510"/>
  <c r="P28" i="510"/>
  <c r="P27" i="510"/>
  <c r="P26" i="510"/>
  <c r="P25" i="510"/>
  <c r="O26" i="510"/>
  <c r="O29" i="510"/>
  <c r="O25" i="510"/>
  <c r="O28" i="510"/>
  <c r="O27" i="510"/>
  <c r="AF20" i="508"/>
  <c r="AF19" i="508"/>
  <c r="AF18" i="508"/>
  <c r="AF17" i="508"/>
  <c r="AF16" i="508"/>
  <c r="AF15" i="508"/>
  <c r="AH20" i="508"/>
  <c r="AH19" i="508"/>
  <c r="AH18" i="508"/>
  <c r="AH17" i="508"/>
  <c r="AH16" i="508"/>
  <c r="AH15" i="508"/>
  <c r="AG19" i="508"/>
  <c r="AG17" i="508"/>
  <c r="AG15" i="508"/>
  <c r="AI20" i="508"/>
  <c r="AI18" i="508"/>
  <c r="AI16" i="508"/>
  <c r="AG20" i="508"/>
  <c r="AG18" i="508"/>
  <c r="AG16" i="508"/>
  <c r="AI17" i="508"/>
  <c r="AI15" i="508"/>
  <c r="AI19" i="508"/>
  <c r="Z29" i="508"/>
  <c r="Z28" i="508"/>
  <c r="Z27" i="508"/>
  <c r="Z26" i="508"/>
  <c r="Z25" i="508"/>
  <c r="AB29" i="508"/>
  <c r="AB28" i="508"/>
  <c r="AB27" i="508"/>
  <c r="AB26" i="508"/>
  <c r="AB25" i="508"/>
  <c r="AA29" i="508"/>
  <c r="AA27" i="508"/>
  <c r="AA25" i="508"/>
  <c r="AC28" i="508"/>
  <c r="AC26" i="508"/>
  <c r="AA28" i="508"/>
  <c r="AA26" i="508"/>
  <c r="AC29" i="508"/>
  <c r="AC27" i="508"/>
  <c r="AC25" i="508"/>
  <c r="Q23" i="507"/>
  <c r="Q22" i="507"/>
  <c r="Q21" i="507"/>
  <c r="Q20" i="507"/>
  <c r="Q19" i="507"/>
  <c r="Q18" i="507"/>
  <c r="Q17" i="507"/>
  <c r="Q16" i="507"/>
  <c r="Q15" i="507"/>
  <c r="Q14" i="507"/>
  <c r="Q13" i="507"/>
  <c r="Q12" i="507"/>
  <c r="Q11" i="507"/>
  <c r="Q10" i="507"/>
  <c r="Q9" i="507"/>
  <c r="Q8" i="507"/>
  <c r="Q7" i="507"/>
  <c r="Q6" i="507"/>
  <c r="Q5" i="507"/>
  <c r="Q4" i="507"/>
  <c r="Q3" i="507"/>
  <c r="O23" i="507"/>
  <c r="O22" i="507"/>
  <c r="O21" i="507"/>
  <c r="O20" i="507"/>
  <c r="O19" i="507"/>
  <c r="O18" i="507"/>
  <c r="O17" i="507"/>
  <c r="O16" i="507"/>
  <c r="O15" i="507"/>
  <c r="O14" i="507"/>
  <c r="O13" i="507"/>
  <c r="O12" i="507"/>
  <c r="O11" i="507"/>
  <c r="O10" i="507"/>
  <c r="O9" i="507"/>
  <c r="O8" i="507"/>
  <c r="O7" i="507"/>
  <c r="O6" i="507"/>
  <c r="O5" i="507"/>
  <c r="O4" i="507"/>
  <c r="O3" i="507"/>
  <c r="P23" i="507"/>
  <c r="P21" i="507"/>
  <c r="P19" i="507"/>
  <c r="P17" i="507"/>
  <c r="P15" i="507"/>
  <c r="P13" i="507"/>
  <c r="P11" i="507"/>
  <c r="P9" i="507"/>
  <c r="P7" i="507"/>
  <c r="P5" i="507"/>
  <c r="P3" i="507"/>
  <c r="N23" i="507"/>
  <c r="N21" i="507"/>
  <c r="N19" i="507"/>
  <c r="N17" i="507"/>
  <c r="N15" i="507"/>
  <c r="N13" i="507"/>
  <c r="N11" i="507"/>
  <c r="N9" i="507"/>
  <c r="N7" i="507"/>
  <c r="N5" i="507"/>
  <c r="N3" i="507"/>
  <c r="P22" i="507"/>
  <c r="P20" i="507"/>
  <c r="P18" i="507"/>
  <c r="P16" i="507"/>
  <c r="P14" i="507"/>
  <c r="P12" i="507"/>
  <c r="P10" i="507"/>
  <c r="P8" i="507"/>
  <c r="P6" i="507"/>
  <c r="P4" i="507"/>
  <c r="N22" i="507"/>
  <c r="N14" i="507"/>
  <c r="N6" i="507"/>
  <c r="N20" i="507"/>
  <c r="N12" i="507"/>
  <c r="N4" i="507"/>
  <c r="N18" i="507"/>
  <c r="N10" i="507"/>
  <c r="N8" i="507"/>
  <c r="N16" i="507"/>
  <c r="O17" i="509"/>
  <c r="P16" i="509"/>
  <c r="Q15" i="509"/>
  <c r="M15" i="509"/>
  <c r="N14" i="509"/>
  <c r="O13" i="509"/>
  <c r="P12" i="509"/>
  <c r="N17" i="509"/>
  <c r="O16" i="509"/>
  <c r="P15" i="509"/>
  <c r="Q14" i="509"/>
  <c r="M14" i="509"/>
  <c r="N13" i="509"/>
  <c r="O12" i="509"/>
  <c r="Q17" i="509"/>
  <c r="M17" i="509"/>
  <c r="N16" i="509"/>
  <c r="O15" i="509"/>
  <c r="P14" i="509"/>
  <c r="Q13" i="509"/>
  <c r="M13" i="509"/>
  <c r="N12" i="509"/>
  <c r="P17" i="509"/>
  <c r="O14" i="509"/>
  <c r="Q16" i="509"/>
  <c r="P13" i="509"/>
  <c r="M16" i="509"/>
  <c r="Q12" i="509"/>
  <c r="N15" i="509"/>
  <c r="M12" i="509"/>
  <c r="AC23" i="510"/>
  <c r="AC22" i="510"/>
  <c r="AC21" i="510"/>
  <c r="AC20" i="510"/>
  <c r="AC19" i="510"/>
  <c r="AC18" i="510"/>
  <c r="AC17" i="510"/>
  <c r="AC16" i="510"/>
  <c r="AC15" i="510"/>
  <c r="AC14" i="510"/>
  <c r="AC13" i="510"/>
  <c r="AC12" i="510"/>
  <c r="AC11" i="510"/>
  <c r="AC10" i="510"/>
  <c r="AC9" i="510"/>
  <c r="AC8" i="510"/>
  <c r="AC7" i="510"/>
  <c r="AC6" i="510"/>
  <c r="AC5" i="510"/>
  <c r="AC4" i="510"/>
  <c r="AB23" i="510"/>
  <c r="AB22" i="510"/>
  <c r="AB21" i="510"/>
  <c r="AB20" i="510"/>
  <c r="AB19" i="510"/>
  <c r="AB18" i="510"/>
  <c r="AB17" i="510"/>
  <c r="AB16" i="510"/>
  <c r="AB15" i="510"/>
  <c r="AB14" i="510"/>
  <c r="AB13" i="510"/>
  <c r="AB12" i="510"/>
  <c r="AB11" i="510"/>
  <c r="AB10" i="510"/>
  <c r="AB9" i="510"/>
  <c r="AB8" i="510"/>
  <c r="AB7" i="510"/>
  <c r="AB6" i="510"/>
  <c r="AB5" i="510"/>
  <c r="AB4" i="510"/>
  <c r="AA23" i="510"/>
  <c r="AA22" i="510"/>
  <c r="AA21" i="510"/>
  <c r="AA20" i="510"/>
  <c r="AA19" i="510"/>
  <c r="AA18" i="510"/>
  <c r="AA17" i="510"/>
  <c r="AA16" i="510"/>
  <c r="AA15" i="510"/>
  <c r="AA14" i="510"/>
  <c r="AA13" i="510"/>
  <c r="AA12" i="510"/>
  <c r="AA11" i="510"/>
  <c r="AA10" i="510"/>
  <c r="AA9" i="510"/>
  <c r="AA8" i="510"/>
  <c r="AA7" i="510"/>
  <c r="AA6" i="510"/>
  <c r="AA5" i="510"/>
  <c r="AA4" i="510"/>
  <c r="Z23" i="510"/>
  <c r="Z19" i="510"/>
  <c r="Z15" i="510"/>
  <c r="Z11" i="510"/>
  <c r="Z7" i="510"/>
  <c r="Z22" i="510"/>
  <c r="Z18" i="510"/>
  <c r="Z14" i="510"/>
  <c r="Z10" i="510"/>
  <c r="Z6" i="510"/>
  <c r="Z21" i="510"/>
  <c r="Z17" i="510"/>
  <c r="Z13" i="510"/>
  <c r="Z9" i="510"/>
  <c r="Z5" i="510"/>
  <c r="Z12" i="510"/>
  <c r="Z8" i="510"/>
  <c r="Z20" i="510"/>
  <c r="Z4" i="510"/>
  <c r="Z16" i="510"/>
  <c r="V29" i="510"/>
  <c r="V28" i="510"/>
  <c r="V27" i="510"/>
  <c r="V26" i="510"/>
  <c r="W29" i="510"/>
  <c r="U28" i="510"/>
  <c r="T27" i="510"/>
  <c r="W25" i="510"/>
  <c r="U29" i="510"/>
  <c r="T28" i="510"/>
  <c r="W26" i="510"/>
  <c r="V25" i="510"/>
  <c r="T29" i="510"/>
  <c r="W27" i="510"/>
  <c r="U26" i="510"/>
  <c r="U25" i="510"/>
  <c r="T25" i="510"/>
  <c r="W28" i="510"/>
  <c r="U27" i="510"/>
  <c r="T26" i="510"/>
  <c r="H8" i="511"/>
  <c r="I7" i="511"/>
  <c r="J6" i="511"/>
  <c r="K5" i="511"/>
  <c r="G5" i="511"/>
  <c r="H4" i="511"/>
  <c r="I3" i="511"/>
  <c r="J8" i="511"/>
  <c r="K7" i="511"/>
  <c r="G7" i="511"/>
  <c r="H6" i="511"/>
  <c r="I5" i="511"/>
  <c r="J4" i="511"/>
  <c r="K3" i="511"/>
  <c r="G3" i="511"/>
  <c r="J7" i="511"/>
  <c r="G6" i="511"/>
  <c r="I4" i="511"/>
  <c r="K8" i="511"/>
  <c r="H7" i="511"/>
  <c r="J5" i="511"/>
  <c r="G4" i="511"/>
  <c r="I8" i="511"/>
  <c r="K6" i="511"/>
  <c r="H5" i="511"/>
  <c r="J3" i="511"/>
  <c r="K4" i="511"/>
  <c r="H3" i="511"/>
  <c r="G8" i="511"/>
  <c r="I6" i="511"/>
  <c r="I14" i="511"/>
  <c r="K13" i="511"/>
  <c r="G13" i="511"/>
  <c r="I12" i="511"/>
  <c r="L14" i="511"/>
  <c r="H14" i="511"/>
  <c r="J13" i="511"/>
  <c r="L12" i="511"/>
  <c r="H12" i="511"/>
  <c r="K14" i="511"/>
  <c r="G14" i="511"/>
  <c r="I13" i="511"/>
  <c r="K12" i="511"/>
  <c r="G12" i="511"/>
  <c r="J14" i="511"/>
  <c r="L13" i="511"/>
  <c r="H13" i="511"/>
  <c r="J12" i="511"/>
  <c r="C29" i="523"/>
  <c r="C28" i="523"/>
  <c r="C27" i="523"/>
  <c r="C26" i="523"/>
  <c r="C25" i="523"/>
  <c r="A29" i="523"/>
  <c r="A28" i="523"/>
  <c r="A27" i="523"/>
  <c r="A26" i="523"/>
  <c r="A25" i="523"/>
  <c r="B28" i="523"/>
  <c r="B26" i="523"/>
  <c r="D29" i="523"/>
  <c r="D27" i="523"/>
  <c r="D25" i="523"/>
  <c r="B29" i="523"/>
  <c r="B27" i="523"/>
  <c r="B25" i="523"/>
  <c r="D28" i="523"/>
  <c r="D26" i="523"/>
  <c r="AA29" i="510"/>
  <c r="AA28" i="510"/>
  <c r="AA27" i="510"/>
  <c r="AA26" i="510"/>
  <c r="AA25" i="510"/>
  <c r="AC29" i="510"/>
  <c r="AC28" i="510"/>
  <c r="AC27" i="510"/>
  <c r="AC26" i="510"/>
  <c r="AC25" i="510"/>
  <c r="AB28" i="510"/>
  <c r="AB26" i="510"/>
  <c r="Z28" i="510"/>
  <c r="Z26" i="510"/>
  <c r="AB29" i="510"/>
  <c r="AB27" i="510"/>
  <c r="AB25" i="510"/>
  <c r="Z25" i="510"/>
  <c r="Z29" i="510"/>
  <c r="Z27" i="510"/>
  <c r="U29" i="508"/>
  <c r="U28" i="508"/>
  <c r="U27" i="508"/>
  <c r="U26" i="508"/>
  <c r="U25" i="508"/>
  <c r="W29" i="508"/>
  <c r="W28" i="508"/>
  <c r="W27" i="508"/>
  <c r="W26" i="508"/>
  <c r="W25" i="508"/>
  <c r="V28" i="508"/>
  <c r="V26" i="508"/>
  <c r="T28" i="508"/>
  <c r="T26" i="508"/>
  <c r="V29" i="508"/>
  <c r="V27" i="508"/>
  <c r="V25" i="508"/>
  <c r="T27" i="508"/>
  <c r="T25" i="508"/>
  <c r="T29" i="508"/>
  <c r="Q23" i="523"/>
  <c r="Q22" i="523"/>
  <c r="Q21" i="523"/>
  <c r="Q20" i="523"/>
  <c r="Q19" i="523"/>
  <c r="Q18" i="523"/>
  <c r="Q17" i="523"/>
  <c r="Q16" i="523"/>
  <c r="Q15" i="523"/>
  <c r="Q14" i="523"/>
  <c r="Q13" i="523"/>
  <c r="Q12" i="523"/>
  <c r="Q11" i="523"/>
  <c r="Q10" i="523"/>
  <c r="Q9" i="523"/>
  <c r="Q8" i="523"/>
  <c r="Q7" i="523"/>
  <c r="Q6" i="523"/>
  <c r="Q5" i="523"/>
  <c r="Q4" i="523"/>
  <c r="Q3" i="523"/>
  <c r="P23" i="523"/>
  <c r="P22" i="523"/>
  <c r="P21" i="523"/>
  <c r="P20" i="523"/>
  <c r="P19" i="523"/>
  <c r="P18" i="523"/>
  <c r="P17" i="523"/>
  <c r="P16" i="523"/>
  <c r="P15" i="523"/>
  <c r="P14" i="523"/>
  <c r="P13" i="523"/>
  <c r="P12" i="523"/>
  <c r="P11" i="523"/>
  <c r="P10" i="523"/>
  <c r="P9" i="523"/>
  <c r="P8" i="523"/>
  <c r="P7" i="523"/>
  <c r="P6" i="523"/>
  <c r="P5" i="523"/>
  <c r="P4" i="523"/>
  <c r="P3" i="523"/>
  <c r="S23" i="523"/>
  <c r="S22" i="523"/>
  <c r="S21" i="523"/>
  <c r="S20" i="523"/>
  <c r="S19" i="523"/>
  <c r="S18" i="523"/>
  <c r="S17" i="523"/>
  <c r="S16" i="523"/>
  <c r="S15" i="523"/>
  <c r="S14" i="523"/>
  <c r="S13" i="523"/>
  <c r="S12" i="523"/>
  <c r="S11" i="523"/>
  <c r="S10" i="523"/>
  <c r="S9" i="523"/>
  <c r="S8" i="523"/>
  <c r="S7" i="523"/>
  <c r="S6" i="523"/>
  <c r="S5" i="523"/>
  <c r="S4" i="523"/>
  <c r="S3" i="523"/>
  <c r="R20" i="523"/>
  <c r="R16" i="523"/>
  <c r="R12" i="523"/>
  <c r="R8" i="523"/>
  <c r="R4" i="523"/>
  <c r="R23" i="523"/>
  <c r="R19" i="523"/>
  <c r="R15" i="523"/>
  <c r="R11" i="523"/>
  <c r="R7" i="523"/>
  <c r="R3" i="523"/>
  <c r="R22" i="523"/>
  <c r="R18" i="523"/>
  <c r="R14" i="523"/>
  <c r="R10" i="523"/>
  <c r="R6" i="523"/>
  <c r="R13" i="523"/>
  <c r="R9" i="523"/>
  <c r="R21" i="523"/>
  <c r="R5" i="523"/>
  <c r="R17" i="523"/>
  <c r="AK23" i="523"/>
  <c r="AK22" i="523"/>
  <c r="AK21" i="523"/>
  <c r="AK20" i="523"/>
  <c r="AK19" i="523"/>
  <c r="AK18" i="523"/>
  <c r="AK17" i="523"/>
  <c r="AK16" i="523"/>
  <c r="AK15" i="523"/>
  <c r="AK14" i="523"/>
  <c r="AK13" i="523"/>
  <c r="AK12" i="523"/>
  <c r="AK11" i="523"/>
  <c r="AK10" i="523"/>
  <c r="AK9" i="523"/>
  <c r="AK8" i="523"/>
  <c r="AK7" i="523"/>
  <c r="AK6" i="523"/>
  <c r="AK5" i="523"/>
  <c r="AK4" i="523"/>
  <c r="AK3" i="523"/>
  <c r="AJ23" i="523"/>
  <c r="AJ22" i="523"/>
  <c r="AJ21" i="523"/>
  <c r="AJ20" i="523"/>
  <c r="AJ19" i="523"/>
  <c r="AJ18" i="523"/>
  <c r="AJ17" i="523"/>
  <c r="AJ16" i="523"/>
  <c r="AJ15" i="523"/>
  <c r="AJ14" i="523"/>
  <c r="AJ13" i="523"/>
  <c r="AJ12" i="523"/>
  <c r="AJ11" i="523"/>
  <c r="AJ10" i="523"/>
  <c r="AJ9" i="523"/>
  <c r="AJ8" i="523"/>
  <c r="AJ7" i="523"/>
  <c r="AJ6" i="523"/>
  <c r="AJ5" i="523"/>
  <c r="AJ4" i="523"/>
  <c r="AJ3" i="523"/>
  <c r="AM23" i="523"/>
  <c r="AM22" i="523"/>
  <c r="AM21" i="523"/>
  <c r="AM20" i="523"/>
  <c r="AM19" i="523"/>
  <c r="AM18" i="523"/>
  <c r="AM17" i="523"/>
  <c r="AM16" i="523"/>
  <c r="AM15" i="523"/>
  <c r="AM14" i="523"/>
  <c r="AM13" i="523"/>
  <c r="AM12" i="523"/>
  <c r="AM11" i="523"/>
  <c r="AM10" i="523"/>
  <c r="AM9" i="523"/>
  <c r="AM8" i="523"/>
  <c r="AM7" i="523"/>
  <c r="AM6" i="523"/>
  <c r="AM5" i="523"/>
  <c r="AM4" i="523"/>
  <c r="AM3" i="523"/>
  <c r="AL23" i="523"/>
  <c r="AL19" i="523"/>
  <c r="AL15" i="523"/>
  <c r="AL11" i="523"/>
  <c r="AL7" i="523"/>
  <c r="AL3" i="523"/>
  <c r="AL22" i="523"/>
  <c r="AL18" i="523"/>
  <c r="AL14" i="523"/>
  <c r="AL10" i="523"/>
  <c r="AL6" i="523"/>
  <c r="AL21" i="523"/>
  <c r="AL17" i="523"/>
  <c r="AL13" i="523"/>
  <c r="AL9" i="523"/>
  <c r="AL5" i="523"/>
  <c r="AL8" i="523"/>
  <c r="AL20" i="523"/>
  <c r="AL4" i="523"/>
  <c r="AL16" i="523"/>
  <c r="AL12" i="523"/>
  <c r="K29" i="523"/>
  <c r="K28" i="523"/>
  <c r="K27" i="523"/>
  <c r="K26" i="523"/>
  <c r="K25" i="523"/>
  <c r="M29" i="523"/>
  <c r="M28" i="523"/>
  <c r="M27" i="523"/>
  <c r="M26" i="523"/>
  <c r="M25" i="523"/>
  <c r="N29" i="523"/>
  <c r="N27" i="523"/>
  <c r="N25" i="523"/>
  <c r="L29" i="523"/>
  <c r="L27" i="523"/>
  <c r="L25" i="523"/>
  <c r="N28" i="523"/>
  <c r="N26" i="523"/>
  <c r="L28" i="523"/>
  <c r="L26" i="523"/>
  <c r="A23" i="523"/>
  <c r="A22" i="523"/>
  <c r="A21" i="523"/>
  <c r="A20" i="523"/>
  <c r="A19" i="523"/>
  <c r="A18" i="523"/>
  <c r="A17" i="523"/>
  <c r="A16" i="523"/>
  <c r="A15" i="523"/>
  <c r="A14" i="523"/>
  <c r="A13" i="523"/>
  <c r="A12" i="523"/>
  <c r="A11" i="523"/>
  <c r="A10" i="523"/>
  <c r="A9" i="523"/>
  <c r="A8" i="523"/>
  <c r="A7" i="523"/>
  <c r="A6" i="523"/>
  <c r="A5" i="523"/>
  <c r="A4" i="523"/>
  <c r="A3" i="523"/>
  <c r="D23" i="523"/>
  <c r="D22" i="523"/>
  <c r="D21" i="523"/>
  <c r="D20" i="523"/>
  <c r="D19" i="523"/>
  <c r="D18" i="523"/>
  <c r="D17" i="523"/>
  <c r="D16" i="523"/>
  <c r="D15" i="523"/>
  <c r="D14" i="523"/>
  <c r="D13" i="523"/>
  <c r="D12" i="523"/>
  <c r="D11" i="523"/>
  <c r="D10" i="523"/>
  <c r="D9" i="523"/>
  <c r="D8" i="523"/>
  <c r="D7" i="523"/>
  <c r="D6" i="523"/>
  <c r="D5" i="523"/>
  <c r="D4" i="523"/>
  <c r="D3" i="523"/>
  <c r="C23" i="523"/>
  <c r="C22" i="523"/>
  <c r="C21" i="523"/>
  <c r="C20" i="523"/>
  <c r="C19" i="523"/>
  <c r="C18" i="523"/>
  <c r="C17" i="523"/>
  <c r="C16" i="523"/>
  <c r="C15" i="523"/>
  <c r="C14" i="523"/>
  <c r="C13" i="523"/>
  <c r="C12" i="523"/>
  <c r="C11" i="523"/>
  <c r="C10" i="523"/>
  <c r="C9" i="523"/>
  <c r="C8" i="523"/>
  <c r="C7" i="523"/>
  <c r="C6" i="523"/>
  <c r="C5" i="523"/>
  <c r="C4" i="523"/>
  <c r="C3" i="523"/>
  <c r="B20" i="523"/>
  <c r="B16" i="523"/>
  <c r="B12" i="523"/>
  <c r="B8" i="523"/>
  <c r="B4" i="523"/>
  <c r="B23" i="523"/>
  <c r="B19" i="523"/>
  <c r="B15" i="523"/>
  <c r="B11" i="523"/>
  <c r="B7" i="523"/>
  <c r="B3" i="523"/>
  <c r="B22" i="523"/>
  <c r="B18" i="523"/>
  <c r="B14" i="523"/>
  <c r="B10" i="523"/>
  <c r="B6" i="523"/>
  <c r="B13" i="523"/>
  <c r="B9" i="523"/>
  <c r="B21" i="523"/>
  <c r="B5" i="523"/>
  <c r="B17" i="523"/>
  <c r="U23" i="523"/>
  <c r="U22" i="523"/>
  <c r="U21" i="523"/>
  <c r="U20" i="523"/>
  <c r="U19" i="523"/>
  <c r="U18" i="523"/>
  <c r="U17" i="523"/>
  <c r="U16" i="523"/>
  <c r="U15" i="523"/>
  <c r="U14" i="523"/>
  <c r="U13" i="523"/>
  <c r="U12" i="523"/>
  <c r="U11" i="523"/>
  <c r="U10" i="523"/>
  <c r="U9" i="523"/>
  <c r="U8" i="523"/>
  <c r="U7" i="523"/>
  <c r="U6" i="523"/>
  <c r="U5" i="523"/>
  <c r="U4" i="523"/>
  <c r="U3" i="523"/>
  <c r="X23" i="523"/>
  <c r="X22" i="523"/>
  <c r="X21" i="523"/>
  <c r="X20" i="523"/>
  <c r="X19" i="523"/>
  <c r="X18" i="523"/>
  <c r="X17" i="523"/>
  <c r="X16" i="523"/>
  <c r="X15" i="523"/>
  <c r="X14" i="523"/>
  <c r="X13" i="523"/>
  <c r="X12" i="523"/>
  <c r="X11" i="523"/>
  <c r="X10" i="523"/>
  <c r="X9" i="523"/>
  <c r="X8" i="523"/>
  <c r="X7" i="523"/>
  <c r="X6" i="523"/>
  <c r="X5" i="523"/>
  <c r="X4" i="523"/>
  <c r="X3" i="523"/>
  <c r="W23" i="523"/>
  <c r="W22" i="523"/>
  <c r="W21" i="523"/>
  <c r="W20" i="523"/>
  <c r="W19" i="523"/>
  <c r="W18" i="523"/>
  <c r="W17" i="523"/>
  <c r="W16" i="523"/>
  <c r="W15" i="523"/>
  <c r="W14" i="523"/>
  <c r="W13" i="523"/>
  <c r="W12" i="523"/>
  <c r="W11" i="523"/>
  <c r="W10" i="523"/>
  <c r="W9" i="523"/>
  <c r="W8" i="523"/>
  <c r="W7" i="523"/>
  <c r="W6" i="523"/>
  <c r="W5" i="523"/>
  <c r="W4" i="523"/>
  <c r="W3" i="523"/>
  <c r="V23" i="523"/>
  <c r="V19" i="523"/>
  <c r="V15" i="523"/>
  <c r="V11" i="523"/>
  <c r="V7" i="523"/>
  <c r="V3" i="523"/>
  <c r="V22" i="523"/>
  <c r="V18" i="523"/>
  <c r="V14" i="523"/>
  <c r="V10" i="523"/>
  <c r="V6" i="523"/>
  <c r="V21" i="523"/>
  <c r="V17" i="523"/>
  <c r="V13" i="523"/>
  <c r="V9" i="523"/>
  <c r="V5" i="523"/>
  <c r="V8" i="523"/>
  <c r="V20" i="523"/>
  <c r="V4" i="523"/>
  <c r="V16" i="523"/>
  <c r="V12" i="523"/>
  <c r="AO23" i="523"/>
  <c r="AO22" i="523"/>
  <c r="AO21" i="523"/>
  <c r="AO20" i="523"/>
  <c r="AO19" i="523"/>
  <c r="AO18" i="523"/>
  <c r="AO17" i="523"/>
  <c r="AO16" i="523"/>
  <c r="AO15" i="523"/>
  <c r="AO14" i="523"/>
  <c r="AO13" i="523"/>
  <c r="AO12" i="523"/>
  <c r="AO11" i="523"/>
  <c r="AO10" i="523"/>
  <c r="AO9" i="523"/>
  <c r="AO8" i="523"/>
  <c r="AO7" i="523"/>
  <c r="AO6" i="523"/>
  <c r="AO5" i="523"/>
  <c r="AO4" i="523"/>
  <c r="AO3" i="523"/>
  <c r="AR23" i="523"/>
  <c r="AR22" i="523"/>
  <c r="AR21" i="523"/>
  <c r="AR20" i="523"/>
  <c r="AR19" i="523"/>
  <c r="AR18" i="523"/>
  <c r="AR17" i="523"/>
  <c r="AR16" i="523"/>
  <c r="AR15" i="523"/>
  <c r="AR14" i="523"/>
  <c r="AR13" i="523"/>
  <c r="AR12" i="523"/>
  <c r="AR11" i="523"/>
  <c r="AR10" i="523"/>
  <c r="AR9" i="523"/>
  <c r="AR8" i="523"/>
  <c r="AR7" i="523"/>
  <c r="AR6" i="523"/>
  <c r="AR5" i="523"/>
  <c r="AR4" i="523"/>
  <c r="AR3" i="523"/>
  <c r="AQ23" i="523"/>
  <c r="AQ22" i="523"/>
  <c r="AQ21" i="523"/>
  <c r="AQ20" i="523"/>
  <c r="AQ19" i="523"/>
  <c r="AQ18" i="523"/>
  <c r="AQ17" i="523"/>
  <c r="AQ16" i="523"/>
  <c r="AQ15" i="523"/>
  <c r="AQ14" i="523"/>
  <c r="AQ13" i="523"/>
  <c r="AQ12" i="523"/>
  <c r="AQ11" i="523"/>
  <c r="AQ10" i="523"/>
  <c r="AQ9" i="523"/>
  <c r="AQ8" i="523"/>
  <c r="AQ7" i="523"/>
  <c r="AQ6" i="523"/>
  <c r="AQ5" i="523"/>
  <c r="AQ4" i="523"/>
  <c r="AQ3" i="523"/>
  <c r="AP22" i="523"/>
  <c r="AP18" i="523"/>
  <c r="AP14" i="523"/>
  <c r="AP10" i="523"/>
  <c r="AP6" i="523"/>
  <c r="AP21" i="523"/>
  <c r="AP17" i="523"/>
  <c r="AP13" i="523"/>
  <c r="AP9" i="523"/>
  <c r="AP5" i="523"/>
  <c r="AP20" i="523"/>
  <c r="AP16" i="523"/>
  <c r="AP12" i="523"/>
  <c r="AP8" i="523"/>
  <c r="AP4" i="523"/>
  <c r="AP19" i="523"/>
  <c r="AP3" i="523"/>
  <c r="AP15" i="523"/>
  <c r="AP11" i="523"/>
  <c r="AP23" i="523"/>
  <c r="AP7" i="523"/>
  <c r="W29" i="523"/>
  <c r="W28" i="523"/>
  <c r="W27" i="523"/>
  <c r="W26" i="523"/>
  <c r="W25" i="523"/>
  <c r="U29" i="523"/>
  <c r="U28" i="523"/>
  <c r="U27" i="523"/>
  <c r="U26" i="523"/>
  <c r="U25" i="523"/>
  <c r="V29" i="523"/>
  <c r="V27" i="523"/>
  <c r="V25" i="523"/>
  <c r="X28" i="523"/>
  <c r="X26" i="523"/>
  <c r="V28" i="523"/>
  <c r="V26" i="523"/>
  <c r="X27" i="523"/>
  <c r="X25" i="523"/>
  <c r="X29" i="523"/>
  <c r="AQ29" i="523"/>
  <c r="AQ28" i="523"/>
  <c r="AQ27" i="523"/>
  <c r="AQ26" i="523"/>
  <c r="AQ25" i="523"/>
  <c r="AP29" i="523"/>
  <c r="AP28" i="523"/>
  <c r="AP27" i="523"/>
  <c r="AP26" i="523"/>
  <c r="AP25" i="523"/>
  <c r="AO29" i="523"/>
  <c r="AO28" i="523"/>
  <c r="AO27" i="523"/>
  <c r="AO26" i="523"/>
  <c r="AO25" i="523"/>
  <c r="AR29" i="523"/>
  <c r="AR25" i="523"/>
  <c r="AR28" i="523"/>
  <c r="AR27" i="523"/>
  <c r="AR26" i="523"/>
  <c r="K29" i="508"/>
  <c r="K28" i="508"/>
  <c r="K27" i="508"/>
  <c r="K26" i="508"/>
  <c r="K25" i="508"/>
  <c r="I29" i="508"/>
  <c r="I28" i="508"/>
  <c r="I27" i="508"/>
  <c r="I26" i="508"/>
  <c r="I25" i="508"/>
  <c r="H29" i="508"/>
  <c r="H27" i="508"/>
  <c r="H25" i="508"/>
  <c r="J28" i="508"/>
  <c r="J26" i="508"/>
  <c r="H28" i="508"/>
  <c r="H26" i="508"/>
  <c r="J29" i="508"/>
  <c r="J27" i="508"/>
  <c r="J25" i="508"/>
  <c r="AI29" i="508"/>
  <c r="AI28" i="508"/>
  <c r="AI27" i="508"/>
  <c r="AI26" i="508"/>
  <c r="AI25" i="508"/>
  <c r="AG29" i="508"/>
  <c r="AG28" i="508"/>
  <c r="AG27" i="508"/>
  <c r="AG26" i="508"/>
  <c r="AG25" i="508"/>
  <c r="AF28" i="508"/>
  <c r="AF26" i="508"/>
  <c r="AH29" i="508"/>
  <c r="AH27" i="508"/>
  <c r="AH25" i="508"/>
  <c r="AF29" i="508"/>
  <c r="AF27" i="508"/>
  <c r="AF25" i="508"/>
  <c r="AH28" i="508"/>
  <c r="AH26" i="508"/>
  <c r="R8" i="511"/>
  <c r="R7" i="511"/>
  <c r="R6" i="511"/>
  <c r="R5" i="511"/>
  <c r="R4" i="511"/>
  <c r="Q8" i="511"/>
  <c r="Q7" i="511"/>
  <c r="P8" i="511"/>
  <c r="P7" i="511"/>
  <c r="P6" i="511"/>
  <c r="P5" i="511"/>
  <c r="P4" i="511"/>
  <c r="O6" i="511"/>
  <c r="O4" i="511"/>
  <c r="O8" i="511"/>
  <c r="Q5" i="511"/>
  <c r="O7" i="511"/>
  <c r="O5" i="511"/>
  <c r="Q6" i="511"/>
  <c r="Q4" i="511"/>
  <c r="J26" i="511"/>
  <c r="L25" i="511"/>
  <c r="H25" i="511"/>
  <c r="J24" i="511"/>
  <c r="L23" i="511"/>
  <c r="H23" i="511"/>
  <c r="J22" i="511"/>
  <c r="L21" i="511"/>
  <c r="H21" i="511"/>
  <c r="J20" i="511"/>
  <c r="L19" i="511"/>
  <c r="H19" i="511"/>
  <c r="J18" i="511"/>
  <c r="I26" i="511"/>
  <c r="K25" i="511"/>
  <c r="G25" i="511"/>
  <c r="I24" i="511"/>
  <c r="K23" i="511"/>
  <c r="G23" i="511"/>
  <c r="I22" i="511"/>
  <c r="K21" i="511"/>
  <c r="G21" i="511"/>
  <c r="I20" i="511"/>
  <c r="K19" i="511"/>
  <c r="G19" i="511"/>
  <c r="I18" i="511"/>
  <c r="L26" i="511"/>
  <c r="H26" i="511"/>
  <c r="J25" i="511"/>
  <c r="L24" i="511"/>
  <c r="H24" i="511"/>
  <c r="J23" i="511"/>
  <c r="L22" i="511"/>
  <c r="H22" i="511"/>
  <c r="J21" i="511"/>
  <c r="L20" i="511"/>
  <c r="H20" i="511"/>
  <c r="J19" i="511"/>
  <c r="L18" i="511"/>
  <c r="H18" i="511"/>
  <c r="I25" i="511"/>
  <c r="K22" i="511"/>
  <c r="G20" i="511"/>
  <c r="K24" i="511"/>
  <c r="G22" i="511"/>
  <c r="I19" i="511"/>
  <c r="K26" i="511"/>
  <c r="G24" i="511"/>
  <c r="I21" i="511"/>
  <c r="K18" i="511"/>
  <c r="I23" i="511"/>
  <c r="K20" i="511"/>
  <c r="G18" i="511"/>
  <c r="G26" i="511"/>
  <c r="I23" i="523"/>
  <c r="I22" i="523"/>
  <c r="I21" i="523"/>
  <c r="I20" i="523"/>
  <c r="I19" i="523"/>
  <c r="I18" i="523"/>
  <c r="I17" i="523"/>
  <c r="I16" i="523"/>
  <c r="I15" i="523"/>
  <c r="I14" i="523"/>
  <c r="I13" i="523"/>
  <c r="I12" i="523"/>
  <c r="I11" i="523"/>
  <c r="I10" i="523"/>
  <c r="I9" i="523"/>
  <c r="I8" i="523"/>
  <c r="I7" i="523"/>
  <c r="I6" i="523"/>
  <c r="I5" i="523"/>
  <c r="I4" i="523"/>
  <c r="I3" i="523"/>
  <c r="H23" i="523"/>
  <c r="H22" i="523"/>
  <c r="H21" i="523"/>
  <c r="H20" i="523"/>
  <c r="H19" i="523"/>
  <c r="H18" i="523"/>
  <c r="H17" i="523"/>
  <c r="H16" i="523"/>
  <c r="H15" i="523"/>
  <c r="H14" i="523"/>
  <c r="H13" i="523"/>
  <c r="H12" i="523"/>
  <c r="H11" i="523"/>
  <c r="H10" i="523"/>
  <c r="H9" i="523"/>
  <c r="H8" i="523"/>
  <c r="H7" i="523"/>
  <c r="H6" i="523"/>
  <c r="H5" i="523"/>
  <c r="H4" i="523"/>
  <c r="H3" i="523"/>
  <c r="G23" i="523"/>
  <c r="G22" i="523"/>
  <c r="G21" i="523"/>
  <c r="G20" i="523"/>
  <c r="G19" i="523"/>
  <c r="G18" i="523"/>
  <c r="G17" i="523"/>
  <c r="G16" i="523"/>
  <c r="G15" i="523"/>
  <c r="G14" i="523"/>
  <c r="G13" i="523"/>
  <c r="G12" i="523"/>
  <c r="G11" i="523"/>
  <c r="G10" i="523"/>
  <c r="G9" i="523"/>
  <c r="G8" i="523"/>
  <c r="G7" i="523"/>
  <c r="G6" i="523"/>
  <c r="G5" i="523"/>
  <c r="G4" i="523"/>
  <c r="G3" i="523"/>
  <c r="F23" i="523"/>
  <c r="F19" i="523"/>
  <c r="F15" i="523"/>
  <c r="F11" i="523"/>
  <c r="F7" i="523"/>
  <c r="F3" i="523"/>
  <c r="F22" i="523"/>
  <c r="F18" i="523"/>
  <c r="F14" i="523"/>
  <c r="F10" i="523"/>
  <c r="F6" i="523"/>
  <c r="F21" i="523"/>
  <c r="F17" i="523"/>
  <c r="F13" i="523"/>
  <c r="F9" i="523"/>
  <c r="F5" i="523"/>
  <c r="F8" i="523"/>
  <c r="F20" i="523"/>
  <c r="F4" i="523"/>
  <c r="F16" i="523"/>
  <c r="F12" i="523"/>
  <c r="AC23" i="523"/>
  <c r="AC22" i="523"/>
  <c r="AC21" i="523"/>
  <c r="AC20" i="523"/>
  <c r="AC19" i="523"/>
  <c r="AC18" i="523"/>
  <c r="AC17" i="523"/>
  <c r="AC16" i="523"/>
  <c r="AC15" i="523"/>
  <c r="AC14" i="523"/>
  <c r="AC13" i="523"/>
  <c r="AC12" i="523"/>
  <c r="AC11" i="523"/>
  <c r="AC10" i="523"/>
  <c r="AC9" i="523"/>
  <c r="AC8" i="523"/>
  <c r="AC7" i="523"/>
  <c r="AC6" i="523"/>
  <c r="AC5" i="523"/>
  <c r="AC4" i="523"/>
  <c r="AC3" i="523"/>
  <c r="AB23" i="523"/>
  <c r="AB22" i="523"/>
  <c r="AB21" i="523"/>
  <c r="AB20" i="523"/>
  <c r="AB19" i="523"/>
  <c r="AB18" i="523"/>
  <c r="AB17" i="523"/>
  <c r="AB16" i="523"/>
  <c r="AB15" i="523"/>
  <c r="AB14" i="523"/>
  <c r="AB13" i="523"/>
  <c r="AB12" i="523"/>
  <c r="AB11" i="523"/>
  <c r="AB10" i="523"/>
  <c r="AB9" i="523"/>
  <c r="AB8" i="523"/>
  <c r="AB7" i="523"/>
  <c r="AB6" i="523"/>
  <c r="AB5" i="523"/>
  <c r="AB4" i="523"/>
  <c r="AB3" i="523"/>
  <c r="AA23" i="523"/>
  <c r="AA22" i="523"/>
  <c r="AA21" i="523"/>
  <c r="AA20" i="523"/>
  <c r="AA19" i="523"/>
  <c r="AA18" i="523"/>
  <c r="AA17" i="523"/>
  <c r="AA16" i="523"/>
  <c r="AA15" i="523"/>
  <c r="AA14" i="523"/>
  <c r="AA13" i="523"/>
  <c r="AA12" i="523"/>
  <c r="AA11" i="523"/>
  <c r="AA10" i="523"/>
  <c r="AA9" i="523"/>
  <c r="AA8" i="523"/>
  <c r="AA7" i="523"/>
  <c r="AA6" i="523"/>
  <c r="AA5" i="523"/>
  <c r="AA4" i="523"/>
  <c r="AA3" i="523"/>
  <c r="Z22" i="523"/>
  <c r="Z18" i="523"/>
  <c r="Z14" i="523"/>
  <c r="Z10" i="523"/>
  <c r="Z6" i="523"/>
  <c r="Z21" i="523"/>
  <c r="Z17" i="523"/>
  <c r="Z13" i="523"/>
  <c r="Z9" i="523"/>
  <c r="Z5" i="523"/>
  <c r="Z20" i="523"/>
  <c r="Z16" i="523"/>
  <c r="Z12" i="523"/>
  <c r="Z8" i="523"/>
  <c r="Z4" i="523"/>
  <c r="Z19" i="523"/>
  <c r="Z3" i="523"/>
  <c r="Z15" i="523"/>
  <c r="Z11" i="523"/>
  <c r="Z23" i="523"/>
  <c r="Z7" i="523"/>
  <c r="AW23" i="523"/>
  <c r="AW22" i="523"/>
  <c r="AW21" i="523"/>
  <c r="AW20" i="523"/>
  <c r="AW19" i="523"/>
  <c r="AW18" i="523"/>
  <c r="AU23" i="523"/>
  <c r="AU22" i="523"/>
  <c r="AU21" i="523"/>
  <c r="AU20" i="523"/>
  <c r="AU19" i="523"/>
  <c r="AU18" i="523"/>
  <c r="AV23" i="523"/>
  <c r="AV21" i="523"/>
  <c r="AV19" i="523"/>
  <c r="AW17" i="523"/>
  <c r="AW16" i="523"/>
  <c r="AW15" i="523"/>
  <c r="AW14" i="523"/>
  <c r="AW13" i="523"/>
  <c r="AW12" i="523"/>
  <c r="AW11" i="523"/>
  <c r="AW10" i="523"/>
  <c r="AW9" i="523"/>
  <c r="AW8" i="523"/>
  <c r="AW7" i="523"/>
  <c r="AW6" i="523"/>
  <c r="AW5" i="523"/>
  <c r="AW4" i="523"/>
  <c r="AW3" i="523"/>
  <c r="AT23" i="523"/>
  <c r="AT21" i="523"/>
  <c r="AT19" i="523"/>
  <c r="AV17" i="523"/>
  <c r="AV16" i="523"/>
  <c r="AV15" i="523"/>
  <c r="AV14" i="523"/>
  <c r="AV13" i="523"/>
  <c r="AV12" i="523"/>
  <c r="AV11" i="523"/>
  <c r="AV10" i="523"/>
  <c r="AV9" i="523"/>
  <c r="AV8" i="523"/>
  <c r="AV7" i="523"/>
  <c r="AV6" i="523"/>
  <c r="AV5" i="523"/>
  <c r="AV4" i="523"/>
  <c r="AV3" i="523"/>
  <c r="AV22" i="523"/>
  <c r="AV20" i="523"/>
  <c r="AV18" i="523"/>
  <c r="AU17" i="523"/>
  <c r="AU16" i="523"/>
  <c r="AU15" i="523"/>
  <c r="AU14" i="523"/>
  <c r="AU13" i="523"/>
  <c r="AU12" i="523"/>
  <c r="AU11" i="523"/>
  <c r="AU10" i="523"/>
  <c r="AU9" i="523"/>
  <c r="AU8" i="523"/>
  <c r="AU7" i="523"/>
  <c r="AU6" i="523"/>
  <c r="AU5" i="523"/>
  <c r="AU4" i="523"/>
  <c r="AU3" i="523"/>
  <c r="AT17" i="523"/>
  <c r="AT13" i="523"/>
  <c r="AT9" i="523"/>
  <c r="AT5" i="523"/>
  <c r="AT22" i="523"/>
  <c r="AT16" i="523"/>
  <c r="AT12" i="523"/>
  <c r="AT8" i="523"/>
  <c r="AT4" i="523"/>
  <c r="AT20" i="523"/>
  <c r="AT15" i="523"/>
  <c r="AT11" i="523"/>
  <c r="AT7" i="523"/>
  <c r="AT3" i="523"/>
  <c r="AT14" i="523"/>
  <c r="AT10" i="523"/>
  <c r="AT6" i="523"/>
  <c r="AT18" i="523"/>
  <c r="AE29" i="523"/>
  <c r="AE28" i="523"/>
  <c r="AE27" i="523"/>
  <c r="AE26" i="523"/>
  <c r="AE25" i="523"/>
  <c r="AH29" i="523"/>
  <c r="AG29" i="523"/>
  <c r="AG28" i="523"/>
  <c r="AG27" i="523"/>
  <c r="AG26" i="523"/>
  <c r="AG25" i="523"/>
  <c r="AH28" i="523"/>
  <c r="AH26" i="523"/>
  <c r="AF28" i="523"/>
  <c r="AF26" i="523"/>
  <c r="AH27" i="523"/>
  <c r="AH25" i="523"/>
  <c r="AF25" i="523"/>
  <c r="AF29" i="523"/>
  <c r="AF27" i="523"/>
  <c r="E8" i="516"/>
  <c r="G29" i="523"/>
  <c r="G28" i="523"/>
  <c r="G27" i="523"/>
  <c r="G26" i="523"/>
  <c r="G25" i="523"/>
  <c r="I29" i="523"/>
  <c r="I28" i="523"/>
  <c r="I27" i="523"/>
  <c r="I26" i="523"/>
  <c r="I25" i="523"/>
  <c r="F29" i="523"/>
  <c r="F27" i="523"/>
  <c r="F25" i="523"/>
  <c r="H28" i="523"/>
  <c r="H26" i="523"/>
  <c r="F28" i="523"/>
  <c r="F26" i="523"/>
  <c r="H27" i="523"/>
  <c r="H25" i="523"/>
  <c r="H29" i="523"/>
  <c r="AA29" i="523"/>
  <c r="AA28" i="523"/>
  <c r="AA27" i="523"/>
  <c r="AA26" i="523"/>
  <c r="AA25" i="523"/>
  <c r="AC29" i="523"/>
  <c r="AC28" i="523"/>
  <c r="AC27" i="523"/>
  <c r="AC26" i="523"/>
  <c r="AC25" i="523"/>
  <c r="Z28" i="523"/>
  <c r="Z26" i="523"/>
  <c r="AB29" i="523"/>
  <c r="AB27" i="523"/>
  <c r="AB25" i="523"/>
  <c r="Z29" i="523"/>
  <c r="Z27" i="523"/>
  <c r="Z25" i="523"/>
  <c r="AB28" i="523"/>
  <c r="AB26" i="523"/>
  <c r="AU29" i="523"/>
  <c r="AU28" i="523"/>
  <c r="AU27" i="523"/>
  <c r="AU26" i="523"/>
  <c r="AU25" i="523"/>
  <c r="AT29" i="523"/>
  <c r="AT28" i="523"/>
  <c r="AT27" i="523"/>
  <c r="AT26" i="523"/>
  <c r="AT25" i="523"/>
  <c r="AW29" i="523"/>
  <c r="AW28" i="523"/>
  <c r="AW27" i="523"/>
  <c r="AW26" i="523"/>
  <c r="AW25" i="523"/>
  <c r="AV28" i="523"/>
  <c r="AV27" i="523"/>
  <c r="AV26" i="523"/>
  <c r="AV29" i="523"/>
  <c r="AV25" i="523"/>
  <c r="U10" i="530"/>
  <c r="U9" i="530"/>
  <c r="U8" i="530"/>
  <c r="U7" i="530"/>
  <c r="U6" i="530"/>
  <c r="T10" i="530"/>
  <c r="T9" i="530"/>
  <c r="T8" i="530"/>
  <c r="T7" i="530"/>
  <c r="T6" i="530"/>
  <c r="W10" i="530"/>
  <c r="W9" i="530"/>
  <c r="W8" i="530"/>
  <c r="W7" i="530"/>
  <c r="W6" i="530"/>
  <c r="V8" i="530"/>
  <c r="V7" i="530"/>
  <c r="V10" i="530"/>
  <c r="V6" i="530"/>
  <c r="V9" i="530"/>
  <c r="Q28" i="530"/>
  <c r="M28" i="530"/>
  <c r="O27" i="530"/>
  <c r="Q26" i="530"/>
  <c r="M26" i="530"/>
  <c r="O25" i="530"/>
  <c r="Q24" i="530"/>
  <c r="M24" i="530"/>
  <c r="O23" i="530"/>
  <c r="Q22" i="530"/>
  <c r="M22" i="530"/>
  <c r="O21" i="530"/>
  <c r="Q20" i="530"/>
  <c r="M20" i="530"/>
  <c r="P28" i="530"/>
  <c r="L28" i="530"/>
  <c r="N27" i="530"/>
  <c r="P26" i="530"/>
  <c r="L26" i="530"/>
  <c r="N25" i="530"/>
  <c r="P24" i="530"/>
  <c r="L24" i="530"/>
  <c r="N23" i="530"/>
  <c r="P22" i="530"/>
  <c r="L22" i="530"/>
  <c r="N21" i="530"/>
  <c r="P20" i="530"/>
  <c r="L20" i="530"/>
  <c r="O28" i="530"/>
  <c r="Q27" i="530"/>
  <c r="M27" i="530"/>
  <c r="O26" i="530"/>
  <c r="Q25" i="530"/>
  <c r="M25" i="530"/>
  <c r="O24" i="530"/>
  <c r="Q23" i="530"/>
  <c r="M23" i="530"/>
  <c r="O22" i="530"/>
  <c r="Q21" i="530"/>
  <c r="M21" i="530"/>
  <c r="O20" i="530"/>
  <c r="N28" i="530"/>
  <c r="P25" i="530"/>
  <c r="L23" i="530"/>
  <c r="N20" i="530"/>
  <c r="P27" i="530"/>
  <c r="L25" i="530"/>
  <c r="N22" i="530"/>
  <c r="L27" i="530"/>
  <c r="N24" i="530"/>
  <c r="P21" i="530"/>
  <c r="P23" i="530"/>
  <c r="L21" i="530"/>
  <c r="N26" i="530"/>
  <c r="G23" i="531"/>
  <c r="G22" i="531"/>
  <c r="G21" i="531"/>
  <c r="G20" i="531"/>
  <c r="G19" i="531"/>
  <c r="G18" i="531"/>
  <c r="G17" i="531"/>
  <c r="G16" i="531"/>
  <c r="G15" i="531"/>
  <c r="G14" i="531"/>
  <c r="G13" i="531"/>
  <c r="G12" i="531"/>
  <c r="G11" i="531"/>
  <c r="G10" i="531"/>
  <c r="G9" i="531"/>
  <c r="G8" i="531"/>
  <c r="G7" i="531"/>
  <c r="G6" i="531"/>
  <c r="G5" i="531"/>
  <c r="G4" i="531"/>
  <c r="G3" i="531"/>
  <c r="F23" i="531"/>
  <c r="F22" i="531"/>
  <c r="F21" i="531"/>
  <c r="F20" i="531"/>
  <c r="F19" i="531"/>
  <c r="F18" i="531"/>
  <c r="F17" i="531"/>
  <c r="F16" i="531"/>
  <c r="F15" i="531"/>
  <c r="F14" i="531"/>
  <c r="F13" i="531"/>
  <c r="F12" i="531"/>
  <c r="F11" i="531"/>
  <c r="F10" i="531"/>
  <c r="F9" i="531"/>
  <c r="F8" i="531"/>
  <c r="F7" i="531"/>
  <c r="F6" i="531"/>
  <c r="F5" i="531"/>
  <c r="F4" i="531"/>
  <c r="F3" i="531"/>
  <c r="I23" i="531"/>
  <c r="I22" i="531"/>
  <c r="I21" i="531"/>
  <c r="I20" i="531"/>
  <c r="I19" i="531"/>
  <c r="I18" i="531"/>
  <c r="I17" i="531"/>
  <c r="I16" i="531"/>
  <c r="I15" i="531"/>
  <c r="I14" i="531"/>
  <c r="I13" i="531"/>
  <c r="I12" i="531"/>
  <c r="I11" i="531"/>
  <c r="I10" i="531"/>
  <c r="I9" i="531"/>
  <c r="I8" i="531"/>
  <c r="I7" i="531"/>
  <c r="I6" i="531"/>
  <c r="I5" i="531"/>
  <c r="I4" i="531"/>
  <c r="I3" i="531"/>
  <c r="H20" i="531"/>
  <c r="H16" i="531"/>
  <c r="H12" i="531"/>
  <c r="H8" i="531"/>
  <c r="H4" i="531"/>
  <c r="H23" i="531"/>
  <c r="H19" i="531"/>
  <c r="H15" i="531"/>
  <c r="H11" i="531"/>
  <c r="H7" i="531"/>
  <c r="H3" i="531"/>
  <c r="H22" i="531"/>
  <c r="H18" i="531"/>
  <c r="H14" i="531"/>
  <c r="H10" i="531"/>
  <c r="H6" i="531"/>
  <c r="H21" i="531"/>
  <c r="H5" i="531"/>
  <c r="H17" i="531"/>
  <c r="H13" i="531"/>
  <c r="H9" i="531"/>
  <c r="AL23" i="531"/>
  <c r="AL22" i="531"/>
  <c r="AL21" i="531"/>
  <c r="AL20" i="531"/>
  <c r="AL19" i="531"/>
  <c r="AL18" i="531"/>
  <c r="AL17" i="531"/>
  <c r="AL16" i="531"/>
  <c r="AL15" i="531"/>
  <c r="AL14" i="531"/>
  <c r="AL13" i="531"/>
  <c r="AL12" i="531"/>
  <c r="AL11" i="531"/>
  <c r="AL10" i="531"/>
  <c r="AL9" i="531"/>
  <c r="AL8" i="531"/>
  <c r="AL7" i="531"/>
  <c r="AL6" i="531"/>
  <c r="AL5" i="531"/>
  <c r="AL4" i="531"/>
  <c r="AL3" i="531"/>
  <c r="AK23" i="531"/>
  <c r="AK22" i="531"/>
  <c r="AK21" i="531"/>
  <c r="AK20" i="531"/>
  <c r="AK19" i="531"/>
  <c r="AK18" i="531"/>
  <c r="AK17" i="531"/>
  <c r="AJ23" i="531"/>
  <c r="AJ22" i="531"/>
  <c r="AJ21" i="531"/>
  <c r="AJ20" i="531"/>
  <c r="AJ19" i="531"/>
  <c r="AJ18" i="531"/>
  <c r="AJ17" i="531"/>
  <c r="AJ16" i="531"/>
  <c r="AJ15" i="531"/>
  <c r="AJ14" i="531"/>
  <c r="AJ13" i="531"/>
  <c r="AJ12" i="531"/>
  <c r="AJ11" i="531"/>
  <c r="AJ10" i="531"/>
  <c r="AJ9" i="531"/>
  <c r="AJ8" i="531"/>
  <c r="AJ7" i="531"/>
  <c r="AJ6" i="531"/>
  <c r="AJ5" i="531"/>
  <c r="AJ4" i="531"/>
  <c r="AJ3" i="531"/>
  <c r="AM22" i="531"/>
  <c r="AM18" i="531"/>
  <c r="AM15" i="531"/>
  <c r="AM13" i="531"/>
  <c r="AM11" i="531"/>
  <c r="AM9" i="531"/>
  <c r="AM7" i="531"/>
  <c r="AM5" i="531"/>
  <c r="AM3" i="531"/>
  <c r="AM21" i="531"/>
  <c r="AM17" i="531"/>
  <c r="AK15" i="531"/>
  <c r="AK13" i="531"/>
  <c r="AK11" i="531"/>
  <c r="AK9" i="531"/>
  <c r="AK7" i="531"/>
  <c r="AK5" i="531"/>
  <c r="AK3" i="531"/>
  <c r="AM20" i="531"/>
  <c r="AM16" i="531"/>
  <c r="AM14" i="531"/>
  <c r="AM12" i="531"/>
  <c r="AM10" i="531"/>
  <c r="AM8" i="531"/>
  <c r="AM6" i="531"/>
  <c r="AM4" i="531"/>
  <c r="AK14" i="531"/>
  <c r="AK6" i="531"/>
  <c r="AM23" i="531"/>
  <c r="AK12" i="531"/>
  <c r="AK4" i="531"/>
  <c r="AM19" i="531"/>
  <c r="AK10" i="531"/>
  <c r="AK8" i="531"/>
  <c r="AK16" i="531"/>
  <c r="O10" i="530"/>
  <c r="P9" i="530"/>
  <c r="L9" i="530"/>
  <c r="M8" i="530"/>
  <c r="N7" i="530"/>
  <c r="O6" i="530"/>
  <c r="P5" i="530"/>
  <c r="L5" i="530"/>
  <c r="N10" i="530"/>
  <c r="O9" i="530"/>
  <c r="P8" i="530"/>
  <c r="L8" i="530"/>
  <c r="M7" i="530"/>
  <c r="N6" i="530"/>
  <c r="O5" i="530"/>
  <c r="M10" i="530"/>
  <c r="N9" i="530"/>
  <c r="O8" i="530"/>
  <c r="P7" i="530"/>
  <c r="L7" i="530"/>
  <c r="M6" i="530"/>
  <c r="N5" i="530"/>
  <c r="L10" i="530"/>
  <c r="P6" i="530"/>
  <c r="M9" i="530"/>
  <c r="L6" i="530"/>
  <c r="N8" i="530"/>
  <c r="M5" i="530"/>
  <c r="P10" i="530"/>
  <c r="O7" i="530"/>
  <c r="P16" i="530"/>
  <c r="L16" i="530"/>
  <c r="N15" i="530"/>
  <c r="P14" i="530"/>
  <c r="L14" i="530"/>
  <c r="O16" i="530"/>
  <c r="Q15" i="530"/>
  <c r="M15" i="530"/>
  <c r="O14" i="530"/>
  <c r="N16" i="530"/>
  <c r="P15" i="530"/>
  <c r="L15" i="530"/>
  <c r="N14" i="530"/>
  <c r="Q14" i="530"/>
  <c r="Q16" i="530"/>
  <c r="M14" i="530"/>
  <c r="M16" i="530"/>
  <c r="O15" i="530"/>
  <c r="N23" i="531"/>
  <c r="N22" i="531"/>
  <c r="N21" i="531"/>
  <c r="N20" i="531"/>
  <c r="N19" i="531"/>
  <c r="N18" i="531"/>
  <c r="N17" i="531"/>
  <c r="N16" i="531"/>
  <c r="N15" i="531"/>
  <c r="N14" i="531"/>
  <c r="L23" i="531"/>
  <c r="L22" i="531"/>
  <c r="L21" i="531"/>
  <c r="L20" i="531"/>
  <c r="L19" i="531"/>
  <c r="L18" i="531"/>
  <c r="L17" i="531"/>
  <c r="L16" i="531"/>
  <c r="L15" i="531"/>
  <c r="L14" i="531"/>
  <c r="K22" i="531"/>
  <c r="K20" i="531"/>
  <c r="K18" i="531"/>
  <c r="K16" i="531"/>
  <c r="K14" i="531"/>
  <c r="K13" i="531"/>
  <c r="K12" i="531"/>
  <c r="K11" i="531"/>
  <c r="K10" i="531"/>
  <c r="K9" i="531"/>
  <c r="K8" i="531"/>
  <c r="K7" i="531"/>
  <c r="K6" i="531"/>
  <c r="K5" i="531"/>
  <c r="K4" i="531"/>
  <c r="K3" i="531"/>
  <c r="M23" i="531"/>
  <c r="M21" i="531"/>
  <c r="M19" i="531"/>
  <c r="M17" i="531"/>
  <c r="M15" i="531"/>
  <c r="N13" i="531"/>
  <c r="N12" i="531"/>
  <c r="N11" i="531"/>
  <c r="N10" i="531"/>
  <c r="N9" i="531"/>
  <c r="N8" i="531"/>
  <c r="N7" i="531"/>
  <c r="N6" i="531"/>
  <c r="N5" i="531"/>
  <c r="N4" i="531"/>
  <c r="N3" i="531"/>
  <c r="K23" i="531"/>
  <c r="K21" i="531"/>
  <c r="K19" i="531"/>
  <c r="K17" i="531"/>
  <c r="K15" i="531"/>
  <c r="M13" i="531"/>
  <c r="M12" i="531"/>
  <c r="M11" i="531"/>
  <c r="M10" i="531"/>
  <c r="M9" i="531"/>
  <c r="M8" i="531"/>
  <c r="M7" i="531"/>
  <c r="M6" i="531"/>
  <c r="M5" i="531"/>
  <c r="M4" i="531"/>
  <c r="M3" i="531"/>
  <c r="M16" i="531"/>
  <c r="L11" i="531"/>
  <c r="L7" i="531"/>
  <c r="L3" i="531"/>
  <c r="M22" i="531"/>
  <c r="M14" i="531"/>
  <c r="L10" i="531"/>
  <c r="L6" i="531"/>
  <c r="M20" i="531"/>
  <c r="L13" i="531"/>
  <c r="L9" i="531"/>
  <c r="L5" i="531"/>
  <c r="M18" i="531"/>
  <c r="L12" i="531"/>
  <c r="L8" i="531"/>
  <c r="L4" i="531"/>
  <c r="E13" i="527"/>
  <c r="S29" i="523"/>
  <c r="S28" i="523"/>
  <c r="S27" i="523"/>
  <c r="S26" i="523"/>
  <c r="S25" i="523"/>
  <c r="Q29" i="523"/>
  <c r="Q28" i="523"/>
  <c r="Q27" i="523"/>
  <c r="Q26" i="523"/>
  <c r="Q25" i="523"/>
  <c r="R28" i="523"/>
  <c r="R26" i="523"/>
  <c r="P28" i="523"/>
  <c r="P26" i="523"/>
  <c r="R29" i="523"/>
  <c r="R27" i="523"/>
  <c r="R25" i="523"/>
  <c r="P25" i="523"/>
  <c r="P29" i="523"/>
  <c r="P27" i="523"/>
  <c r="AM29" i="523"/>
  <c r="AM28" i="523"/>
  <c r="AM27" i="523"/>
  <c r="AM26" i="523"/>
  <c r="AM25" i="523"/>
  <c r="AL29" i="523"/>
  <c r="AL28" i="523"/>
  <c r="AL27" i="523"/>
  <c r="AL26" i="523"/>
  <c r="AL25" i="523"/>
  <c r="AK29" i="523"/>
  <c r="AK28" i="523"/>
  <c r="AK27" i="523"/>
  <c r="AK26" i="523"/>
  <c r="AK25" i="523"/>
  <c r="AJ27" i="523"/>
  <c r="AJ26" i="523"/>
  <c r="AJ29" i="523"/>
  <c r="AJ25" i="523"/>
  <c r="AJ28" i="523"/>
  <c r="R23" i="531"/>
  <c r="R22" i="531"/>
  <c r="R21" i="531"/>
  <c r="R20" i="531"/>
  <c r="R19" i="531"/>
  <c r="R18" i="531"/>
  <c r="R17" i="531"/>
  <c r="R16" i="531"/>
  <c r="R15" i="531"/>
  <c r="R14" i="531"/>
  <c r="R13" i="531"/>
  <c r="R12" i="531"/>
  <c r="R11" i="531"/>
  <c r="R10" i="531"/>
  <c r="R9" i="531"/>
  <c r="R8" i="531"/>
  <c r="R7" i="531"/>
  <c r="R6" i="531"/>
  <c r="R5" i="531"/>
  <c r="R4" i="531"/>
  <c r="R3" i="531"/>
  <c r="P23" i="531"/>
  <c r="P22" i="531"/>
  <c r="P21" i="531"/>
  <c r="P20" i="531"/>
  <c r="P19" i="531"/>
  <c r="P18" i="531"/>
  <c r="P17" i="531"/>
  <c r="P16" i="531"/>
  <c r="P15" i="531"/>
  <c r="P14" i="531"/>
  <c r="P13" i="531"/>
  <c r="P12" i="531"/>
  <c r="P11" i="531"/>
  <c r="P10" i="531"/>
  <c r="P9" i="531"/>
  <c r="P8" i="531"/>
  <c r="P7" i="531"/>
  <c r="P6" i="531"/>
  <c r="P5" i="531"/>
  <c r="P4" i="531"/>
  <c r="P3" i="531"/>
  <c r="S22" i="531"/>
  <c r="S20" i="531"/>
  <c r="S18" i="531"/>
  <c r="S16" i="531"/>
  <c r="S14" i="531"/>
  <c r="S12" i="531"/>
  <c r="S10" i="531"/>
  <c r="S8" i="531"/>
  <c r="S6" i="531"/>
  <c r="S4" i="531"/>
  <c r="Q22" i="531"/>
  <c r="Q20" i="531"/>
  <c r="Q18" i="531"/>
  <c r="Q16" i="531"/>
  <c r="Q14" i="531"/>
  <c r="Q12" i="531"/>
  <c r="Q10" i="531"/>
  <c r="Q8" i="531"/>
  <c r="Q6" i="531"/>
  <c r="Q4" i="531"/>
  <c r="S23" i="531"/>
  <c r="S21" i="531"/>
  <c r="S19" i="531"/>
  <c r="S17" i="531"/>
  <c r="S15" i="531"/>
  <c r="S13" i="531"/>
  <c r="S11" i="531"/>
  <c r="S9" i="531"/>
  <c r="S7" i="531"/>
  <c r="S5" i="531"/>
  <c r="S3" i="531"/>
  <c r="Q19" i="531"/>
  <c r="Q11" i="531"/>
  <c r="Q3" i="531"/>
  <c r="Q17" i="531"/>
  <c r="Q9" i="531"/>
  <c r="Q23" i="531"/>
  <c r="Q15" i="531"/>
  <c r="Q7" i="531"/>
  <c r="Q21" i="531"/>
  <c r="Q13" i="531"/>
  <c r="Q5" i="531"/>
  <c r="V23" i="531"/>
  <c r="V22" i="531"/>
  <c r="V21" i="531"/>
  <c r="V20" i="531"/>
  <c r="V19" i="531"/>
  <c r="V18" i="531"/>
  <c r="V17" i="531"/>
  <c r="V16" i="531"/>
  <c r="V15" i="531"/>
  <c r="V14" i="531"/>
  <c r="V13" i="531"/>
  <c r="V12" i="531"/>
  <c r="V11" i="531"/>
  <c r="V10" i="531"/>
  <c r="V9" i="531"/>
  <c r="V8" i="531"/>
  <c r="V7" i="531"/>
  <c r="V6" i="531"/>
  <c r="V5" i="531"/>
  <c r="V4" i="531"/>
  <c r="V3" i="531"/>
  <c r="X23" i="531"/>
  <c r="X22" i="531"/>
  <c r="X21" i="531"/>
  <c r="X20" i="531"/>
  <c r="X19" i="531"/>
  <c r="X18" i="531"/>
  <c r="X17" i="531"/>
  <c r="X16" i="531"/>
  <c r="X15" i="531"/>
  <c r="X14" i="531"/>
  <c r="X13" i="531"/>
  <c r="X12" i="531"/>
  <c r="X11" i="531"/>
  <c r="X10" i="531"/>
  <c r="X9" i="531"/>
  <c r="X8" i="531"/>
  <c r="X7" i="531"/>
  <c r="X6" i="531"/>
  <c r="X5" i="531"/>
  <c r="X4" i="531"/>
  <c r="X3" i="531"/>
  <c r="W23" i="531"/>
  <c r="W21" i="531"/>
  <c r="W19" i="531"/>
  <c r="W17" i="531"/>
  <c r="W15" i="531"/>
  <c r="W13" i="531"/>
  <c r="W11" i="531"/>
  <c r="W9" i="531"/>
  <c r="W7" i="531"/>
  <c r="W5" i="531"/>
  <c r="W3" i="531"/>
  <c r="U23" i="531"/>
  <c r="U21" i="531"/>
  <c r="U19" i="531"/>
  <c r="U17" i="531"/>
  <c r="U15" i="531"/>
  <c r="U13" i="531"/>
  <c r="U11" i="531"/>
  <c r="U9" i="531"/>
  <c r="U7" i="531"/>
  <c r="U5" i="531"/>
  <c r="U3" i="531"/>
  <c r="W22" i="531"/>
  <c r="W20" i="531"/>
  <c r="W18" i="531"/>
  <c r="W16" i="531"/>
  <c r="W14" i="531"/>
  <c r="W12" i="531"/>
  <c r="W10" i="531"/>
  <c r="W8" i="531"/>
  <c r="W6" i="531"/>
  <c r="W4" i="531"/>
  <c r="U22" i="531"/>
  <c r="U14" i="531"/>
  <c r="U6" i="531"/>
  <c r="U20" i="531"/>
  <c r="U12" i="531"/>
  <c r="U4" i="531"/>
  <c r="U18" i="531"/>
  <c r="U10" i="531"/>
  <c r="U8" i="531"/>
  <c r="U16" i="531"/>
  <c r="AP23" i="531"/>
  <c r="AP22" i="531"/>
  <c r="AP21" i="531"/>
  <c r="AP20" i="531"/>
  <c r="AP19" i="531"/>
  <c r="AP18" i="531"/>
  <c r="AP17" i="531"/>
  <c r="AP16" i="531"/>
  <c r="AP15" i="531"/>
  <c r="AP14" i="531"/>
  <c r="AP13" i="531"/>
  <c r="AP12" i="531"/>
  <c r="AP11" i="531"/>
  <c r="AP10" i="531"/>
  <c r="AP9" i="531"/>
  <c r="AP8" i="531"/>
  <c r="AP7" i="531"/>
  <c r="AP6" i="531"/>
  <c r="AP5" i="531"/>
  <c r="AP4" i="531"/>
  <c r="AP3" i="531"/>
  <c r="AO23" i="531"/>
  <c r="AO22" i="531"/>
  <c r="AO21" i="531"/>
  <c r="AO20" i="531"/>
  <c r="AO19" i="531"/>
  <c r="AO18" i="531"/>
  <c r="AO17" i="531"/>
  <c r="AO16" i="531"/>
  <c r="AO15" i="531"/>
  <c r="AO14" i="531"/>
  <c r="AO13" i="531"/>
  <c r="AO12" i="531"/>
  <c r="AO11" i="531"/>
  <c r="AO10" i="531"/>
  <c r="AO9" i="531"/>
  <c r="AO8" i="531"/>
  <c r="AO7" i="531"/>
  <c r="AO6" i="531"/>
  <c r="AO5" i="531"/>
  <c r="AO4" i="531"/>
  <c r="AO3" i="531"/>
  <c r="AR23" i="531"/>
  <c r="AR22" i="531"/>
  <c r="AR21" i="531"/>
  <c r="AR20" i="531"/>
  <c r="AR19" i="531"/>
  <c r="AR18" i="531"/>
  <c r="AR17" i="531"/>
  <c r="AR16" i="531"/>
  <c r="AR15" i="531"/>
  <c r="AR14" i="531"/>
  <c r="AR13" i="531"/>
  <c r="AR12" i="531"/>
  <c r="AR11" i="531"/>
  <c r="AR10" i="531"/>
  <c r="AR9" i="531"/>
  <c r="AR8" i="531"/>
  <c r="AR7" i="531"/>
  <c r="AR6" i="531"/>
  <c r="AR5" i="531"/>
  <c r="AR4" i="531"/>
  <c r="AR3" i="531"/>
  <c r="AQ21" i="531"/>
  <c r="AQ17" i="531"/>
  <c r="AQ13" i="531"/>
  <c r="AQ9" i="531"/>
  <c r="AQ5" i="531"/>
  <c r="AQ20" i="531"/>
  <c r="AQ16" i="531"/>
  <c r="AQ12" i="531"/>
  <c r="AQ8" i="531"/>
  <c r="AQ4" i="531"/>
  <c r="AQ23" i="531"/>
  <c r="AQ19" i="531"/>
  <c r="AQ15" i="531"/>
  <c r="AQ11" i="531"/>
  <c r="AQ7" i="531"/>
  <c r="AQ3" i="531"/>
  <c r="AQ22" i="531"/>
  <c r="AQ6" i="531"/>
  <c r="AQ18" i="531"/>
  <c r="AQ14" i="531"/>
  <c r="AQ10" i="531"/>
  <c r="A29" i="531"/>
  <c r="A28" i="531"/>
  <c r="A27" i="531"/>
  <c r="A26" i="531"/>
  <c r="A25" i="531"/>
  <c r="C29" i="531"/>
  <c r="C28" i="531"/>
  <c r="C27" i="531"/>
  <c r="C26" i="531"/>
  <c r="C25" i="531"/>
  <c r="D29" i="531"/>
  <c r="D27" i="531"/>
  <c r="D25" i="531"/>
  <c r="B29" i="531"/>
  <c r="B27" i="531"/>
  <c r="B25" i="531"/>
  <c r="D28" i="531"/>
  <c r="D26" i="531"/>
  <c r="B26" i="531"/>
  <c r="B28" i="531"/>
  <c r="AG29" i="531"/>
  <c r="AG28" i="531"/>
  <c r="AG27" i="531"/>
  <c r="AG26" i="531"/>
  <c r="AG25" i="531"/>
  <c r="AF29" i="531"/>
  <c r="AF28" i="531"/>
  <c r="AF27" i="531"/>
  <c r="AF26" i="531"/>
  <c r="AF25" i="531"/>
  <c r="AE29" i="531"/>
  <c r="AE28" i="531"/>
  <c r="AE27" i="531"/>
  <c r="AE26" i="531"/>
  <c r="AE25" i="531"/>
  <c r="AH26" i="531"/>
  <c r="AH29" i="531"/>
  <c r="AH25" i="531"/>
  <c r="AH28" i="531"/>
  <c r="AH27" i="531"/>
  <c r="E20" i="518"/>
  <c r="AU23" i="531"/>
  <c r="AU22" i="531"/>
  <c r="AU21" i="531"/>
  <c r="AU20" i="531"/>
  <c r="AU19" i="531"/>
  <c r="AU18" i="531"/>
  <c r="AU17" i="531"/>
  <c r="AU16" i="531"/>
  <c r="AU15" i="531"/>
  <c r="AU14" i="531"/>
  <c r="AU13" i="531"/>
  <c r="AU12" i="531"/>
  <c r="AU11" i="531"/>
  <c r="AU10" i="531"/>
  <c r="AU9" i="531"/>
  <c r="AU8" i="531"/>
  <c r="AU7" i="531"/>
  <c r="AW23" i="531"/>
  <c r="AW22" i="531"/>
  <c r="AW21" i="531"/>
  <c r="AW20" i="531"/>
  <c r="AW19" i="531"/>
  <c r="AW18" i="531"/>
  <c r="AW17" i="531"/>
  <c r="AW16" i="531"/>
  <c r="AW15" i="531"/>
  <c r="AW14" i="531"/>
  <c r="AW13" i="531"/>
  <c r="AW12" i="531"/>
  <c r="AW11" i="531"/>
  <c r="AW10" i="531"/>
  <c r="AW9" i="531"/>
  <c r="AW8" i="531"/>
  <c r="AW7" i="531"/>
  <c r="AT23" i="531"/>
  <c r="AT21" i="531"/>
  <c r="AT19" i="531"/>
  <c r="AT17" i="531"/>
  <c r="AT15" i="531"/>
  <c r="AT13" i="531"/>
  <c r="AT11" i="531"/>
  <c r="AT9" i="531"/>
  <c r="AT7" i="531"/>
  <c r="AT6" i="531"/>
  <c r="AT5" i="531"/>
  <c r="AT4" i="531"/>
  <c r="AT3" i="531"/>
  <c r="AV22" i="531"/>
  <c r="AV20" i="531"/>
  <c r="AV18" i="531"/>
  <c r="AV16" i="531"/>
  <c r="AV14" i="531"/>
  <c r="AV12" i="531"/>
  <c r="AV10" i="531"/>
  <c r="AV8" i="531"/>
  <c r="AW6" i="531"/>
  <c r="AW5" i="531"/>
  <c r="AW4" i="531"/>
  <c r="AW3" i="531"/>
  <c r="AT22" i="531"/>
  <c r="AT20" i="531"/>
  <c r="AT18" i="531"/>
  <c r="AT16" i="531"/>
  <c r="AT14" i="531"/>
  <c r="AT12" i="531"/>
  <c r="AT10" i="531"/>
  <c r="AT8" i="531"/>
  <c r="AV6" i="531"/>
  <c r="AV5" i="531"/>
  <c r="AV4" i="531"/>
  <c r="AV3" i="531"/>
  <c r="AV17" i="531"/>
  <c r="AV9" i="531"/>
  <c r="AU4" i="531"/>
  <c r="AV23" i="531"/>
  <c r="AV15" i="531"/>
  <c r="AV7" i="531"/>
  <c r="AU3" i="531"/>
  <c r="AV21" i="531"/>
  <c r="AV13" i="531"/>
  <c r="AU6" i="531"/>
  <c r="AV19" i="531"/>
  <c r="AV11" i="531"/>
  <c r="AU5" i="531"/>
  <c r="M29" i="531"/>
  <c r="M28" i="531"/>
  <c r="M27" i="531"/>
  <c r="M26" i="531"/>
  <c r="M25" i="531"/>
  <c r="K29" i="531"/>
  <c r="K28" i="531"/>
  <c r="K27" i="531"/>
  <c r="K26" i="531"/>
  <c r="K25" i="531"/>
  <c r="L29" i="531"/>
  <c r="L27" i="531"/>
  <c r="L25" i="531"/>
  <c r="N28" i="531"/>
  <c r="N26" i="531"/>
  <c r="L28" i="531"/>
  <c r="L26" i="531"/>
  <c r="N29" i="531"/>
  <c r="N27" i="531"/>
  <c r="N25" i="531"/>
  <c r="E19" i="517"/>
  <c r="AH23" i="531"/>
  <c r="AH22" i="531"/>
  <c r="AH21" i="531"/>
  <c r="AH20" i="531"/>
  <c r="AH19" i="531"/>
  <c r="AH18" i="531"/>
  <c r="AH17" i="531"/>
  <c r="AH16" i="531"/>
  <c r="AH15" i="531"/>
  <c r="AH14" i="531"/>
  <c r="AH13" i="531"/>
  <c r="AH12" i="531"/>
  <c r="AH11" i="531"/>
  <c r="AH10" i="531"/>
  <c r="AH9" i="531"/>
  <c r="AH8" i="531"/>
  <c r="AH7" i="531"/>
  <c r="AH6" i="531"/>
  <c r="AH5" i="531"/>
  <c r="AH4" i="531"/>
  <c r="AH3" i="531"/>
  <c r="AF23" i="531"/>
  <c r="AF22" i="531"/>
  <c r="AF21" i="531"/>
  <c r="AF20" i="531"/>
  <c r="AF19" i="531"/>
  <c r="AF18" i="531"/>
  <c r="AF17" i="531"/>
  <c r="AF16" i="531"/>
  <c r="AF15" i="531"/>
  <c r="AF14" i="531"/>
  <c r="AF13" i="531"/>
  <c r="AF12" i="531"/>
  <c r="AF11" i="531"/>
  <c r="AF10" i="531"/>
  <c r="AF9" i="531"/>
  <c r="AF8" i="531"/>
  <c r="AF7" i="531"/>
  <c r="AF6" i="531"/>
  <c r="AF5" i="531"/>
  <c r="AF4" i="531"/>
  <c r="AF3" i="531"/>
  <c r="AE23" i="531"/>
  <c r="AE21" i="531"/>
  <c r="AE19" i="531"/>
  <c r="AE17" i="531"/>
  <c r="AE15" i="531"/>
  <c r="AE13" i="531"/>
  <c r="AE11" i="531"/>
  <c r="AE9" i="531"/>
  <c r="AE7" i="531"/>
  <c r="AE5" i="531"/>
  <c r="AE3" i="531"/>
  <c r="AG22" i="531"/>
  <c r="AG20" i="531"/>
  <c r="AG18" i="531"/>
  <c r="AG16" i="531"/>
  <c r="AG14" i="531"/>
  <c r="AG12" i="531"/>
  <c r="AG10" i="531"/>
  <c r="AG8" i="531"/>
  <c r="AG6" i="531"/>
  <c r="AG4" i="531"/>
  <c r="AE22" i="531"/>
  <c r="AE20" i="531"/>
  <c r="AE18" i="531"/>
  <c r="AE16" i="531"/>
  <c r="AE14" i="531"/>
  <c r="AE12" i="531"/>
  <c r="AE10" i="531"/>
  <c r="AE8" i="531"/>
  <c r="AE6" i="531"/>
  <c r="AE4" i="531"/>
  <c r="AG19" i="531"/>
  <c r="AG11" i="531"/>
  <c r="AG3" i="531"/>
  <c r="AG17" i="531"/>
  <c r="AG9" i="531"/>
  <c r="AG23" i="531"/>
  <c r="AG15" i="531"/>
  <c r="AG7" i="531"/>
  <c r="AG21" i="531"/>
  <c r="AG13" i="531"/>
  <c r="AG5" i="531"/>
  <c r="E5" i="527"/>
  <c r="P8" i="529"/>
  <c r="Q29" i="531"/>
  <c r="Q28" i="531"/>
  <c r="Q27" i="531"/>
  <c r="Q26" i="531"/>
  <c r="Q25" i="531"/>
  <c r="P29" i="531"/>
  <c r="P28" i="531"/>
  <c r="P27" i="531"/>
  <c r="P26" i="531"/>
  <c r="S29" i="531"/>
  <c r="S28" i="531"/>
  <c r="S27" i="531"/>
  <c r="S26" i="531"/>
  <c r="S25" i="531"/>
  <c r="R26" i="531"/>
  <c r="R29" i="531"/>
  <c r="R25" i="531"/>
  <c r="R28" i="531"/>
  <c r="P25" i="531"/>
  <c r="R27" i="531"/>
  <c r="AK29" i="531"/>
  <c r="AK28" i="531"/>
  <c r="AK27" i="531"/>
  <c r="AK26" i="531"/>
  <c r="AK25" i="531"/>
  <c r="AJ29" i="531"/>
  <c r="AJ28" i="531"/>
  <c r="AJ27" i="531"/>
  <c r="AJ26" i="531"/>
  <c r="AJ25" i="531"/>
  <c r="AM29" i="531"/>
  <c r="AM28" i="531"/>
  <c r="AM27" i="531"/>
  <c r="AM26" i="531"/>
  <c r="AM25" i="531"/>
  <c r="AL29" i="531"/>
  <c r="AL25" i="531"/>
  <c r="AL28" i="531"/>
  <c r="AL27" i="531"/>
  <c r="AL26" i="531"/>
  <c r="E10" i="516"/>
  <c r="E7" i="527"/>
  <c r="U29" i="531"/>
  <c r="U28" i="531"/>
  <c r="U27" i="531"/>
  <c r="U26" i="531"/>
  <c r="U25" i="531"/>
  <c r="X29" i="531"/>
  <c r="X28" i="531"/>
  <c r="X27" i="531"/>
  <c r="X26" i="531"/>
  <c r="X25" i="531"/>
  <c r="W29" i="531"/>
  <c r="W28" i="531"/>
  <c r="W27" i="531"/>
  <c r="W26" i="531"/>
  <c r="W25" i="531"/>
  <c r="V29" i="531"/>
  <c r="V25" i="531"/>
  <c r="V28" i="531"/>
  <c r="V27" i="531"/>
  <c r="V26" i="531"/>
  <c r="AQ29" i="531"/>
  <c r="AO29" i="531"/>
  <c r="AO28" i="531"/>
  <c r="AO27" i="531"/>
  <c r="AO26" i="531"/>
  <c r="AO25" i="531"/>
  <c r="AR28" i="531"/>
  <c r="AR27" i="531"/>
  <c r="AR26" i="531"/>
  <c r="AR25" i="531"/>
  <c r="AR29" i="531"/>
  <c r="AQ28" i="531"/>
  <c r="AQ27" i="531"/>
  <c r="AQ26" i="531"/>
  <c r="AQ25" i="531"/>
  <c r="AP28" i="531"/>
  <c r="AP27" i="531"/>
  <c r="AP26" i="531"/>
  <c r="AP29" i="531"/>
  <c r="AP25" i="531"/>
  <c r="J16" i="515"/>
  <c r="J15" i="515"/>
  <c r="J14" i="515"/>
  <c r="J13" i="515"/>
  <c r="I16" i="515"/>
  <c r="I15" i="515"/>
  <c r="I14" i="515"/>
  <c r="I13" i="515"/>
  <c r="H16" i="515"/>
  <c r="H15" i="515"/>
  <c r="H14" i="515"/>
  <c r="H13" i="515"/>
  <c r="K13" i="515"/>
  <c r="K16" i="515"/>
  <c r="K15" i="515"/>
  <c r="K14" i="515"/>
  <c r="E4" i="516"/>
  <c r="E12" i="516"/>
  <c r="E15" i="517"/>
  <c r="E21" i="517"/>
  <c r="E9" i="527"/>
  <c r="I29" i="531"/>
  <c r="I28" i="531"/>
  <c r="I27" i="531"/>
  <c r="I26" i="531"/>
  <c r="I25" i="531"/>
  <c r="G29" i="531"/>
  <c r="G28" i="531"/>
  <c r="G27" i="531"/>
  <c r="G26" i="531"/>
  <c r="G25" i="531"/>
  <c r="H28" i="531"/>
  <c r="H26" i="531"/>
  <c r="F28" i="531"/>
  <c r="F26" i="531"/>
  <c r="H29" i="531"/>
  <c r="H27" i="531"/>
  <c r="H25" i="531"/>
  <c r="F29" i="531"/>
  <c r="F27" i="531"/>
  <c r="F25" i="531"/>
  <c r="AC29" i="531"/>
  <c r="AC28" i="531"/>
  <c r="AC27" i="531"/>
  <c r="AC26" i="531"/>
  <c r="AC25" i="531"/>
  <c r="AB29" i="531"/>
  <c r="AB28" i="531"/>
  <c r="AB27" i="531"/>
  <c r="AB26" i="531"/>
  <c r="AB25" i="531"/>
  <c r="AA29" i="531"/>
  <c r="AA28" i="531"/>
  <c r="AA27" i="531"/>
  <c r="AA26" i="531"/>
  <c r="AA25" i="531"/>
  <c r="Z28" i="531"/>
  <c r="Z27" i="531"/>
  <c r="Z26" i="531"/>
  <c r="Z29" i="531"/>
  <c r="Z25" i="531"/>
  <c r="E6" i="516"/>
  <c r="I16" i="516"/>
  <c r="I15" i="516"/>
  <c r="I14" i="516"/>
  <c r="I13" i="516"/>
  <c r="H16" i="516"/>
  <c r="H15" i="516"/>
  <c r="H14" i="516"/>
  <c r="H13" i="516"/>
  <c r="G16" i="516"/>
  <c r="G15" i="516"/>
  <c r="G14" i="516"/>
  <c r="G13" i="516"/>
  <c r="J16" i="516"/>
  <c r="J15" i="516"/>
  <c r="J14" i="516"/>
  <c r="J13" i="516"/>
  <c r="E17" i="517"/>
  <c r="E23" i="517"/>
  <c r="E11" i="527"/>
  <c r="AU29" i="531"/>
  <c r="AU28" i="531"/>
  <c r="AU27" i="531"/>
  <c r="AU26" i="531"/>
  <c r="AU25" i="531"/>
  <c r="AW29" i="531"/>
  <c r="AW28" i="531"/>
  <c r="AW27" i="531"/>
  <c r="AW26" i="531"/>
  <c r="AW25" i="531"/>
  <c r="AV29" i="531"/>
  <c r="AV27" i="531"/>
  <c r="AV25" i="531"/>
  <c r="AT29" i="531"/>
  <c r="AT27" i="531"/>
  <c r="AT25" i="531"/>
  <c r="AV28" i="531"/>
  <c r="AV26" i="531"/>
  <c r="AT28" i="531"/>
  <c r="AT26" i="531"/>
  <c r="K25" i="515"/>
  <c r="G25" i="515"/>
  <c r="H24" i="515"/>
  <c r="I23" i="515"/>
  <c r="J22" i="515"/>
  <c r="K21" i="515"/>
  <c r="G21" i="515"/>
  <c r="H20" i="515"/>
  <c r="J25" i="515"/>
  <c r="K24" i="515"/>
  <c r="G24" i="515"/>
  <c r="H23" i="515"/>
  <c r="I22" i="515"/>
  <c r="J21" i="515"/>
  <c r="K20" i="515"/>
  <c r="G20" i="515"/>
  <c r="I25" i="515"/>
  <c r="J24" i="515"/>
  <c r="K23" i="515"/>
  <c r="G23" i="515"/>
  <c r="H22" i="515"/>
  <c r="I21" i="515"/>
  <c r="J20" i="515"/>
  <c r="J23" i="515"/>
  <c r="I20" i="515"/>
  <c r="K22" i="515"/>
  <c r="H25" i="515"/>
  <c r="G22" i="515"/>
  <c r="I24" i="515"/>
  <c r="H21" i="515"/>
  <c r="E14" i="516"/>
  <c r="E16" i="516"/>
  <c r="E18" i="516"/>
  <c r="E20" i="516"/>
  <c r="E22" i="516"/>
  <c r="E4" i="517"/>
  <c r="E6" i="517"/>
  <c r="E8" i="517"/>
  <c r="E10" i="517"/>
  <c r="E12" i="517"/>
  <c r="H16" i="517"/>
  <c r="H15" i="517"/>
  <c r="H14" i="517"/>
  <c r="H13" i="517"/>
  <c r="G16" i="517"/>
  <c r="G15" i="517"/>
  <c r="G14" i="517"/>
  <c r="G13" i="517"/>
  <c r="J16" i="517"/>
  <c r="J15" i="517"/>
  <c r="J14" i="517"/>
  <c r="J13" i="517"/>
  <c r="I14" i="517"/>
  <c r="I13" i="517"/>
  <c r="I16" i="517"/>
  <c r="I15" i="517"/>
  <c r="E15" i="527"/>
  <c r="E17" i="527"/>
  <c r="E19" i="527"/>
  <c r="P10" i="529"/>
  <c r="E14" i="518"/>
  <c r="E22" i="518"/>
  <c r="K8" i="515"/>
  <c r="G8" i="515"/>
  <c r="H7" i="515"/>
  <c r="I6" i="515"/>
  <c r="J5" i="515"/>
  <c r="K4" i="515"/>
  <c r="G4" i="515"/>
  <c r="J8" i="515"/>
  <c r="K7" i="515"/>
  <c r="G7" i="515"/>
  <c r="H6" i="515"/>
  <c r="I5" i="515"/>
  <c r="J4" i="515"/>
  <c r="I8" i="515"/>
  <c r="J7" i="515"/>
  <c r="K6" i="515"/>
  <c r="G6" i="515"/>
  <c r="H5" i="515"/>
  <c r="I4" i="515"/>
  <c r="J6" i="515"/>
  <c r="K5" i="515"/>
  <c r="H8" i="515"/>
  <c r="G5" i="515"/>
  <c r="H4" i="515"/>
  <c r="I7" i="515"/>
  <c r="E5" i="516"/>
  <c r="E7" i="516"/>
  <c r="E9" i="516"/>
  <c r="E11" i="516"/>
  <c r="E13" i="516"/>
  <c r="E14" i="517"/>
  <c r="E16" i="517"/>
  <c r="E18" i="517"/>
  <c r="E20" i="517"/>
  <c r="E22" i="517"/>
  <c r="E4" i="527"/>
  <c r="E6" i="527"/>
  <c r="E8" i="527"/>
  <c r="E10" i="527"/>
  <c r="E12" i="527"/>
  <c r="G16" i="527"/>
  <c r="G15" i="527"/>
  <c r="G14" i="527"/>
  <c r="G13" i="527"/>
  <c r="J16" i="527"/>
  <c r="J15" i="527"/>
  <c r="J14" i="527"/>
  <c r="J13" i="527"/>
  <c r="I16" i="527"/>
  <c r="I15" i="527"/>
  <c r="I14" i="527"/>
  <c r="I13" i="527"/>
  <c r="H15" i="527"/>
  <c r="H14" i="527"/>
  <c r="H13" i="527"/>
  <c r="H16" i="527"/>
  <c r="P12" i="529"/>
  <c r="E16" i="518"/>
  <c r="H18" i="528"/>
  <c r="I17" i="528"/>
  <c r="J16" i="528"/>
  <c r="F16" i="528"/>
  <c r="G15" i="528"/>
  <c r="H14" i="528"/>
  <c r="G18" i="528"/>
  <c r="H17" i="528"/>
  <c r="I16" i="528"/>
  <c r="J15" i="528"/>
  <c r="F15" i="528"/>
  <c r="G14" i="528"/>
  <c r="J18" i="528"/>
  <c r="F18" i="528"/>
  <c r="G17" i="528"/>
  <c r="H16" i="528"/>
  <c r="I15" i="528"/>
  <c r="J14" i="528"/>
  <c r="F14" i="528"/>
  <c r="J17" i="528"/>
  <c r="I14" i="528"/>
  <c r="F17" i="528"/>
  <c r="G16" i="528"/>
  <c r="I18" i="528"/>
  <c r="H15" i="528"/>
  <c r="E15" i="516"/>
  <c r="E17" i="516"/>
  <c r="E19" i="516"/>
  <c r="E21" i="516"/>
  <c r="E23" i="516"/>
  <c r="E5" i="517"/>
  <c r="E7" i="517"/>
  <c r="E9" i="517"/>
  <c r="E11" i="517"/>
  <c r="E13" i="517"/>
  <c r="E14" i="527"/>
  <c r="E16" i="527"/>
  <c r="E18" i="527"/>
  <c r="E20" i="527"/>
  <c r="P6" i="529"/>
  <c r="T16" i="529"/>
  <c r="T15" i="529"/>
  <c r="T14" i="529"/>
  <c r="T13" i="529"/>
  <c r="S16" i="529"/>
  <c r="S15" i="529"/>
  <c r="S14" i="529"/>
  <c r="S13" i="529"/>
  <c r="R16" i="529"/>
  <c r="R15" i="529"/>
  <c r="R14" i="529"/>
  <c r="R13" i="529"/>
  <c r="U16" i="529"/>
  <c r="U15" i="529"/>
  <c r="U14" i="529"/>
  <c r="U13" i="529"/>
  <c r="E18" i="518"/>
  <c r="I31" i="522"/>
  <c r="I30" i="522"/>
  <c r="I29" i="522"/>
  <c r="I28" i="522"/>
  <c r="H31" i="522"/>
  <c r="H30" i="522"/>
  <c r="H29" i="522"/>
  <c r="H28" i="522"/>
  <c r="G31" i="522"/>
  <c r="G30" i="522"/>
  <c r="G29" i="522"/>
  <c r="G28" i="522"/>
  <c r="J31" i="522"/>
  <c r="J30" i="522"/>
  <c r="J29" i="522"/>
  <c r="J28" i="522"/>
  <c r="E22" i="527"/>
  <c r="P27" i="527"/>
  <c r="O27" i="527"/>
  <c r="Q27" i="527"/>
  <c r="P4" i="529"/>
  <c r="G18" i="529"/>
  <c r="H17" i="529"/>
  <c r="I16" i="529"/>
  <c r="J15" i="529"/>
  <c r="F15" i="529"/>
  <c r="G14" i="529"/>
  <c r="J18" i="529"/>
  <c r="F18" i="529"/>
  <c r="G17" i="529"/>
  <c r="H16" i="529"/>
  <c r="I15" i="529"/>
  <c r="J14" i="529"/>
  <c r="F14" i="529"/>
  <c r="I18" i="529"/>
  <c r="J17" i="529"/>
  <c r="F17" i="529"/>
  <c r="G16" i="529"/>
  <c r="H15" i="529"/>
  <c r="I14" i="529"/>
  <c r="J16" i="529"/>
  <c r="F16" i="529"/>
  <c r="H18" i="529"/>
  <c r="G15" i="529"/>
  <c r="I17" i="529"/>
  <c r="H14" i="529"/>
  <c r="P15" i="529"/>
  <c r="P17" i="529"/>
  <c r="P19" i="529"/>
  <c r="P21" i="529"/>
  <c r="P23" i="529"/>
  <c r="E5" i="518"/>
  <c r="E7" i="518"/>
  <c r="E9" i="518"/>
  <c r="E11" i="518"/>
  <c r="E13" i="518"/>
  <c r="O31" i="522"/>
  <c r="O30" i="522"/>
  <c r="O29" i="522"/>
  <c r="O28" i="522"/>
  <c r="N31" i="522"/>
  <c r="N30" i="522"/>
  <c r="N29" i="522"/>
  <c r="N28" i="522"/>
  <c r="Q31" i="522"/>
  <c r="Q30" i="522"/>
  <c r="Q29" i="522"/>
  <c r="Q28" i="522"/>
  <c r="P31" i="522"/>
  <c r="P30" i="522"/>
  <c r="P29" i="522"/>
  <c r="P28" i="522"/>
  <c r="P5" i="529"/>
  <c r="P7" i="529"/>
  <c r="P9" i="529"/>
  <c r="P11" i="529"/>
  <c r="P13" i="529"/>
  <c r="E15" i="518"/>
  <c r="E17" i="518"/>
  <c r="E19" i="518"/>
  <c r="E21" i="518"/>
  <c r="E23" i="518"/>
  <c r="G16" i="522"/>
  <c r="G15" i="522"/>
  <c r="G14" i="522"/>
  <c r="G13" i="522"/>
  <c r="J16" i="522"/>
  <c r="J15" i="522"/>
  <c r="J14" i="522"/>
  <c r="J13" i="522"/>
  <c r="I16" i="522"/>
  <c r="I15" i="522"/>
  <c r="I14" i="522"/>
  <c r="I13" i="522"/>
  <c r="H15" i="522"/>
  <c r="H14" i="522"/>
  <c r="H13" i="522"/>
  <c r="H16" i="522"/>
  <c r="AB19" i="522"/>
  <c r="AB22" i="522"/>
  <c r="AB21" i="522"/>
  <c r="AB20" i="522"/>
  <c r="E21" i="527"/>
  <c r="E23" i="527"/>
  <c r="H10" i="529"/>
  <c r="I9" i="529"/>
  <c r="J8" i="529"/>
  <c r="F8" i="529"/>
  <c r="G7" i="529"/>
  <c r="H6" i="529"/>
  <c r="I5" i="529"/>
  <c r="G10" i="529"/>
  <c r="H9" i="529"/>
  <c r="I8" i="529"/>
  <c r="J7" i="529"/>
  <c r="F7" i="529"/>
  <c r="G6" i="529"/>
  <c r="H5" i="529"/>
  <c r="J10" i="529"/>
  <c r="F10" i="529"/>
  <c r="G9" i="529"/>
  <c r="H8" i="529"/>
  <c r="I7" i="529"/>
  <c r="J6" i="529"/>
  <c r="F6" i="529"/>
  <c r="G5" i="529"/>
  <c r="G8" i="529"/>
  <c r="F5" i="529"/>
  <c r="I10" i="529"/>
  <c r="H7" i="529"/>
  <c r="J9" i="529"/>
  <c r="I6" i="529"/>
  <c r="F9" i="529"/>
  <c r="J5" i="529"/>
  <c r="P14" i="529"/>
  <c r="P16" i="529"/>
  <c r="P18" i="529"/>
  <c r="P20" i="529"/>
  <c r="P22" i="529"/>
  <c r="E4" i="518"/>
  <c r="E6" i="518"/>
  <c r="E8" i="518"/>
  <c r="E10" i="518"/>
  <c r="E12" i="518"/>
  <c r="J16" i="518"/>
  <c r="J15" i="518"/>
  <c r="J14" i="518"/>
  <c r="J13" i="518"/>
  <c r="I16" i="518"/>
  <c r="I15" i="518"/>
  <c r="I14" i="518"/>
  <c r="I13" i="518"/>
  <c r="H16" i="518"/>
  <c r="H15" i="518"/>
  <c r="H14" i="518"/>
  <c r="H13" i="518"/>
  <c r="G15" i="518"/>
  <c r="G14" i="518"/>
  <c r="G13" i="518"/>
  <c r="G16" i="518"/>
  <c r="AC22" i="522"/>
  <c r="AC21" i="522"/>
  <c r="AC20" i="522"/>
  <c r="AC19" i="522"/>
  <c r="H10" i="528"/>
  <c r="I9" i="528"/>
  <c r="J8" i="528"/>
  <c r="F8" i="528"/>
  <c r="G7" i="528"/>
  <c r="H6" i="528"/>
  <c r="I5" i="528"/>
  <c r="G10" i="528"/>
  <c r="H9" i="528"/>
  <c r="I8" i="528"/>
  <c r="J7" i="528"/>
  <c r="F7" i="528"/>
  <c r="G6" i="528"/>
  <c r="H5" i="528"/>
  <c r="J10" i="528"/>
  <c r="F10" i="528"/>
  <c r="G9" i="528"/>
  <c r="H8" i="528"/>
  <c r="I7" i="528"/>
  <c r="J6" i="528"/>
  <c r="F6" i="528"/>
  <c r="G5" i="528"/>
  <c r="I10" i="528"/>
  <c r="H7" i="528"/>
  <c r="J9" i="528"/>
  <c r="I6" i="528"/>
  <c r="F9" i="528"/>
  <c r="J5" i="528"/>
  <c r="G8" i="528"/>
  <c r="F5" i="528"/>
  <c r="U16" i="528"/>
  <c r="U15" i="528"/>
  <c r="U14" i="528"/>
  <c r="U13" i="528"/>
  <c r="T16" i="528"/>
  <c r="T15" i="528"/>
  <c r="T14" i="528"/>
  <c r="T13" i="528"/>
  <c r="S16" i="528"/>
  <c r="S15" i="528"/>
  <c r="S14" i="528"/>
  <c r="S13" i="528"/>
  <c r="R14" i="528"/>
  <c r="R13" i="528"/>
  <c r="R16" i="528"/>
  <c r="R15" i="528"/>
  <c r="Q5" i="808"/>
  <c r="AI5" i="808"/>
  <c r="AI13" i="808"/>
  <c r="Q13" i="808"/>
  <c r="Y17" i="808"/>
  <c r="X17" i="808"/>
  <c r="Q4" i="808"/>
  <c r="AI4" i="808"/>
  <c r="AE7" i="808"/>
  <c r="R7" i="808"/>
  <c r="R12" i="808"/>
  <c r="AE12" i="808"/>
  <c r="Q6" i="808"/>
  <c r="AI6" i="808"/>
  <c r="Q9" i="808"/>
  <c r="AI9" i="808"/>
  <c r="W10" i="808"/>
  <c r="AI18" i="808"/>
  <c r="Q18" i="808"/>
  <c r="U4" i="808"/>
  <c r="U5" i="808"/>
  <c r="K19" i="808"/>
  <c r="N11" i="808" s="1"/>
  <c r="W4" i="808"/>
  <c r="W6" i="808"/>
  <c r="S7" i="808"/>
  <c r="T8" i="808"/>
  <c r="AD8" i="808"/>
  <c r="AU8" i="808"/>
  <c r="S9" i="808"/>
  <c r="Q10" i="808"/>
  <c r="U10" i="808"/>
  <c r="AD14" i="808"/>
  <c r="T14" i="808"/>
  <c r="S14" i="808"/>
  <c r="W14" i="808"/>
  <c r="R17" i="808"/>
  <c r="AI17" i="808"/>
  <c r="U6" i="808"/>
  <c r="W7" i="808"/>
  <c r="W16" i="808"/>
  <c r="S4" i="808"/>
  <c r="AB19" i="808"/>
  <c r="S5" i="808"/>
  <c r="S6" i="808"/>
  <c r="T7" i="808"/>
  <c r="AD7" i="808"/>
  <c r="Q8" i="808"/>
  <c r="W8" i="808" s="1"/>
  <c r="U8" i="808"/>
  <c r="T9" i="808"/>
  <c r="AD9" i="808"/>
  <c r="W15" i="808"/>
  <c r="AI15" i="808"/>
  <c r="Q32" i="808"/>
  <c r="AI11" i="808"/>
  <c r="Q11" i="808"/>
  <c r="T4" i="808"/>
  <c r="AD4" i="808"/>
  <c r="T5" i="808"/>
  <c r="T6" i="808"/>
  <c r="AI12" i="808"/>
  <c r="Q14" i="808"/>
  <c r="R15" i="808"/>
  <c r="AI16" i="808"/>
  <c r="Q16" i="808"/>
  <c r="U17" i="808"/>
  <c r="AD17" i="808"/>
  <c r="T17" i="808"/>
  <c r="S17" i="808"/>
  <c r="T11" i="808"/>
  <c r="AD11" i="808"/>
  <c r="W12" i="808"/>
  <c r="U13" i="808"/>
  <c r="T16" i="808"/>
  <c r="AD16" i="808"/>
  <c r="U18" i="808"/>
  <c r="Q29" i="808"/>
  <c r="S12" i="808"/>
  <c r="W13" i="808"/>
  <c r="U16" i="808"/>
  <c r="W18" i="808"/>
  <c r="Q24" i="808"/>
  <c r="T12" i="808"/>
  <c r="Q25" i="808"/>
  <c r="K14" i="499"/>
  <c r="AA49" i="795"/>
  <c r="AA126" i="795"/>
  <c r="T14" i="800"/>
  <c r="S14" i="499"/>
  <c r="O14" i="514"/>
  <c r="V14" i="798"/>
  <c r="AA161" i="795"/>
  <c r="AD4" i="791" a="1"/>
  <c r="J13" i="401" a="1"/>
  <c r="AA235" i="795"/>
  <c r="AA82" i="795"/>
  <c r="AA208" i="795"/>
  <c r="P14" i="723"/>
  <c r="AA105" i="795"/>
  <c r="AA12" i="795"/>
  <c r="AC14" i="522"/>
  <c r="Z15" i="765"/>
  <c r="J14" i="401" l="1"/>
  <c r="J13" i="401"/>
  <c r="AD6" i="791"/>
  <c r="AD5" i="791"/>
  <c r="AD4" i="791"/>
  <c r="X8" i="808"/>
  <c r="Y8" i="808"/>
  <c r="Y12" i="808"/>
  <c r="X12" i="808"/>
  <c r="AE11" i="808"/>
  <c r="W11" i="808"/>
  <c r="R11" i="808"/>
  <c r="Y14" i="808"/>
  <c r="X14" i="808"/>
  <c r="Y4" i="808"/>
  <c r="X4" i="808"/>
  <c r="X10" i="808"/>
  <c r="Y10" i="808"/>
  <c r="Q19" i="808"/>
  <c r="F23" i="808" a="1"/>
  <c r="AE4" i="808"/>
  <c r="AE5" i="808"/>
  <c r="R5" i="808"/>
  <c r="X18" i="808"/>
  <c r="Y18" i="808"/>
  <c r="R10" i="808"/>
  <c r="AE10" i="808"/>
  <c r="Y6" i="808"/>
  <c r="X6" i="808"/>
  <c r="R4" i="808"/>
  <c r="U19" i="808"/>
  <c r="AE6" i="808"/>
  <c r="R6" i="808"/>
  <c r="Q30" i="808"/>
  <c r="Y16" i="808"/>
  <c r="X16" i="808"/>
  <c r="Q31" i="808"/>
  <c r="R14" i="808"/>
  <c r="AE14" i="808"/>
  <c r="Y15" i="808"/>
  <c r="X15" i="808"/>
  <c r="R8" i="808"/>
  <c r="AE8" i="808"/>
  <c r="W5" i="808"/>
  <c r="W19" i="808" s="1"/>
  <c r="R18" i="808"/>
  <c r="AE18" i="808"/>
  <c r="X13" i="808"/>
  <c r="Y13" i="808"/>
  <c r="R16" i="808"/>
  <c r="AE16" i="808"/>
  <c r="T19" i="808"/>
  <c r="S19" i="808"/>
  <c r="Y7" i="808"/>
  <c r="X7" i="808"/>
  <c r="X24" i="808" a="1"/>
  <c r="AE9" i="808"/>
  <c r="R9" i="808"/>
  <c r="W9" i="808"/>
  <c r="R13" i="808"/>
  <c r="AE13" i="808"/>
  <c r="N13" i="808" l="1"/>
  <c r="Y11" i="808"/>
  <c r="X11" i="808"/>
  <c r="Y5" i="808"/>
  <c r="X5" i="808"/>
  <c r="R19" i="808"/>
  <c r="N14" i="808" s="1"/>
  <c r="H26" i="808"/>
  <c r="H25" i="808"/>
  <c r="H24" i="808"/>
  <c r="H23" i="808"/>
  <c r="G26" i="808"/>
  <c r="F25" i="808"/>
  <c r="I23" i="808"/>
  <c r="F26" i="808"/>
  <c r="I24" i="808"/>
  <c r="G23" i="808"/>
  <c r="I25" i="808"/>
  <c r="G24" i="808"/>
  <c r="F23" i="808"/>
  <c r="I26" i="808"/>
  <c r="G25" i="808"/>
  <c r="F24" i="808"/>
  <c r="Y9" i="808"/>
  <c r="X9" i="808"/>
  <c r="Y27" i="808"/>
  <c r="Y26" i="808"/>
  <c r="Y25" i="808"/>
  <c r="Y24" i="808"/>
  <c r="Z27" i="808"/>
  <c r="X26" i="808"/>
  <c r="AA24" i="808"/>
  <c r="X27" i="808"/>
  <c r="AA25" i="808"/>
  <c r="Z24" i="808"/>
  <c r="AA26" i="808"/>
  <c r="Z25" i="808"/>
  <c r="X24" i="808"/>
  <c r="AA27" i="808"/>
  <c r="Z26" i="808"/>
  <c r="X25" i="808"/>
  <c r="N15" i="808"/>
  <c r="B25" i="808"/>
  <c r="B29" i="808" l="1"/>
  <c r="B30" i="808" s="1"/>
  <c r="C25" i="808"/>
  <c r="N18" i="808"/>
  <c r="N16" i="808"/>
  <c r="X19" i="808"/>
  <c r="AD24" i="808" a="1"/>
  <c r="AF17" i="808" a="1"/>
  <c r="AF17" i="808" s="1"/>
  <c r="AF7" i="808" a="1"/>
  <c r="AF7" i="808" s="1"/>
  <c r="AF15" i="808" a="1"/>
  <c r="AF15" i="808" s="1"/>
  <c r="AQ6" i="808" a="1"/>
  <c r="AQ6" i="808" s="1"/>
  <c r="AF12" i="808" a="1"/>
  <c r="AF12" i="808" s="1"/>
  <c r="AQ8" i="808" a="1"/>
  <c r="AQ8" i="808" s="1"/>
  <c r="AQ4" i="808" a="1"/>
  <c r="AQ4" i="808" s="1"/>
  <c r="AQ5" i="808" a="1"/>
  <c r="AQ5" i="808" s="1"/>
  <c r="AQ7" i="808" a="1"/>
  <c r="AQ7" i="808" s="1"/>
  <c r="AF11" i="808" a="1"/>
  <c r="AF11" i="808" s="1"/>
  <c r="AF10" i="808" a="1"/>
  <c r="AF10" i="808" s="1"/>
  <c r="AF6" i="808" a="1"/>
  <c r="AF6" i="808" s="1"/>
  <c r="AF14" i="808" a="1"/>
  <c r="AF14" i="808" s="1"/>
  <c r="AF5" i="808" a="1"/>
  <c r="AF5" i="808" s="1"/>
  <c r="AF16" i="808" a="1"/>
  <c r="AF16" i="808" s="1"/>
  <c r="AF13" i="808" a="1"/>
  <c r="AF13" i="808" s="1"/>
  <c r="AF8" i="808" a="1"/>
  <c r="AF8" i="808" s="1"/>
  <c r="AF18" i="808" a="1"/>
  <c r="AF18" i="808" s="1"/>
  <c r="AF9" i="808" a="1"/>
  <c r="AF9" i="808" s="1"/>
  <c r="AF4" i="808" a="1"/>
  <c r="AF4" i="808" s="1"/>
  <c r="Y19" i="808"/>
  <c r="P28" i="756"/>
  <c r="R26" i="808" l="1"/>
  <c r="S26" i="808" s="1"/>
  <c r="T26" i="808" s="1"/>
  <c r="R25" i="808"/>
  <c r="R24" i="808"/>
  <c r="R30" i="808" s="1"/>
  <c r="R23" i="808"/>
  <c r="R29" i="808" s="1"/>
  <c r="V25" i="808"/>
  <c r="U25" i="808"/>
  <c r="S25" i="808"/>
  <c r="T25" i="808" s="1"/>
  <c r="V26" i="808"/>
  <c r="AH18" i="808"/>
  <c r="AG18" i="808"/>
  <c r="AG5" i="808"/>
  <c r="AH5" i="808"/>
  <c r="AH11" i="808"/>
  <c r="AG11" i="808"/>
  <c r="AS8" i="808"/>
  <c r="AR8" i="808"/>
  <c r="AH7" i="808"/>
  <c r="AG7" i="808"/>
  <c r="B26" i="808"/>
  <c r="AA19" i="808"/>
  <c r="AG8" i="808"/>
  <c r="AH8" i="808"/>
  <c r="AH14" i="808"/>
  <c r="AG14" i="808"/>
  <c r="AR7" i="808"/>
  <c r="AS7" i="808"/>
  <c r="AG12" i="808"/>
  <c r="AH12" i="808"/>
  <c r="AG17" i="808"/>
  <c r="AH17" i="808"/>
  <c r="AO38" i="808"/>
  <c r="AK38" i="808"/>
  <c r="AG38" i="808"/>
  <c r="AR37" i="808"/>
  <c r="AN37" i="808"/>
  <c r="AJ37" i="808"/>
  <c r="AF37" i="808"/>
  <c r="AQ36" i="808"/>
  <c r="AM36" i="808"/>
  <c r="AI36" i="808"/>
  <c r="AE36" i="808"/>
  <c r="AP35" i="808"/>
  <c r="AL35" i="808"/>
  <c r="AH35" i="808"/>
  <c r="AD35" i="808"/>
  <c r="AO34" i="808"/>
  <c r="AK34" i="808"/>
  <c r="AG34" i="808"/>
  <c r="AR33" i="808"/>
  <c r="AN33" i="808"/>
  <c r="AJ33" i="808"/>
  <c r="AF33" i="808"/>
  <c r="AQ32" i="808"/>
  <c r="AM32" i="808"/>
  <c r="AI32" i="808"/>
  <c r="AE32" i="808"/>
  <c r="AP31" i="808"/>
  <c r="AL31" i="808"/>
  <c r="AH31" i="808"/>
  <c r="AD31" i="808"/>
  <c r="AO30" i="808"/>
  <c r="AK30" i="808"/>
  <c r="AG30" i="808"/>
  <c r="AR29" i="808"/>
  <c r="AN29" i="808"/>
  <c r="AJ29" i="808"/>
  <c r="AF29" i="808"/>
  <c r="AQ28" i="808"/>
  <c r="AM28" i="808"/>
  <c r="AI28" i="808"/>
  <c r="AE28" i="808"/>
  <c r="AP27" i="808"/>
  <c r="AL27" i="808"/>
  <c r="AR38" i="808"/>
  <c r="AN38" i="808"/>
  <c r="AJ38" i="808"/>
  <c r="AF38" i="808"/>
  <c r="AQ37" i="808"/>
  <c r="AM37" i="808"/>
  <c r="AI37" i="808"/>
  <c r="AE37" i="808"/>
  <c r="AP36" i="808"/>
  <c r="AL36" i="808"/>
  <c r="AH36" i="808"/>
  <c r="AD36" i="808"/>
  <c r="AO35" i="808"/>
  <c r="AK35" i="808"/>
  <c r="AG35" i="808"/>
  <c r="AR34" i="808"/>
  <c r="AN34" i="808"/>
  <c r="AJ34" i="808"/>
  <c r="AF34" i="808"/>
  <c r="AQ33" i="808"/>
  <c r="AM33" i="808"/>
  <c r="AI33" i="808"/>
  <c r="AE33" i="808"/>
  <c r="AP32" i="808"/>
  <c r="AL32" i="808"/>
  <c r="AH32" i="808"/>
  <c r="AD32" i="808"/>
  <c r="AO31" i="808"/>
  <c r="AK31" i="808"/>
  <c r="AG31" i="808"/>
  <c r="AR30" i="808"/>
  <c r="AN30" i="808"/>
  <c r="AJ30" i="808"/>
  <c r="AF30" i="808"/>
  <c r="AQ29" i="808"/>
  <c r="AM29" i="808"/>
  <c r="AI29" i="808"/>
  <c r="AE29" i="808"/>
  <c r="AP28" i="808"/>
  <c r="AL28" i="808"/>
  <c r="AH28" i="808"/>
  <c r="AD28" i="808"/>
  <c r="AO27" i="808"/>
  <c r="AK27" i="808"/>
  <c r="AG27" i="808"/>
  <c r="AR26" i="808"/>
  <c r="AN26" i="808"/>
  <c r="AJ26" i="808"/>
  <c r="AF26" i="808"/>
  <c r="AQ25" i="808"/>
  <c r="AM25" i="808"/>
  <c r="AI25" i="808"/>
  <c r="AE25" i="808"/>
  <c r="AP24" i="808"/>
  <c r="AL24" i="808"/>
  <c r="AH24" i="808"/>
  <c r="AD24" i="808"/>
  <c r="AQ38" i="808"/>
  <c r="AM38" i="808"/>
  <c r="AI38" i="808"/>
  <c r="AE38" i="808"/>
  <c r="AP37" i="808"/>
  <c r="AL37" i="808"/>
  <c r="AH37" i="808"/>
  <c r="AD37" i="808"/>
  <c r="AO36" i="808"/>
  <c r="AK36" i="808"/>
  <c r="AG36" i="808"/>
  <c r="AR35" i="808"/>
  <c r="AN35" i="808"/>
  <c r="AJ35" i="808"/>
  <c r="AF35" i="808"/>
  <c r="AQ34" i="808"/>
  <c r="AM34" i="808"/>
  <c r="AI34" i="808"/>
  <c r="AE34" i="808"/>
  <c r="AP33" i="808"/>
  <c r="AL33" i="808"/>
  <c r="AH33" i="808"/>
  <c r="AD33" i="808"/>
  <c r="AO32" i="808"/>
  <c r="AK32" i="808"/>
  <c r="AG32" i="808"/>
  <c r="AR31" i="808"/>
  <c r="AN31" i="808"/>
  <c r="AJ31" i="808"/>
  <c r="AF31" i="808"/>
  <c r="AQ30" i="808"/>
  <c r="AM30" i="808"/>
  <c r="AI30" i="808"/>
  <c r="AE30" i="808"/>
  <c r="AP29" i="808"/>
  <c r="AL29" i="808"/>
  <c r="AH29" i="808"/>
  <c r="AD29" i="808"/>
  <c r="AO28" i="808"/>
  <c r="AK28" i="808"/>
  <c r="AG28" i="808"/>
  <c r="AR27" i="808"/>
  <c r="AN27" i="808"/>
  <c r="AJ27" i="808"/>
  <c r="AF27" i="808"/>
  <c r="AQ26" i="808"/>
  <c r="AM26" i="808"/>
  <c r="AI26" i="808"/>
  <c r="AE26" i="808"/>
  <c r="AP25" i="808"/>
  <c r="AL25" i="808"/>
  <c r="AH25" i="808"/>
  <c r="AD25" i="808"/>
  <c r="AO24" i="808"/>
  <c r="AK24" i="808"/>
  <c r="AG24" i="808"/>
  <c r="AH38" i="808"/>
  <c r="AG37" i="808"/>
  <c r="AF36" i="808"/>
  <c r="AE35" i="808"/>
  <c r="AD34" i="808"/>
  <c r="AR32" i="808"/>
  <c r="AQ31" i="808"/>
  <c r="AP30" i="808"/>
  <c r="AO29" i="808"/>
  <c r="AN28" i="808"/>
  <c r="AM27" i="808"/>
  <c r="AD27" i="808"/>
  <c r="AK26" i="808"/>
  <c r="AR25" i="808"/>
  <c r="AJ25" i="808"/>
  <c r="AQ24" i="808"/>
  <c r="AI24" i="808"/>
  <c r="AD38" i="808"/>
  <c r="AR36" i="808"/>
  <c r="AQ35" i="808"/>
  <c r="AP34" i="808"/>
  <c r="AO33" i="808"/>
  <c r="AN32" i="808"/>
  <c r="AM31" i="808"/>
  <c r="AL30" i="808"/>
  <c r="AK29" i="808"/>
  <c r="AJ28" i="808"/>
  <c r="AI27" i="808"/>
  <c r="AP26" i="808"/>
  <c r="AH26" i="808"/>
  <c r="AO25" i="808"/>
  <c r="AG25" i="808"/>
  <c r="AN24" i="808"/>
  <c r="AF24" i="808"/>
  <c r="AP38" i="808"/>
  <c r="AO37" i="808"/>
  <c r="AN36" i="808"/>
  <c r="AM35" i="808"/>
  <c r="AL34" i="808"/>
  <c r="AK33" i="808"/>
  <c r="AJ32" i="808"/>
  <c r="AI31" i="808"/>
  <c r="AH30" i="808"/>
  <c r="AG29" i="808"/>
  <c r="AF28" i="808"/>
  <c r="AH27" i="808"/>
  <c r="AO26" i="808"/>
  <c r="AG26" i="808"/>
  <c r="AN25" i="808"/>
  <c r="AF25" i="808"/>
  <c r="AM24" i="808"/>
  <c r="AE24" i="808"/>
  <c r="AK37" i="808"/>
  <c r="AG33" i="808"/>
  <c r="AR28" i="808"/>
  <c r="AD26" i="808"/>
  <c r="AH34" i="808"/>
  <c r="AJ36" i="808"/>
  <c r="AF32" i="808"/>
  <c r="AQ27" i="808"/>
  <c r="AK25" i="808"/>
  <c r="AD30" i="808"/>
  <c r="AI35" i="808"/>
  <c r="AE31" i="808"/>
  <c r="AE27" i="808"/>
  <c r="AR24" i="808"/>
  <c r="AL38" i="808"/>
  <c r="AL26" i="808"/>
  <c r="AJ24" i="808"/>
  <c r="AH4" i="808"/>
  <c r="AG4" i="808"/>
  <c r="AH13" i="808"/>
  <c r="AG13" i="808"/>
  <c r="AH6" i="808"/>
  <c r="AG6" i="808"/>
  <c r="AR5" i="808"/>
  <c r="AS5" i="808"/>
  <c r="AR6" i="808"/>
  <c r="AS6" i="808"/>
  <c r="AG9" i="808"/>
  <c r="AH9" i="808"/>
  <c r="AH16" i="808"/>
  <c r="AG16" i="808"/>
  <c r="AG10" i="808"/>
  <c r="AH10" i="808"/>
  <c r="AR4" i="808"/>
  <c r="AS4" i="808"/>
  <c r="AH15" i="808"/>
  <c r="AG15" i="808"/>
  <c r="R31" i="808"/>
  <c r="R32" i="808"/>
  <c r="U26" i="808" l="1"/>
  <c r="V23" i="808"/>
  <c r="U23" i="808"/>
  <c r="S23" i="808"/>
  <c r="T23" i="808" s="1"/>
  <c r="S24" i="808"/>
  <c r="T24" i="808" s="1"/>
  <c r="V24" i="808"/>
  <c r="U24" i="808"/>
  <c r="AB18" i="808"/>
  <c r="AB17" i="808"/>
  <c r="AB16" i="808"/>
  <c r="AB11" i="808"/>
  <c r="AB14" i="808"/>
  <c r="AB13" i="808"/>
  <c r="AB12" i="808"/>
  <c r="AB7" i="808"/>
  <c r="AB10" i="808"/>
  <c r="AB9" i="808"/>
  <c r="AB8" i="808"/>
  <c r="AB15" i="808"/>
  <c r="AB6" i="808"/>
  <c r="AB5" i="808"/>
  <c r="AB4" i="808"/>
  <c r="U30" i="808"/>
  <c r="V30" i="808"/>
  <c r="S30" i="808"/>
  <c r="T30" i="808" s="1"/>
  <c r="V32" i="808"/>
  <c r="U32" i="808"/>
  <c r="S32" i="808"/>
  <c r="T32" i="808" s="1"/>
  <c r="C26" i="808"/>
  <c r="B28" i="808"/>
  <c r="V29" i="808"/>
  <c r="U29" i="808"/>
  <c r="S29" i="808"/>
  <c r="T29" i="808" s="1"/>
  <c r="S31" i="808"/>
  <c r="T31" i="808" s="1"/>
  <c r="V31" i="808"/>
  <c r="U31" i="808"/>
  <c r="AA15" i="808" l="1"/>
  <c r="Z15" i="808"/>
  <c r="AA7" i="808"/>
  <c r="Z7" i="808"/>
  <c r="AA11" i="808"/>
  <c r="Z11" i="808"/>
  <c r="Z4" i="808"/>
  <c r="AA4" i="808"/>
  <c r="Z8" i="808"/>
  <c r="AA8" i="808"/>
  <c r="Z12" i="808"/>
  <c r="AA12" i="808"/>
  <c r="Z16" i="808"/>
  <c r="AA16" i="808"/>
  <c r="AA5" i="808"/>
  <c r="Z5" i="808"/>
  <c r="AA9" i="808"/>
  <c r="Z9" i="808"/>
  <c r="AA13" i="808"/>
  <c r="Z13" i="808"/>
  <c r="Z17" i="808"/>
  <c r="AA17" i="808"/>
  <c r="AA6" i="808"/>
  <c r="Z6" i="808"/>
  <c r="Z10" i="808"/>
  <c r="AA10" i="808"/>
  <c r="Z14" i="808"/>
  <c r="AA14" i="808"/>
  <c r="Z18" i="808"/>
  <c r="AA18" i="808"/>
  <c r="T20" i="800"/>
  <c r="I18" i="800"/>
  <c r="H18" i="800"/>
  <c r="AA18" i="800" s="1"/>
  <c r="G18" i="800"/>
  <c r="I17" i="800"/>
  <c r="H17" i="800"/>
  <c r="AA17" i="800" s="1"/>
  <c r="G17" i="800"/>
  <c r="AA16" i="800"/>
  <c r="I16" i="800"/>
  <c r="H16" i="800"/>
  <c r="G16" i="800"/>
  <c r="I15" i="800"/>
  <c r="H15" i="800"/>
  <c r="AA15" i="800" s="1"/>
  <c r="G15" i="800"/>
  <c r="I14" i="800"/>
  <c r="H14" i="800"/>
  <c r="AA14" i="800" s="1"/>
  <c r="G14" i="800"/>
  <c r="I13" i="800"/>
  <c r="H13" i="800"/>
  <c r="AA13" i="800" s="1"/>
  <c r="G13" i="800"/>
  <c r="I12" i="800"/>
  <c r="H12" i="800"/>
  <c r="AA12" i="800" s="1"/>
  <c r="G12" i="800"/>
  <c r="I11" i="800"/>
  <c r="H11" i="800"/>
  <c r="AA11" i="800" s="1"/>
  <c r="G11" i="800"/>
  <c r="I10" i="800"/>
  <c r="H10" i="800"/>
  <c r="AA10" i="800" s="1"/>
  <c r="G10" i="800"/>
  <c r="I9" i="800"/>
  <c r="H9" i="800"/>
  <c r="AA9" i="800" s="1"/>
  <c r="G9" i="800"/>
  <c r="I8" i="800"/>
  <c r="H8" i="800"/>
  <c r="AA8" i="800" s="1"/>
  <c r="G8" i="800"/>
  <c r="I7" i="800"/>
  <c r="H7" i="800"/>
  <c r="AA7" i="800" s="1"/>
  <c r="G7" i="800"/>
  <c r="I6" i="800"/>
  <c r="H6" i="800"/>
  <c r="AA6" i="800" s="1"/>
  <c r="G6" i="800"/>
  <c r="I5" i="800"/>
  <c r="H5" i="800"/>
  <c r="AA5" i="800" s="1"/>
  <c r="G5" i="800"/>
  <c r="I4" i="800"/>
  <c r="H4" i="800"/>
  <c r="AA4" i="800" s="1"/>
  <c r="G4" i="800"/>
  <c r="B28" i="800" l="1"/>
  <c r="AA19" i="800"/>
  <c r="T15" i="800" s="1"/>
  <c r="T7" i="800"/>
  <c r="V20" i="798"/>
  <c r="K18" i="798"/>
  <c r="J18" i="798"/>
  <c r="AE18" i="798" s="1"/>
  <c r="I18" i="798"/>
  <c r="K17" i="798"/>
  <c r="J17" i="798"/>
  <c r="AE17" i="798" s="1"/>
  <c r="I17" i="798"/>
  <c r="K16" i="798"/>
  <c r="J16" i="798"/>
  <c r="AE16" i="798" s="1"/>
  <c r="I16" i="798"/>
  <c r="AE15" i="798"/>
  <c r="K15" i="798"/>
  <c r="J15" i="798"/>
  <c r="I15" i="798"/>
  <c r="K14" i="798"/>
  <c r="J14" i="798"/>
  <c r="AE14" i="798" s="1"/>
  <c r="I14" i="798"/>
  <c r="K13" i="798"/>
  <c r="J13" i="798"/>
  <c r="AE13" i="798" s="1"/>
  <c r="I13" i="798"/>
  <c r="K12" i="798"/>
  <c r="J12" i="798"/>
  <c r="AE12" i="798" s="1"/>
  <c r="I12" i="798"/>
  <c r="K11" i="798"/>
  <c r="J11" i="798"/>
  <c r="AE11" i="798" s="1"/>
  <c r="I11" i="798"/>
  <c r="AE10" i="798"/>
  <c r="K10" i="798"/>
  <c r="J10" i="798"/>
  <c r="I10" i="798"/>
  <c r="K9" i="798"/>
  <c r="J9" i="798"/>
  <c r="AE9" i="798" s="1"/>
  <c r="I9" i="798"/>
  <c r="K8" i="798"/>
  <c r="J8" i="798"/>
  <c r="AE8" i="798" s="1"/>
  <c r="I8" i="798"/>
  <c r="K7" i="798"/>
  <c r="J7" i="798"/>
  <c r="AE7" i="798" s="1"/>
  <c r="I7" i="798"/>
  <c r="K6" i="798"/>
  <c r="J6" i="798"/>
  <c r="AE6" i="798" s="1"/>
  <c r="I6" i="798"/>
  <c r="K5" i="798"/>
  <c r="J5" i="798"/>
  <c r="AE5" i="798" s="1"/>
  <c r="I5" i="798"/>
  <c r="K4" i="798"/>
  <c r="J4" i="798"/>
  <c r="I4" i="798"/>
  <c r="AB14" i="800" l="1"/>
  <c r="AJ14" i="800" s="1"/>
  <c r="AB13" i="800"/>
  <c r="AJ13" i="800" s="1"/>
  <c r="AB15" i="800"/>
  <c r="AJ15" i="800" s="1"/>
  <c r="T8" i="800"/>
  <c r="AH19" i="800" s="1"/>
  <c r="AB12" i="800"/>
  <c r="AJ12" i="800" s="1"/>
  <c r="AB4" i="800"/>
  <c r="AJ4" i="800" s="1"/>
  <c r="AB16" i="800"/>
  <c r="AJ16" i="800" s="1"/>
  <c r="AB7" i="800"/>
  <c r="AJ7" i="800" s="1"/>
  <c r="AB18" i="800"/>
  <c r="AJ18" i="800" s="1"/>
  <c r="AB5" i="800"/>
  <c r="AB6" i="800"/>
  <c r="AB17" i="800"/>
  <c r="AB11" i="800"/>
  <c r="AB10" i="800"/>
  <c r="AB8" i="800"/>
  <c r="AB9" i="800"/>
  <c r="M7" i="800"/>
  <c r="V7" i="798"/>
  <c r="AE4" i="798"/>
  <c r="AH4" i="800" a="1"/>
  <c r="AH17" i="800" l="1"/>
  <c r="AH13" i="800"/>
  <c r="AH9" i="800"/>
  <c r="AH5" i="800"/>
  <c r="AH15" i="800"/>
  <c r="AH11" i="800"/>
  <c r="AH7" i="800"/>
  <c r="AH16" i="800"/>
  <c r="AH8" i="800"/>
  <c r="AH14" i="800"/>
  <c r="AH6" i="800"/>
  <c r="AH12" i="800"/>
  <c r="AH4" i="800"/>
  <c r="AH18" i="800"/>
  <c r="AH10" i="800"/>
  <c r="AC14" i="800"/>
  <c r="AE14" i="800" s="1"/>
  <c r="AC7" i="800"/>
  <c r="AD7" i="800" s="1"/>
  <c r="AC4" i="800"/>
  <c r="AC15" i="800"/>
  <c r="AD15" i="800" s="1"/>
  <c r="AC13" i="800"/>
  <c r="AD13" i="800" s="1"/>
  <c r="AC12" i="800"/>
  <c r="AE12" i="800" s="1"/>
  <c r="T9" i="800"/>
  <c r="X14" i="800" s="1"/>
  <c r="AC16" i="800"/>
  <c r="AD16" i="800" s="1"/>
  <c r="AC18" i="800"/>
  <c r="AD18" i="800" s="1"/>
  <c r="AD12" i="800"/>
  <c r="AJ6" i="800"/>
  <c r="AC6" i="800"/>
  <c r="AF4" i="798"/>
  <c r="AJ5" i="800"/>
  <c r="AC5" i="800"/>
  <c r="X13" i="800"/>
  <c r="AJ11" i="800"/>
  <c r="AC11" i="800"/>
  <c r="AJ8" i="800"/>
  <c r="AC8" i="800"/>
  <c r="AJ17" i="800"/>
  <c r="AC17" i="800"/>
  <c r="AJ9" i="800"/>
  <c r="AC9" i="800"/>
  <c r="AE7" i="800"/>
  <c r="AJ10" i="800"/>
  <c r="AC10" i="800"/>
  <c r="AB19" i="800"/>
  <c r="T13" i="800" s="1"/>
  <c r="T16" i="800" s="1"/>
  <c r="AF12" i="798"/>
  <c r="AN12" i="798" s="1"/>
  <c r="AF8" i="798"/>
  <c r="O9" i="798"/>
  <c r="AF15" i="798"/>
  <c r="AF5" i="798"/>
  <c r="AF11" i="798"/>
  <c r="AF13" i="798"/>
  <c r="AF16" i="798"/>
  <c r="AF17" i="798"/>
  <c r="AF18" i="798"/>
  <c r="AF10" i="798"/>
  <c r="AF14" i="798"/>
  <c r="AF9" i="798"/>
  <c r="AF6" i="798"/>
  <c r="V8" i="798"/>
  <c r="AL19" i="798" s="1"/>
  <c r="AE19" i="798"/>
  <c r="V15" i="798" s="1"/>
  <c r="AF7" i="798"/>
  <c r="Y241" i="795" a="1"/>
  <c r="Y242" i="795" s="1"/>
  <c r="O240" i="795"/>
  <c r="N240" i="795"/>
  <c r="M240" i="795"/>
  <c r="L240" i="795"/>
  <c r="O239" i="795"/>
  <c r="N239" i="795"/>
  <c r="M239" i="795"/>
  <c r="L239" i="795"/>
  <c r="O238" i="795"/>
  <c r="N238" i="795"/>
  <c r="M238" i="795"/>
  <c r="L238" i="795"/>
  <c r="AA237" i="795"/>
  <c r="O237" i="795"/>
  <c r="N237" i="795"/>
  <c r="M237" i="795"/>
  <c r="L237" i="795"/>
  <c r="O236" i="795"/>
  <c r="N236" i="795"/>
  <c r="M236" i="795"/>
  <c r="L236" i="795"/>
  <c r="Z235" i="795"/>
  <c r="O235" i="795"/>
  <c r="N235" i="795"/>
  <c r="M235" i="795"/>
  <c r="L235" i="795"/>
  <c r="O234" i="795"/>
  <c r="N234" i="795"/>
  <c r="M234" i="795"/>
  <c r="L234" i="795"/>
  <c r="O233" i="795"/>
  <c r="N233" i="795"/>
  <c r="M233" i="795"/>
  <c r="L233" i="795"/>
  <c r="O232" i="795"/>
  <c r="N232" i="795"/>
  <c r="M232" i="795"/>
  <c r="L232" i="795"/>
  <c r="Z231" i="795"/>
  <c r="O231" i="795"/>
  <c r="N231" i="795"/>
  <c r="M231" i="795"/>
  <c r="L231" i="795"/>
  <c r="O230" i="795"/>
  <c r="N230" i="795"/>
  <c r="M230" i="795"/>
  <c r="L230" i="795"/>
  <c r="O229" i="795"/>
  <c r="N229" i="795"/>
  <c r="M229" i="795"/>
  <c r="L229" i="795"/>
  <c r="O228" i="795"/>
  <c r="N228" i="795"/>
  <c r="M228" i="795"/>
  <c r="L228" i="795"/>
  <c r="O227" i="795"/>
  <c r="N227" i="795"/>
  <c r="M227" i="795"/>
  <c r="L227" i="795"/>
  <c r="O226" i="795"/>
  <c r="N226" i="795"/>
  <c r="M226" i="795"/>
  <c r="L226" i="795"/>
  <c r="O225" i="795"/>
  <c r="N225" i="795"/>
  <c r="M225" i="795"/>
  <c r="L225" i="795"/>
  <c r="O224" i="795"/>
  <c r="N224" i="795"/>
  <c r="M224" i="795"/>
  <c r="L224" i="795"/>
  <c r="O223" i="795"/>
  <c r="N223" i="795"/>
  <c r="M223" i="795"/>
  <c r="L223" i="795"/>
  <c r="O222" i="795"/>
  <c r="N222" i="795"/>
  <c r="M222" i="795"/>
  <c r="L222" i="795"/>
  <c r="O221" i="795"/>
  <c r="N221" i="795"/>
  <c r="M221" i="795"/>
  <c r="L221" i="795"/>
  <c r="O220" i="795"/>
  <c r="N220" i="795"/>
  <c r="M220" i="795"/>
  <c r="L220" i="795"/>
  <c r="O219" i="795"/>
  <c r="N219" i="795"/>
  <c r="M219" i="795"/>
  <c r="L219" i="795"/>
  <c r="O218" i="795"/>
  <c r="N218" i="795"/>
  <c r="M218" i="795"/>
  <c r="L218" i="795"/>
  <c r="O217" i="795"/>
  <c r="N217" i="795"/>
  <c r="M217" i="795"/>
  <c r="L217" i="795"/>
  <c r="O216" i="795"/>
  <c r="N216" i="795"/>
  <c r="M216" i="795"/>
  <c r="L216" i="795"/>
  <c r="O215" i="795"/>
  <c r="N215" i="795"/>
  <c r="M215" i="795"/>
  <c r="L215" i="795"/>
  <c r="Y214" i="795" a="1"/>
  <c r="Y214" i="795" s="1"/>
  <c r="O214" i="795"/>
  <c r="N214" i="795"/>
  <c r="M214" i="795"/>
  <c r="L214" i="795"/>
  <c r="O213" i="795"/>
  <c r="N213" i="795"/>
  <c r="M213" i="795"/>
  <c r="L213" i="795"/>
  <c r="O212" i="795"/>
  <c r="N212" i="795"/>
  <c r="M212" i="795"/>
  <c r="L212" i="795"/>
  <c r="O211" i="795"/>
  <c r="N211" i="795"/>
  <c r="M211" i="795"/>
  <c r="L211" i="795"/>
  <c r="AA210" i="795"/>
  <c r="O210" i="795"/>
  <c r="N210" i="795"/>
  <c r="M210" i="795"/>
  <c r="L210" i="795"/>
  <c r="O209" i="795"/>
  <c r="N209" i="795"/>
  <c r="M209" i="795"/>
  <c r="L209" i="795"/>
  <c r="O208" i="795"/>
  <c r="N208" i="795"/>
  <c r="M208" i="795"/>
  <c r="L208" i="795"/>
  <c r="O207" i="795"/>
  <c r="N207" i="795"/>
  <c r="M207" i="795"/>
  <c r="L207" i="795"/>
  <c r="O206" i="795"/>
  <c r="N206" i="795"/>
  <c r="M206" i="795"/>
  <c r="L206" i="795"/>
  <c r="O205" i="795"/>
  <c r="N205" i="795"/>
  <c r="M205" i="795"/>
  <c r="L205" i="795"/>
  <c r="Z204" i="795"/>
  <c r="O204" i="795"/>
  <c r="N204" i="795"/>
  <c r="M204" i="795"/>
  <c r="L204" i="795"/>
  <c r="O203" i="795"/>
  <c r="N203" i="795"/>
  <c r="M203" i="795"/>
  <c r="L203" i="795"/>
  <c r="O202" i="795"/>
  <c r="N202" i="795"/>
  <c r="M202" i="795"/>
  <c r="L202" i="795"/>
  <c r="O201" i="795"/>
  <c r="N201" i="795"/>
  <c r="M201" i="795"/>
  <c r="L201" i="795"/>
  <c r="O200" i="795"/>
  <c r="N200" i="795"/>
  <c r="M200" i="795"/>
  <c r="L200" i="795"/>
  <c r="O199" i="795"/>
  <c r="N199" i="795"/>
  <c r="M199" i="795"/>
  <c r="L199" i="795"/>
  <c r="Y167" i="795" a="1"/>
  <c r="Y178" i="795" s="1"/>
  <c r="AA163" i="795"/>
  <c r="Z161" i="795"/>
  <c r="Z157" i="795"/>
  <c r="Z163" i="795" s="1"/>
  <c r="Z162" i="795" s="1"/>
  <c r="Y138" i="795"/>
  <c r="Y132" i="795" a="1"/>
  <c r="AA128" i="795"/>
  <c r="Z126" i="795"/>
  <c r="Z122" i="795"/>
  <c r="Y111" i="795" a="1"/>
  <c r="Y112" i="795" s="1"/>
  <c r="AA107" i="795"/>
  <c r="Z105" i="795"/>
  <c r="AJ6" i="795" s="1"/>
  <c r="Z101" i="795"/>
  <c r="Y88" i="795" a="1"/>
  <c r="AA84" i="795"/>
  <c r="Z82" i="795"/>
  <c r="Z78" i="795"/>
  <c r="Z84" i="795" s="1"/>
  <c r="Y55" i="795" a="1"/>
  <c r="AA51" i="795"/>
  <c r="Z51" i="795"/>
  <c r="Z49" i="795"/>
  <c r="Z45" i="795"/>
  <c r="Y18" i="795" a="1"/>
  <c r="Y31" i="795" s="1"/>
  <c r="AA14" i="795"/>
  <c r="AI12" i="795" s="1"/>
  <c r="Z12" i="795"/>
  <c r="AJ9" i="795"/>
  <c r="Z8" i="795"/>
  <c r="N24" i="793"/>
  <c r="S14" i="793" s="1"/>
  <c r="AL4" i="798" a="1"/>
  <c r="AL15" i="798" l="1"/>
  <c r="AL11" i="798"/>
  <c r="AL7" i="798"/>
  <c r="AL18" i="798"/>
  <c r="AL14" i="798"/>
  <c r="AL10" i="798"/>
  <c r="AL6" i="798"/>
  <c r="AL17" i="798"/>
  <c r="AL13" i="798"/>
  <c r="AL9" i="798"/>
  <c r="AL5" i="798"/>
  <c r="AL4" i="798"/>
  <c r="AL16" i="798"/>
  <c r="AL12" i="798"/>
  <c r="AL8" i="798"/>
  <c r="AD14" i="800"/>
  <c r="AF14" i="800" s="1"/>
  <c r="AE18" i="800"/>
  <c r="AE15" i="800"/>
  <c r="AI18" i="800"/>
  <c r="AI14" i="800"/>
  <c r="AI10" i="800"/>
  <c r="AI6" i="800"/>
  <c r="AI17" i="800"/>
  <c r="AI13" i="800"/>
  <c r="AI9" i="800"/>
  <c r="AI5" i="800"/>
  <c r="AI16" i="800"/>
  <c r="AI12" i="800"/>
  <c r="AI8" i="800"/>
  <c r="AI4" i="800"/>
  <c r="AI7" i="800"/>
  <c r="AI15" i="800"/>
  <c r="AI11" i="800"/>
  <c r="AG4" i="798"/>
  <c r="AI4" i="798" s="1"/>
  <c r="AE4" i="800"/>
  <c r="AD4" i="800"/>
  <c r="AF4" i="800" s="1"/>
  <c r="Y171" i="795"/>
  <c r="Y28" i="795"/>
  <c r="Y179" i="795"/>
  <c r="Y180" i="795"/>
  <c r="Y241" i="795"/>
  <c r="Y20" i="795"/>
  <c r="Y167" i="795"/>
  <c r="Y175" i="795"/>
  <c r="Z208" i="795"/>
  <c r="AJ10" i="795" s="1"/>
  <c r="AE13" i="800"/>
  <c r="AG13" i="800" s="1"/>
  <c r="Y32" i="795"/>
  <c r="Z83" i="795"/>
  <c r="Y172" i="795"/>
  <c r="Y24" i="795"/>
  <c r="Y168" i="795"/>
  <c r="Y176" i="795"/>
  <c r="AE16" i="800"/>
  <c r="AF15" i="800"/>
  <c r="W13" i="800"/>
  <c r="Y13" i="800" s="1"/>
  <c r="AN4" i="798"/>
  <c r="AG14" i="800"/>
  <c r="AF12" i="800"/>
  <c r="AF13" i="800"/>
  <c r="AE5" i="800"/>
  <c r="AD5" i="800"/>
  <c r="AD6" i="800"/>
  <c r="AE6" i="800"/>
  <c r="AG6" i="800" s="1"/>
  <c r="AG12" i="800"/>
  <c r="AD17" i="800"/>
  <c r="AE17" i="800"/>
  <c r="AD8" i="800"/>
  <c r="AE8" i="800"/>
  <c r="AD11" i="800"/>
  <c r="AE11" i="800"/>
  <c r="AC19" i="800"/>
  <c r="AD10" i="800"/>
  <c r="AE10" i="800"/>
  <c r="AE9" i="800"/>
  <c r="AD9" i="800"/>
  <c r="AG12" i="798"/>
  <c r="AH12" i="798" s="1"/>
  <c r="AN8" i="798"/>
  <c r="AG8" i="798"/>
  <c r="AN7" i="798"/>
  <c r="AG7" i="798"/>
  <c r="AN14" i="798"/>
  <c r="AG14" i="798"/>
  <c r="AN17" i="798"/>
  <c r="AG17" i="798"/>
  <c r="AN5" i="798"/>
  <c r="AG5" i="798"/>
  <c r="AN10" i="798"/>
  <c r="AG10" i="798"/>
  <c r="AN16" i="798"/>
  <c r="AG16" i="798"/>
  <c r="AN15" i="798"/>
  <c r="AG15" i="798"/>
  <c r="AN6" i="798"/>
  <c r="AG6" i="798"/>
  <c r="AN13" i="798"/>
  <c r="AG13" i="798"/>
  <c r="V9" i="798"/>
  <c r="W14" i="800" s="1"/>
  <c r="Y14" i="800" s="1"/>
  <c r="AF19" i="798"/>
  <c r="V13" i="798" s="1"/>
  <c r="V16" i="798" s="1"/>
  <c r="AN9" i="798"/>
  <c r="AG9" i="798"/>
  <c r="AN18" i="798"/>
  <c r="AG18" i="798"/>
  <c r="AN11" i="798"/>
  <c r="AG11" i="798"/>
  <c r="Y65" i="795"/>
  <c r="Y61" i="795"/>
  <c r="Y57" i="795"/>
  <c r="Y67" i="795"/>
  <c r="Y63" i="795"/>
  <c r="Y59" i="795"/>
  <c r="Y55" i="795"/>
  <c r="Y64" i="795"/>
  <c r="Y60" i="795"/>
  <c r="Y56" i="795"/>
  <c r="Z14" i="795"/>
  <c r="Z50" i="795"/>
  <c r="AJ8" i="795" s="1"/>
  <c r="AJ11" i="795" s="1"/>
  <c r="AN9" i="795" s="1"/>
  <c r="Y62" i="795"/>
  <c r="Y58" i="795"/>
  <c r="Y66" i="795"/>
  <c r="Y25" i="795"/>
  <c r="Y89" i="795"/>
  <c r="Y88" i="795"/>
  <c r="Z107" i="795"/>
  <c r="Z106" i="795" s="1"/>
  <c r="Y145" i="795"/>
  <c r="Y146" i="795"/>
  <c r="Y141" i="795"/>
  <c r="Y137" i="795"/>
  <c r="Y133" i="795"/>
  <c r="Y144" i="795"/>
  <c r="Y140" i="795"/>
  <c r="Y136" i="795"/>
  <c r="Y132" i="795"/>
  <c r="Y139" i="795"/>
  <c r="Y18" i="795"/>
  <c r="Y22" i="795"/>
  <c r="Y26" i="795"/>
  <c r="Y30" i="795"/>
  <c r="Y34" i="795"/>
  <c r="Y90" i="795"/>
  <c r="Y111" i="795"/>
  <c r="Y134" i="795"/>
  <c r="Y142" i="795"/>
  <c r="Y21" i="795"/>
  <c r="Y29" i="795"/>
  <c r="Y33" i="795"/>
  <c r="Y220" i="795"/>
  <c r="Y216" i="795"/>
  <c r="Y219" i="795"/>
  <c r="Y215" i="795"/>
  <c r="Y218" i="795"/>
  <c r="Y217" i="795"/>
  <c r="Y19" i="795"/>
  <c r="Y23" i="795"/>
  <c r="Y27" i="795"/>
  <c r="Y91" i="795"/>
  <c r="Z128" i="795"/>
  <c r="Z127" i="795" s="1"/>
  <c r="Y135" i="795"/>
  <c r="Y143" i="795"/>
  <c r="Y221" i="795"/>
  <c r="Z237" i="795"/>
  <c r="Z236" i="795" s="1"/>
  <c r="Z210" i="795"/>
  <c r="Z209" i="795" s="1"/>
  <c r="Y169" i="795"/>
  <c r="Y173" i="795"/>
  <c r="Y177" i="795"/>
  <c r="Y181" i="795"/>
  <c r="Y170" i="795"/>
  <c r="Y174" i="795"/>
  <c r="M24" i="793" a="1"/>
  <c r="M24" i="793" s="1"/>
  <c r="L24" i="793" a="1"/>
  <c r="L24" i="793" s="1"/>
  <c r="K24" i="793" a="1"/>
  <c r="K24" i="793" s="1"/>
  <c r="I29" i="479"/>
  <c r="AG17" i="800" l="1"/>
  <c r="AF6" i="800"/>
  <c r="AF5" i="800"/>
  <c r="AG4" i="800"/>
  <c r="AG15" i="800"/>
  <c r="AF17" i="800"/>
  <c r="AH4" i="798"/>
  <c r="AG18" i="800"/>
  <c r="AG5" i="800"/>
  <c r="AF18" i="800"/>
  <c r="AF7" i="800"/>
  <c r="AG16" i="800"/>
  <c r="AF9" i="800"/>
  <c r="AF10" i="800"/>
  <c r="AF11" i="800"/>
  <c r="AI12" i="798"/>
  <c r="AG9" i="800"/>
  <c r="AF8" i="800"/>
  <c r="AG10" i="800"/>
  <c r="AG11" i="800"/>
  <c r="AM16" i="798"/>
  <c r="AM12" i="798"/>
  <c r="AM8" i="798"/>
  <c r="AM4" i="798"/>
  <c r="AM15" i="798"/>
  <c r="AM11" i="798"/>
  <c r="AM7" i="798"/>
  <c r="AM18" i="798"/>
  <c r="AM14" i="798"/>
  <c r="AM10" i="798"/>
  <c r="AM6" i="798"/>
  <c r="AM17" i="798"/>
  <c r="AM13" i="798"/>
  <c r="AM9" i="798"/>
  <c r="AM5" i="798"/>
  <c r="AG7" i="800"/>
  <c r="AF16" i="800"/>
  <c r="Y15" i="800"/>
  <c r="T4" i="800"/>
  <c r="AG8" i="800"/>
  <c r="T5" i="800"/>
  <c r="AH8" i="798"/>
  <c r="AI8" i="798"/>
  <c r="AI18" i="798"/>
  <c r="AH18" i="798"/>
  <c r="AI13" i="798"/>
  <c r="AH13" i="798"/>
  <c r="AJ13" i="798" s="1"/>
  <c r="AI5" i="798"/>
  <c r="AH5" i="798"/>
  <c r="AI17" i="798"/>
  <c r="AH17" i="798"/>
  <c r="AH10" i="798"/>
  <c r="AI10" i="798"/>
  <c r="AI14" i="798"/>
  <c r="AK14" i="798" s="1"/>
  <c r="AH14" i="798"/>
  <c r="AI11" i="798"/>
  <c r="AH11" i="798"/>
  <c r="AI9" i="798"/>
  <c r="AH9" i="798"/>
  <c r="AI6" i="798"/>
  <c r="AH6" i="798"/>
  <c r="AG19" i="798"/>
  <c r="AH15" i="798"/>
  <c r="AI15" i="798"/>
  <c r="AI16" i="798"/>
  <c r="AK16" i="798" s="1"/>
  <c r="AH16" i="798"/>
  <c r="AH7" i="798"/>
  <c r="AI7" i="798"/>
  <c r="AB171" i="795"/>
  <c r="AC171" i="795" s="1"/>
  <c r="AE171" i="795"/>
  <c r="AD171" i="795"/>
  <c r="AD169" i="795"/>
  <c r="AB169" i="795"/>
  <c r="AC169" i="795" s="1"/>
  <c r="AE169" i="795"/>
  <c r="AB174" i="795"/>
  <c r="AC174" i="795" s="1"/>
  <c r="AE174" i="795"/>
  <c r="AD174" i="795"/>
  <c r="AE64" i="795"/>
  <c r="AB64" i="795"/>
  <c r="AC64" i="795" s="1"/>
  <c r="AD64" i="795"/>
  <c r="AE61" i="795"/>
  <c r="AD61" i="795"/>
  <c r="AB61" i="795"/>
  <c r="AC61" i="795" s="1"/>
  <c r="AE133" i="795"/>
  <c r="AD133" i="795"/>
  <c r="AB133" i="795"/>
  <c r="AC133" i="795" s="1"/>
  <c r="AD132" i="795"/>
  <c r="AE132" i="795"/>
  <c r="AB132" i="795"/>
  <c r="AC132" i="795" s="1"/>
  <c r="AD214" i="795"/>
  <c r="AE214" i="795"/>
  <c r="AB214" i="795"/>
  <c r="AC214" i="795" s="1"/>
  <c r="AE213" i="795"/>
  <c r="AD213" i="795"/>
  <c r="AB213" i="795"/>
  <c r="AC213" i="795" s="1"/>
  <c r="AB31" i="795"/>
  <c r="AB20" i="795"/>
  <c r="AB179" i="795"/>
  <c r="AC179" i="795" s="1"/>
  <c r="AE179" i="795"/>
  <c r="AD179" i="795"/>
  <c r="AD173" i="795"/>
  <c r="AE173" i="795"/>
  <c r="AB173" i="795"/>
  <c r="AC173" i="795" s="1"/>
  <c r="AE168" i="795"/>
  <c r="AD168" i="795"/>
  <c r="AB168" i="795"/>
  <c r="AC168" i="795" s="1"/>
  <c r="AE90" i="795"/>
  <c r="AD90" i="795"/>
  <c r="AB90" i="795"/>
  <c r="AC90" i="795" s="1"/>
  <c r="AD58" i="795"/>
  <c r="AB58" i="795"/>
  <c r="AC58" i="795" s="1"/>
  <c r="AE58" i="795"/>
  <c r="AE63" i="795"/>
  <c r="AB63" i="795"/>
  <c r="AC63" i="795" s="1"/>
  <c r="AD63" i="795"/>
  <c r="AD137" i="795"/>
  <c r="AE137" i="795"/>
  <c r="AB137" i="795"/>
  <c r="AC137" i="795" s="1"/>
  <c r="AB134" i="795"/>
  <c r="AC134" i="795" s="1"/>
  <c r="AE134" i="795"/>
  <c r="AD134" i="795"/>
  <c r="AB216" i="795"/>
  <c r="AC216" i="795" s="1"/>
  <c r="AE216" i="795"/>
  <c r="AD216" i="795"/>
  <c r="AD218" i="795"/>
  <c r="AB218" i="795"/>
  <c r="AC218" i="795" s="1"/>
  <c r="AE218" i="795"/>
  <c r="AB17" i="795"/>
  <c r="AB33" i="795"/>
  <c r="AB30" i="795"/>
  <c r="Z13" i="795"/>
  <c r="AE31" i="795" s="1"/>
  <c r="AJ12" i="795"/>
  <c r="AN10" i="795"/>
  <c r="AD177" i="795"/>
  <c r="AB177" i="795"/>
  <c r="AC177" i="795" s="1"/>
  <c r="AE177" i="795"/>
  <c r="AB170" i="795"/>
  <c r="AC170" i="795" s="1"/>
  <c r="AE170" i="795"/>
  <c r="AD170" i="795"/>
  <c r="AB178" i="795"/>
  <c r="AC178" i="795" s="1"/>
  <c r="AE178" i="795"/>
  <c r="AD178" i="795"/>
  <c r="AB242" i="795"/>
  <c r="AC242" i="795" s="1"/>
  <c r="AE242" i="795"/>
  <c r="AD242" i="795"/>
  <c r="AB88" i="795"/>
  <c r="AC88" i="795" s="1"/>
  <c r="AE88" i="795"/>
  <c r="AD88" i="795"/>
  <c r="AB89" i="795"/>
  <c r="AC89" i="795" s="1"/>
  <c r="AE89" i="795"/>
  <c r="AD89" i="795"/>
  <c r="AD66" i="795"/>
  <c r="AB66" i="795"/>
  <c r="AC66" i="795" s="1"/>
  <c r="AE66" i="795"/>
  <c r="AB60" i="795"/>
  <c r="AC60" i="795" s="1"/>
  <c r="AE60" i="795"/>
  <c r="AD60" i="795"/>
  <c r="AE57" i="795"/>
  <c r="AD57" i="795"/>
  <c r="AB57" i="795"/>
  <c r="AC57" i="795" s="1"/>
  <c r="AE65" i="795"/>
  <c r="AD65" i="795"/>
  <c r="AB65" i="795"/>
  <c r="AC65" i="795" s="1"/>
  <c r="AD141" i="795"/>
  <c r="AE141" i="795"/>
  <c r="AB141" i="795"/>
  <c r="AC141" i="795" s="1"/>
  <c r="AB139" i="795"/>
  <c r="AC139" i="795" s="1"/>
  <c r="AE139" i="795"/>
  <c r="AD139" i="795"/>
  <c r="AE136" i="795"/>
  <c r="AD136" i="795"/>
  <c r="AB136" i="795"/>
  <c r="AC136" i="795" s="1"/>
  <c r="AE144" i="795"/>
  <c r="AD144" i="795"/>
  <c r="AB144" i="795"/>
  <c r="AC144" i="795" s="1"/>
  <c r="AE217" i="795"/>
  <c r="AD217" i="795"/>
  <c r="AB217" i="795"/>
  <c r="AC217" i="795" s="1"/>
  <c r="AB111" i="795"/>
  <c r="AC111" i="795" s="1"/>
  <c r="AE111" i="795"/>
  <c r="AD111" i="795"/>
  <c r="AD27" i="795"/>
  <c r="AB27" i="795"/>
  <c r="AB24" i="795"/>
  <c r="AE24" i="795"/>
  <c r="AB32" i="795"/>
  <c r="AB167" i="795"/>
  <c r="AC167" i="795" s="1"/>
  <c r="AE167" i="795"/>
  <c r="AD167" i="795"/>
  <c r="AB166" i="795"/>
  <c r="AC166" i="795" s="1"/>
  <c r="AE166" i="795"/>
  <c r="AD166" i="795"/>
  <c r="AB240" i="795"/>
  <c r="AC240" i="795" s="1"/>
  <c r="AE240" i="795"/>
  <c r="AD240" i="795"/>
  <c r="AD62" i="795"/>
  <c r="AB62" i="795"/>
  <c r="AC62" i="795" s="1"/>
  <c r="AE62" i="795"/>
  <c r="AD131" i="795"/>
  <c r="AB131" i="795"/>
  <c r="AC131" i="795" s="1"/>
  <c r="AE131" i="795"/>
  <c r="AE140" i="795"/>
  <c r="AD140" i="795"/>
  <c r="AB140" i="795"/>
  <c r="AC140" i="795" s="1"/>
  <c r="AE221" i="795"/>
  <c r="AD221" i="795"/>
  <c r="AB221" i="795"/>
  <c r="AC221" i="795" s="1"/>
  <c r="AE110" i="795"/>
  <c r="AD110" i="795"/>
  <c r="AB110" i="795"/>
  <c r="AC110" i="795" s="1"/>
  <c r="AE19" i="795"/>
  <c r="AB19" i="795"/>
  <c r="AD23" i="795"/>
  <c r="AB23" i="795"/>
  <c r="AB28" i="795"/>
  <c r="AE28" i="795"/>
  <c r="AB175" i="795"/>
  <c r="AC175" i="795" s="1"/>
  <c r="AE175" i="795"/>
  <c r="AD175" i="795"/>
  <c r="AE176" i="795"/>
  <c r="AD176" i="795"/>
  <c r="AB176" i="795"/>
  <c r="AC176" i="795" s="1"/>
  <c r="AB241" i="795"/>
  <c r="AC241" i="795" s="1"/>
  <c r="AE241" i="795"/>
  <c r="AD241" i="795"/>
  <c r="AD87" i="795"/>
  <c r="AB87" i="795"/>
  <c r="AC87" i="795" s="1"/>
  <c r="AE87" i="795"/>
  <c r="AB56" i="795"/>
  <c r="AC56" i="795" s="1"/>
  <c r="AD56" i="795"/>
  <c r="AE56" i="795"/>
  <c r="AB55" i="795"/>
  <c r="AC55" i="795" s="1"/>
  <c r="AE55" i="795"/>
  <c r="AD55" i="795"/>
  <c r="AE135" i="795"/>
  <c r="AB135" i="795"/>
  <c r="AC135" i="795" s="1"/>
  <c r="AD135" i="795"/>
  <c r="AB142" i="795"/>
  <c r="AC142" i="795" s="1"/>
  <c r="AD142" i="795"/>
  <c r="AE142" i="795"/>
  <c r="AB215" i="795"/>
  <c r="AC215" i="795" s="1"/>
  <c r="AE215" i="795"/>
  <c r="AD215" i="795"/>
  <c r="AE112" i="795"/>
  <c r="AD112" i="795"/>
  <c r="AB112" i="795"/>
  <c r="AC112" i="795" s="1"/>
  <c r="AB25" i="795"/>
  <c r="AE25" i="795"/>
  <c r="AB22" i="795"/>
  <c r="AD22" i="795"/>
  <c r="AD181" i="795"/>
  <c r="AE181" i="795"/>
  <c r="AB181" i="795"/>
  <c r="AC181" i="795" s="1"/>
  <c r="AE172" i="795"/>
  <c r="AD172" i="795"/>
  <c r="AB172" i="795"/>
  <c r="AC172" i="795" s="1"/>
  <c r="AE180" i="795"/>
  <c r="AD180" i="795"/>
  <c r="AB180" i="795"/>
  <c r="AC180" i="795" s="1"/>
  <c r="AD91" i="795"/>
  <c r="AB91" i="795"/>
  <c r="AC91" i="795" s="1"/>
  <c r="AE91" i="795"/>
  <c r="AE54" i="795"/>
  <c r="AD54" i="795"/>
  <c r="AB54" i="795"/>
  <c r="AC54" i="795" s="1"/>
  <c r="AE59" i="795"/>
  <c r="AB59" i="795"/>
  <c r="AC59" i="795" s="1"/>
  <c r="AD59" i="795"/>
  <c r="AB67" i="795"/>
  <c r="AC67" i="795" s="1"/>
  <c r="AE67" i="795"/>
  <c r="AD67" i="795"/>
  <c r="AD145" i="795"/>
  <c r="AE145" i="795"/>
  <c r="AB145" i="795"/>
  <c r="AC145" i="795" s="1"/>
  <c r="AB143" i="795"/>
  <c r="AC143" i="795" s="1"/>
  <c r="AE143" i="795"/>
  <c r="AD143" i="795"/>
  <c r="AB138" i="795"/>
  <c r="AC138" i="795" s="1"/>
  <c r="AE138" i="795"/>
  <c r="AD138" i="795"/>
  <c r="AB146" i="795"/>
  <c r="AC146" i="795" s="1"/>
  <c r="AE146" i="795"/>
  <c r="AD146" i="795"/>
  <c r="AB220" i="795"/>
  <c r="AC220" i="795" s="1"/>
  <c r="AE220" i="795"/>
  <c r="AD220" i="795"/>
  <c r="AB219" i="795"/>
  <c r="AC219" i="795" s="1"/>
  <c r="AE219" i="795"/>
  <c r="AD219" i="795"/>
  <c r="AE21" i="795"/>
  <c r="AB21" i="795"/>
  <c r="AB29" i="795"/>
  <c r="AC29" i="795" s="1"/>
  <c r="AB18" i="795"/>
  <c r="AD18" i="795"/>
  <c r="AB26" i="795"/>
  <c r="AB34" i="795"/>
  <c r="AC34" i="795" s="1"/>
  <c r="Q13" i="793"/>
  <c r="Q20" i="793"/>
  <c r="Q26" i="793"/>
  <c r="Q25" i="793"/>
  <c r="Q19" i="793"/>
  <c r="L16" i="793" a="1"/>
  <c r="L16" i="793" s="1"/>
  <c r="K16" i="793" a="1"/>
  <c r="K16" i="793" s="1"/>
  <c r="M16" i="793" a="1"/>
  <c r="M16" i="793" s="1"/>
  <c r="N21" i="793" a="1"/>
  <c r="N21" i="793" s="1"/>
  <c r="L21" i="793" a="1"/>
  <c r="L21" i="793" s="1"/>
  <c r="M21" i="793" a="1"/>
  <c r="M21" i="793" s="1"/>
  <c r="K21" i="793" a="1"/>
  <c r="K21" i="793" s="1"/>
  <c r="M14" i="793" a="1"/>
  <c r="M14" i="793" s="1"/>
  <c r="M17" i="793" s="1" a="1"/>
  <c r="K14" i="793" a="1"/>
  <c r="K14" i="793" s="1"/>
  <c r="L14" i="793" a="1"/>
  <c r="L14" i="793" s="1"/>
  <c r="N22" i="793" a="1"/>
  <c r="N22" i="793" s="1"/>
  <c r="L22" i="793" a="1"/>
  <c r="L22" i="793" s="1"/>
  <c r="M22" i="793" a="1"/>
  <c r="M22" i="793" s="1"/>
  <c r="K22" i="793" a="1"/>
  <c r="K22" i="793" s="1"/>
  <c r="L8" i="793" a="1"/>
  <c r="L8" i="793" s="1"/>
  <c r="K8" i="793" a="1"/>
  <c r="K8" i="793" s="1"/>
  <c r="M8" i="793" a="1"/>
  <c r="M8" i="793" s="1"/>
  <c r="N23" i="793" a="1"/>
  <c r="N23" i="793" s="1"/>
  <c r="L23" i="793" a="1"/>
  <c r="L23" i="793" s="1"/>
  <c r="K23" i="793" a="1"/>
  <c r="K23" i="793" s="1"/>
  <c r="M23" i="793" a="1"/>
  <c r="M23" i="793" s="1"/>
  <c r="M7" i="793" a="1"/>
  <c r="M7" i="793" s="1"/>
  <c r="K7" i="793" a="1"/>
  <c r="K7" i="793" s="1"/>
  <c r="L7" i="793" a="1"/>
  <c r="L7" i="793" s="1"/>
  <c r="L10" i="793" s="1" a="1"/>
  <c r="L15" i="793" a="1"/>
  <c r="L15" i="793" s="1"/>
  <c r="K15" i="793" a="1"/>
  <c r="K15" i="793" s="1"/>
  <c r="M15" i="793" a="1"/>
  <c r="M15" i="793" s="1"/>
  <c r="M9" i="793" a="1"/>
  <c r="M9" i="793" s="1"/>
  <c r="K9" i="793" a="1"/>
  <c r="K9" i="793" s="1"/>
  <c r="L9" i="793" a="1"/>
  <c r="L9" i="793" s="1"/>
  <c r="Q13" i="794"/>
  <c r="Q20" i="794"/>
  <c r="Q26" i="794"/>
  <c r="Q25" i="794"/>
  <c r="Q19" i="794"/>
  <c r="E18" i="792"/>
  <c r="D18" i="792"/>
  <c r="C18" i="792"/>
  <c r="AJ12" i="798" l="1"/>
  <c r="AJ9" i="798"/>
  <c r="AK9" i="798"/>
  <c r="AJ11" i="798"/>
  <c r="AK10" i="798"/>
  <c r="AK11" i="798"/>
  <c r="AJ10" i="798"/>
  <c r="AK15" i="798"/>
  <c r="AK13" i="798"/>
  <c r="AJ15" i="798"/>
  <c r="AJ16" i="798"/>
  <c r="AJ14" i="798"/>
  <c r="AJ17" i="798"/>
  <c r="AJ4" i="798"/>
  <c r="AK18" i="798"/>
  <c r="AK17" i="798"/>
  <c r="AK12" i="798"/>
  <c r="AK4" i="798"/>
  <c r="AJ18" i="798"/>
  <c r="AK7" i="798"/>
  <c r="AJ6" i="798"/>
  <c r="AJ7" i="798"/>
  <c r="AK6" i="798"/>
  <c r="AJ5" i="798"/>
  <c r="AK8" i="798"/>
  <c r="AK5" i="798"/>
  <c r="AJ8" i="798"/>
  <c r="AE26" i="795"/>
  <c r="AE18" i="795"/>
  <c r="AE29" i="795"/>
  <c r="AC28" i="795"/>
  <c r="AE23" i="795"/>
  <c r="AE32" i="795"/>
  <c r="AC24" i="795"/>
  <c r="AE27" i="795"/>
  <c r="AD30" i="795"/>
  <c r="AE22" i="795"/>
  <c r="AC25" i="795"/>
  <c r="AE34" i="795"/>
  <c r="AD26" i="795"/>
  <c r="AC18" i="795"/>
  <c r="AD21" i="795"/>
  <c r="AC22" i="795"/>
  <c r="AD28" i="795"/>
  <c r="AC19" i="795"/>
  <c r="AC32" i="795"/>
  <c r="AD24" i="795"/>
  <c r="AD20" i="795"/>
  <c r="N8" i="793" a="1"/>
  <c r="N8" i="793" s="1"/>
  <c r="L17" i="793" a="1"/>
  <c r="AD34" i="795"/>
  <c r="AC26" i="795"/>
  <c r="AD29" i="795"/>
  <c r="AC21" i="795"/>
  <c r="AD25" i="795"/>
  <c r="AC23" i="795"/>
  <c r="AD19" i="795"/>
  <c r="AD32" i="795"/>
  <c r="AC27" i="795"/>
  <c r="AC30" i="795"/>
  <c r="AC33" i="795"/>
  <c r="AE17" i="795"/>
  <c r="T17" i="800"/>
  <c r="U5" i="800"/>
  <c r="T10" i="800"/>
  <c r="T11" i="800" s="1"/>
  <c r="U4" i="800"/>
  <c r="V4" i="798"/>
  <c r="V5" i="798"/>
  <c r="L10" i="793"/>
  <c r="M17" i="793"/>
  <c r="L17" i="793"/>
  <c r="AB105" i="795"/>
  <c r="Z98" i="795"/>
  <c r="AI6" i="795"/>
  <c r="AK6" i="795" s="1"/>
  <c r="AA106" i="795"/>
  <c r="AB49" i="795"/>
  <c r="Z42" i="795"/>
  <c r="AA50" i="795"/>
  <c r="AB235" i="795"/>
  <c r="Z228" i="795"/>
  <c r="AI9" i="795"/>
  <c r="AK9" i="795" s="1"/>
  <c r="AA236" i="795"/>
  <c r="AB126" i="795"/>
  <c r="Z119" i="795"/>
  <c r="AA127" i="795"/>
  <c r="AA13" i="795"/>
  <c r="AB12" i="795"/>
  <c r="Z5" i="795"/>
  <c r="Z201" i="795"/>
  <c r="AB208" i="795"/>
  <c r="AI10" i="795"/>
  <c r="AK10" i="795" s="1"/>
  <c r="AA209" i="795"/>
  <c r="Z75" i="795"/>
  <c r="AB82" i="795"/>
  <c r="AA83" i="795"/>
  <c r="AB161" i="795"/>
  <c r="Z154" i="795"/>
  <c r="AA162" i="795"/>
  <c r="AJ5" i="795"/>
  <c r="AJ7" i="795" s="1"/>
  <c r="AN6" i="795" s="1"/>
  <c r="AK12" i="795"/>
  <c r="AD33" i="795"/>
  <c r="AC17" i="795"/>
  <c r="AC31" i="795"/>
  <c r="AE20" i="795"/>
  <c r="AD31" i="795"/>
  <c r="AE30" i="795"/>
  <c r="AE33" i="795"/>
  <c r="AD17" i="795"/>
  <c r="AC20" i="795"/>
  <c r="K10" i="793" a="1"/>
  <c r="K10" i="793" s="1"/>
  <c r="R7" i="793" s="1"/>
  <c r="K5" i="793"/>
  <c r="N7" i="793" a="1"/>
  <c r="N7" i="793" s="1"/>
  <c r="N15" i="793" a="1"/>
  <c r="N15" i="793" s="1"/>
  <c r="M10" i="793" a="1"/>
  <c r="M10" i="793" s="1"/>
  <c r="N16" i="793" a="1"/>
  <c r="N16" i="793" s="1"/>
  <c r="N9" i="793" a="1"/>
  <c r="N9" i="793" s="1"/>
  <c r="K17" i="793" a="1"/>
  <c r="K17" i="793" s="1"/>
  <c r="N14" i="793" a="1"/>
  <c r="N14" i="793" s="1"/>
  <c r="Q27" i="793"/>
  <c r="Q21" i="793"/>
  <c r="N22" i="794" a="1"/>
  <c r="N22" i="794" s="1"/>
  <c r="N21" i="794" a="1"/>
  <c r="N21" i="794" s="1"/>
  <c r="M24" i="794" a="1"/>
  <c r="M24" i="794" s="1"/>
  <c r="K24" i="794" a="1"/>
  <c r="K24" i="794" s="1"/>
  <c r="L24" i="794" a="1"/>
  <c r="L24" i="794" s="1"/>
  <c r="N24" i="794"/>
  <c r="S14" i="794" s="1"/>
  <c r="Q27" i="794"/>
  <c r="Q21" i="794"/>
  <c r="T34" i="467"/>
  <c r="S34" i="467"/>
  <c r="R34" i="467"/>
  <c r="N10" i="793" l="1" a="1"/>
  <c r="W5" i="798"/>
  <c r="V17" i="798"/>
  <c r="V10" i="798"/>
  <c r="V11" i="798" s="1"/>
  <c r="W4" i="798"/>
  <c r="J17" i="792"/>
  <c r="I12" i="792"/>
  <c r="K6" i="792"/>
  <c r="I7" i="792"/>
  <c r="M23" i="794" a="1"/>
  <c r="M23" i="794" s="1"/>
  <c r="R11" i="793"/>
  <c r="S11" i="793" s="1"/>
  <c r="M22" i="794" a="1"/>
  <c r="M22" i="794" s="1"/>
  <c r="L23" i="794" a="1"/>
  <c r="L23" i="794" s="1"/>
  <c r="K23" i="794" a="1"/>
  <c r="K23" i="794" s="1"/>
  <c r="N23" i="794" a="1"/>
  <c r="N23" i="794" s="1"/>
  <c r="N10" i="793"/>
  <c r="R14" i="793" s="1"/>
  <c r="R10" i="793" s="1"/>
  <c r="J11" i="792"/>
  <c r="K21" i="794" a="1"/>
  <c r="K21" i="794" s="1"/>
  <c r="AB162" i="795"/>
  <c r="Z156" i="795" s="1"/>
  <c r="AC153" i="795"/>
  <c r="AC154" i="795" s="1"/>
  <c r="AC155" i="795"/>
  <c r="AB13" i="795"/>
  <c r="Z7" i="795" s="1"/>
  <c r="AC6" i="795"/>
  <c r="AC4" i="795"/>
  <c r="AC5" i="795" s="1"/>
  <c r="Z155" i="795"/>
  <c r="Z153" i="795"/>
  <c r="Z76" i="795"/>
  <c r="Z74" i="795"/>
  <c r="Z202" i="795"/>
  <c r="Z200" i="795"/>
  <c r="AB127" i="795"/>
  <c r="Z121" i="795" s="1"/>
  <c r="AC118" i="795"/>
  <c r="AC119" i="795" s="1"/>
  <c r="AC120" i="795"/>
  <c r="Z41" i="795"/>
  <c r="Z43" i="795"/>
  <c r="Z99" i="795"/>
  <c r="Z97" i="795"/>
  <c r="AB83" i="795"/>
  <c r="Z77" i="795" s="1"/>
  <c r="AC74" i="795"/>
  <c r="AC75" i="795" s="1"/>
  <c r="AC76" i="795"/>
  <c r="AB106" i="795"/>
  <c r="Z100" i="795" s="1"/>
  <c r="AC97" i="795"/>
  <c r="AC98" i="795" s="1"/>
  <c r="AC99" i="795"/>
  <c r="AB236" i="795"/>
  <c r="Z230" i="795" s="1"/>
  <c r="AC229" i="795"/>
  <c r="AC227" i="795"/>
  <c r="AC228" i="795" s="1"/>
  <c r="AC43" i="795"/>
  <c r="AC41" i="795"/>
  <c r="AC42" i="795" s="1"/>
  <c r="AI8" i="795"/>
  <c r="AB50" i="795"/>
  <c r="Z44" i="795" s="1"/>
  <c r="AB209" i="795"/>
  <c r="Z203" i="795" s="1"/>
  <c r="AC202" i="795"/>
  <c r="AC200" i="795"/>
  <c r="AC201" i="795" s="1"/>
  <c r="Z4" i="795"/>
  <c r="Z6" i="795"/>
  <c r="Z120" i="795"/>
  <c r="Z118" i="795"/>
  <c r="Z229" i="795"/>
  <c r="Z227" i="795"/>
  <c r="N17" i="793" a="1"/>
  <c r="N17" i="793" s="1"/>
  <c r="R8" i="793"/>
  <c r="M7" i="794" a="1"/>
  <c r="M7" i="794" s="1"/>
  <c r="K7" i="794" a="1"/>
  <c r="K7" i="794" s="1"/>
  <c r="L7" i="794" a="1"/>
  <c r="L7" i="794" s="1"/>
  <c r="L8" i="794" a="1"/>
  <c r="L8" i="794" s="1"/>
  <c r="K8" i="794" a="1"/>
  <c r="K8" i="794" s="1"/>
  <c r="M8" i="794" a="1"/>
  <c r="M8" i="794" s="1"/>
  <c r="L16" i="794" a="1"/>
  <c r="L16" i="794" s="1"/>
  <c r="M16" i="794" a="1"/>
  <c r="M16" i="794" s="1"/>
  <c r="K16" i="794" a="1"/>
  <c r="K16" i="794" s="1"/>
  <c r="M21" i="794" a="1"/>
  <c r="M21" i="794" s="1"/>
  <c r="L15" i="794" a="1"/>
  <c r="L15" i="794" s="1"/>
  <c r="M15" i="794" a="1"/>
  <c r="M15" i="794" s="1"/>
  <c r="K15" i="794" a="1"/>
  <c r="K15" i="794" s="1"/>
  <c r="L22" i="794" a="1"/>
  <c r="L22" i="794" s="1"/>
  <c r="L21" i="794" a="1"/>
  <c r="L21" i="794" s="1"/>
  <c r="K22" i="794" a="1"/>
  <c r="K22" i="794" s="1"/>
  <c r="M9" i="794" a="1"/>
  <c r="M9" i="794" s="1"/>
  <c r="K9" i="794" a="1"/>
  <c r="K9" i="794" s="1"/>
  <c r="L9" i="794" a="1"/>
  <c r="L9" i="794" s="1"/>
  <c r="M14" i="794" a="1"/>
  <c r="M14" i="794" s="1"/>
  <c r="M17" i="794" s="1" a="1"/>
  <c r="M17" i="794" s="1"/>
  <c r="K14" i="794" a="1"/>
  <c r="K14" i="794" s="1"/>
  <c r="L14" i="794" a="1"/>
  <c r="L14" i="794" s="1"/>
  <c r="J13" i="792"/>
  <c r="I8" i="792"/>
  <c r="K14" i="792"/>
  <c r="J9" i="792"/>
  <c r="I15" i="792"/>
  <c r="J10" i="792"/>
  <c r="K16" i="792"/>
  <c r="K13" i="792"/>
  <c r="J14" i="792"/>
  <c r="J15" i="792"/>
  <c r="J12" i="792"/>
  <c r="I13" i="792"/>
  <c r="K7" i="792"/>
  <c r="I14" i="792"/>
  <c r="K8" i="792"/>
  <c r="K9" i="792"/>
  <c r="K15" i="792"/>
  <c r="J16" i="792"/>
  <c r="J8" i="792"/>
  <c r="I9" i="792"/>
  <c r="I10" i="792"/>
  <c r="I16" i="792"/>
  <c r="K10" i="792"/>
  <c r="K17" i="792"/>
  <c r="I11" i="792"/>
  <c r="I17" i="792"/>
  <c r="K11" i="792"/>
  <c r="J6" i="792"/>
  <c r="K12" i="792"/>
  <c r="J7" i="792"/>
  <c r="I6" i="792"/>
  <c r="D16" i="790"/>
  <c r="C16" i="790"/>
  <c r="I15" i="790"/>
  <c r="H15" i="790"/>
  <c r="J15" i="790" s="1"/>
  <c r="K15" i="790" s="1"/>
  <c r="G15" i="790"/>
  <c r="F15" i="790"/>
  <c r="I14" i="790"/>
  <c r="H14" i="790"/>
  <c r="J14" i="790" s="1"/>
  <c r="K14" i="790" s="1"/>
  <c r="G14" i="790"/>
  <c r="F14" i="790"/>
  <c r="I13" i="790"/>
  <c r="H13" i="790"/>
  <c r="J13" i="790" s="1"/>
  <c r="K13" i="790" s="1"/>
  <c r="G13" i="790"/>
  <c r="F13" i="790"/>
  <c r="I12" i="790"/>
  <c r="H12" i="790"/>
  <c r="J12" i="790" s="1"/>
  <c r="K12" i="790" s="1"/>
  <c r="G12" i="790"/>
  <c r="F12" i="790"/>
  <c r="I11" i="790"/>
  <c r="H11" i="790"/>
  <c r="J11" i="790" s="1"/>
  <c r="G11" i="790"/>
  <c r="F11" i="790"/>
  <c r="I10" i="790"/>
  <c r="H10" i="790"/>
  <c r="G10" i="790"/>
  <c r="F10" i="790"/>
  <c r="I9" i="790"/>
  <c r="H9" i="790"/>
  <c r="G9" i="790"/>
  <c r="F9" i="790"/>
  <c r="I8" i="790"/>
  <c r="H8" i="790"/>
  <c r="G8" i="790"/>
  <c r="F8" i="790"/>
  <c r="I7" i="790"/>
  <c r="H7" i="790"/>
  <c r="G7" i="790"/>
  <c r="F7" i="790"/>
  <c r="I6" i="790"/>
  <c r="H6" i="790"/>
  <c r="G6" i="790"/>
  <c r="F6" i="790"/>
  <c r="I5" i="790"/>
  <c r="H5" i="790"/>
  <c r="G5" i="790"/>
  <c r="F5" i="790"/>
  <c r="I4" i="790"/>
  <c r="H4" i="790"/>
  <c r="G4" i="790"/>
  <c r="F4" i="790"/>
  <c r="I3" i="790"/>
  <c r="H3" i="790"/>
  <c r="G3" i="790"/>
  <c r="F3" i="790"/>
  <c r="F20" i="790" s="1" a="1"/>
  <c r="G19" i="791" a="1"/>
  <c r="G20" i="791" s="1"/>
  <c r="D16" i="791"/>
  <c r="C16" i="791"/>
  <c r="I15" i="791"/>
  <c r="H15" i="791"/>
  <c r="G15" i="791"/>
  <c r="F15" i="791"/>
  <c r="I14" i="791"/>
  <c r="H14" i="791"/>
  <c r="G14" i="791"/>
  <c r="F14" i="791"/>
  <c r="I13" i="791"/>
  <c r="H13" i="791"/>
  <c r="G13" i="791"/>
  <c r="F13" i="791"/>
  <c r="I12" i="791"/>
  <c r="H12" i="791"/>
  <c r="G12" i="791"/>
  <c r="F12" i="791"/>
  <c r="I11" i="791"/>
  <c r="J11" i="791" s="1"/>
  <c r="H11" i="791"/>
  <c r="G11" i="791"/>
  <c r="F11" i="791"/>
  <c r="I10" i="791"/>
  <c r="H10" i="791"/>
  <c r="G10" i="791"/>
  <c r="F10" i="791"/>
  <c r="Q10" i="791" s="1"/>
  <c r="L10" i="791" s="1"/>
  <c r="I9" i="791"/>
  <c r="J9" i="791" s="1"/>
  <c r="H9" i="791"/>
  <c r="G9" i="791"/>
  <c r="F9" i="791"/>
  <c r="Q9" i="791" s="1"/>
  <c r="I8" i="791"/>
  <c r="H8" i="791"/>
  <c r="G8" i="791"/>
  <c r="F8" i="791"/>
  <c r="I7" i="791"/>
  <c r="H7" i="791"/>
  <c r="G7" i="791"/>
  <c r="F7" i="791"/>
  <c r="Q7" i="791" s="1"/>
  <c r="I6" i="791"/>
  <c r="H6" i="791"/>
  <c r="G6" i="791"/>
  <c r="F6" i="791"/>
  <c r="J5" i="791"/>
  <c r="K5" i="791" s="1"/>
  <c r="I5" i="791"/>
  <c r="H5" i="791"/>
  <c r="G5" i="791"/>
  <c r="F5" i="791"/>
  <c r="I4" i="791"/>
  <c r="H4" i="791"/>
  <c r="J4" i="791" s="1"/>
  <c r="G4" i="791"/>
  <c r="F4" i="791"/>
  <c r="I3" i="791"/>
  <c r="H3" i="791"/>
  <c r="G3" i="791"/>
  <c r="F3" i="791"/>
  <c r="J14" i="791" l="1"/>
  <c r="J15" i="791"/>
  <c r="J10" i="790"/>
  <c r="K10" i="790" s="1"/>
  <c r="L10" i="794" a="1"/>
  <c r="N15" i="794" a="1"/>
  <c r="X7" i="791"/>
  <c r="Q8" i="791"/>
  <c r="L8" i="791" s="1"/>
  <c r="X7" i="790"/>
  <c r="J6" i="791"/>
  <c r="J10" i="791"/>
  <c r="J12" i="791"/>
  <c r="K12" i="791" s="1"/>
  <c r="Q13" i="791"/>
  <c r="R13" i="791" s="1"/>
  <c r="J5" i="790"/>
  <c r="J6" i="790"/>
  <c r="J7" i="790"/>
  <c r="K7" i="790" s="1"/>
  <c r="J8" i="790"/>
  <c r="K8" i="790" s="1"/>
  <c r="R25" i="793"/>
  <c r="S25" i="793" s="1"/>
  <c r="R19" i="793"/>
  <c r="S19" i="793" s="1"/>
  <c r="L7" i="792"/>
  <c r="AC49" i="795"/>
  <c r="AD49" i="795" s="1"/>
  <c r="AE49" i="795" s="1"/>
  <c r="AC161" i="795"/>
  <c r="AD161" i="795" s="1"/>
  <c r="AE161" i="795" s="1"/>
  <c r="AC82" i="795"/>
  <c r="AD82" i="795" s="1"/>
  <c r="AE82" i="795" s="1"/>
  <c r="AC126" i="795"/>
  <c r="AD126" i="795" s="1"/>
  <c r="AE126" i="795" s="1"/>
  <c r="AC105" i="795"/>
  <c r="AD105" i="795" s="1"/>
  <c r="AE105" i="795" s="1"/>
  <c r="L10" i="794"/>
  <c r="Q14" i="793"/>
  <c r="Q7" i="793" s="1"/>
  <c r="Q9" i="793" s="1"/>
  <c r="AC208" i="795"/>
  <c r="AD208" i="795" s="1"/>
  <c r="AE208" i="795" s="1"/>
  <c r="N15" i="794"/>
  <c r="AC235" i="795"/>
  <c r="AD235" i="795" s="1"/>
  <c r="AE235" i="795" s="1"/>
  <c r="AI11" i="795"/>
  <c r="AK11" i="795" s="1"/>
  <c r="AI5" i="795"/>
  <c r="AI7" i="795" s="1"/>
  <c r="AK7" i="795" s="1"/>
  <c r="AL6" i="795" s="1"/>
  <c r="AM6" i="795" s="1"/>
  <c r="AC12" i="795"/>
  <c r="AD12" i="795" s="1"/>
  <c r="AE12" i="795" s="1"/>
  <c r="R12" i="793"/>
  <c r="S8" i="793"/>
  <c r="R9" i="793"/>
  <c r="K10" i="794" a="1"/>
  <c r="K10" i="794" s="1"/>
  <c r="R7" i="794" s="1"/>
  <c r="K5" i="794"/>
  <c r="N7" i="794" a="1"/>
  <c r="N7" i="794" s="1"/>
  <c r="N16" i="794" a="1"/>
  <c r="N16" i="794" s="1"/>
  <c r="N8" i="794" a="1"/>
  <c r="N8" i="794" s="1"/>
  <c r="M10" i="794" a="1"/>
  <c r="M10" i="794" s="1"/>
  <c r="K17" i="794" a="1"/>
  <c r="K17" i="794" s="1"/>
  <c r="N14" i="794" a="1"/>
  <c r="N14" i="794" s="1"/>
  <c r="L17" i="794" a="1"/>
  <c r="L17" i="794" s="1"/>
  <c r="N9" i="794" a="1"/>
  <c r="N9" i="794" s="1"/>
  <c r="L17" i="792"/>
  <c r="L14" i="792"/>
  <c r="L8" i="792"/>
  <c r="L13" i="792"/>
  <c r="L6" i="792"/>
  <c r="L15" i="792"/>
  <c r="L12" i="792"/>
  <c r="L16" i="792"/>
  <c r="L11" i="792"/>
  <c r="L10" i="792"/>
  <c r="L9" i="792"/>
  <c r="R7" i="791"/>
  <c r="L7" i="791"/>
  <c r="R8" i="791"/>
  <c r="F20" i="791" a="1"/>
  <c r="F20" i="791" s="1"/>
  <c r="Q4" i="791"/>
  <c r="L4" i="791" s="1"/>
  <c r="Q6" i="791"/>
  <c r="R6" i="791" s="1"/>
  <c r="Q12" i="791"/>
  <c r="R12" i="791" s="1"/>
  <c r="G21" i="791"/>
  <c r="P10" i="791"/>
  <c r="Q11" i="791"/>
  <c r="L11" i="791" s="1"/>
  <c r="P11" i="791" s="1"/>
  <c r="J13" i="791"/>
  <c r="K13" i="791" s="1"/>
  <c r="Q14" i="791"/>
  <c r="R14" i="791" s="1"/>
  <c r="Q15" i="791"/>
  <c r="R15" i="791" s="1"/>
  <c r="F21" i="790"/>
  <c r="F20" i="790"/>
  <c r="H16" i="790"/>
  <c r="I16" i="790"/>
  <c r="AH6" i="790" s="1"/>
  <c r="K6" i="790"/>
  <c r="K5" i="790"/>
  <c r="K11" i="790"/>
  <c r="J4" i="790"/>
  <c r="J9" i="790"/>
  <c r="K9" i="791"/>
  <c r="L15" i="791"/>
  <c r="K10" i="791"/>
  <c r="O10" i="791" s="1"/>
  <c r="K11" i="791"/>
  <c r="O11" i="791" s="1"/>
  <c r="I16" i="791"/>
  <c r="AH6" i="791" s="1"/>
  <c r="Q5" i="791"/>
  <c r="K6" i="791"/>
  <c r="S7" i="791"/>
  <c r="J7" i="791"/>
  <c r="P7" i="791" s="1"/>
  <c r="J8" i="791"/>
  <c r="L9" i="791"/>
  <c r="P9" i="791" s="1"/>
  <c r="M10" i="791"/>
  <c r="N10" i="791" s="1"/>
  <c r="R10" i="791"/>
  <c r="S10" i="791" s="1"/>
  <c r="L14" i="791"/>
  <c r="P14" i="791" s="1"/>
  <c r="R9" i="791"/>
  <c r="M15" i="791"/>
  <c r="N15" i="791" s="1"/>
  <c r="H16" i="791"/>
  <c r="K4" i="791"/>
  <c r="K14" i="791"/>
  <c r="K15" i="791"/>
  <c r="G19" i="791"/>
  <c r="F21" i="791" l="1"/>
  <c r="P8" i="791"/>
  <c r="N10" i="794" a="1"/>
  <c r="L13" i="791"/>
  <c r="M13" i="791" s="1"/>
  <c r="N13" i="791" s="1"/>
  <c r="S14" i="791"/>
  <c r="L6" i="791"/>
  <c r="P6" i="791" s="1"/>
  <c r="R11" i="791"/>
  <c r="S11" i="791" s="1"/>
  <c r="O6" i="791"/>
  <c r="M11" i="791"/>
  <c r="N11" i="791" s="1"/>
  <c r="R4" i="791"/>
  <c r="R11" i="794"/>
  <c r="S11" i="794" s="1"/>
  <c r="N10" i="794"/>
  <c r="R14" i="794" s="1"/>
  <c r="Q14" i="794" s="1"/>
  <c r="Q7" i="794" s="1"/>
  <c r="Q9" i="794" s="1"/>
  <c r="S9" i="793"/>
  <c r="T8" i="793" s="1"/>
  <c r="U8" i="793" s="1"/>
  <c r="AL9" i="795"/>
  <c r="AM9" i="795" s="1"/>
  <c r="AL10" i="795"/>
  <c r="AM10" i="795" s="1"/>
  <c r="V8" i="793"/>
  <c r="R26" i="793"/>
  <c r="R20" i="793"/>
  <c r="S12" i="793"/>
  <c r="R13" i="793"/>
  <c r="V12" i="793" s="1"/>
  <c r="N17" i="794" a="1"/>
  <c r="N17" i="794" s="1"/>
  <c r="R8" i="794"/>
  <c r="R19" i="794"/>
  <c r="R10" i="794"/>
  <c r="O4" i="791"/>
  <c r="L12" i="791"/>
  <c r="M12" i="791" s="1"/>
  <c r="N12" i="791" s="1"/>
  <c r="O14" i="791"/>
  <c r="S9" i="791"/>
  <c r="S8" i="791"/>
  <c r="O13" i="791"/>
  <c r="S4" i="791"/>
  <c r="O9" i="791"/>
  <c r="J16" i="790"/>
  <c r="X3" i="790" s="1"/>
  <c r="K4" i="790"/>
  <c r="AG6" i="790"/>
  <c r="K9" i="790"/>
  <c r="Q15" i="790"/>
  <c r="Q14" i="790"/>
  <c r="Q13" i="790"/>
  <c r="Q12" i="790"/>
  <c r="Q6" i="790"/>
  <c r="Q8" i="790"/>
  <c r="Q7" i="790"/>
  <c r="Q11" i="790"/>
  <c r="Q10" i="790"/>
  <c r="Q5" i="790"/>
  <c r="Q9" i="790"/>
  <c r="Q4" i="790"/>
  <c r="G19" i="790" a="1"/>
  <c r="P13" i="791"/>
  <c r="S13" i="791"/>
  <c r="L5" i="791"/>
  <c r="R5" i="791"/>
  <c r="P15" i="791"/>
  <c r="J16" i="791"/>
  <c r="AG6" i="791"/>
  <c r="S12" i="791"/>
  <c r="K8" i="791"/>
  <c r="O8" i="791" s="1"/>
  <c r="M8" i="791"/>
  <c r="N8" i="791" s="1"/>
  <c r="S6" i="791"/>
  <c r="M9" i="791"/>
  <c r="N9" i="791" s="1"/>
  <c r="K7" i="791"/>
  <c r="O7" i="791" s="1"/>
  <c r="M7" i="791"/>
  <c r="N7" i="791" s="1"/>
  <c r="O15" i="791"/>
  <c r="S15" i="791"/>
  <c r="M14" i="791"/>
  <c r="N14" i="791" s="1"/>
  <c r="M6" i="791"/>
  <c r="N6" i="791" s="1"/>
  <c r="P4" i="791"/>
  <c r="M4" i="791"/>
  <c r="P12" i="791" l="1"/>
  <c r="O12" i="791"/>
  <c r="AG4" i="791"/>
  <c r="AG8" i="791" s="1"/>
  <c r="AH4" i="791"/>
  <c r="AH5" i="791" s="1"/>
  <c r="AH8" i="791" s="1"/>
  <c r="R25" i="794"/>
  <c r="S25" i="794" s="1"/>
  <c r="S20" i="793"/>
  <c r="R27" i="793"/>
  <c r="R21" i="793"/>
  <c r="S13" i="793"/>
  <c r="T11" i="793" s="1"/>
  <c r="U11" i="793" s="1"/>
  <c r="V11" i="793"/>
  <c r="S26" i="793"/>
  <c r="R12" i="794"/>
  <c r="R13" i="794" s="1"/>
  <c r="S8" i="794"/>
  <c r="S19" i="794"/>
  <c r="R9" i="794"/>
  <c r="S9" i="794" s="1"/>
  <c r="S5" i="791"/>
  <c r="R7" i="790"/>
  <c r="L7" i="790"/>
  <c r="L5" i="790"/>
  <c r="R5" i="790"/>
  <c r="R8" i="790"/>
  <c r="L8" i="790"/>
  <c r="L14" i="790"/>
  <c r="R14" i="790"/>
  <c r="L13" i="790"/>
  <c r="R13" i="790"/>
  <c r="G20" i="790"/>
  <c r="G19" i="790"/>
  <c r="G21" i="790"/>
  <c r="L10" i="790"/>
  <c r="R10" i="790"/>
  <c r="L6" i="790"/>
  <c r="R6" i="790"/>
  <c r="L15" i="790"/>
  <c r="R15" i="790"/>
  <c r="AI6" i="790"/>
  <c r="R9" i="790"/>
  <c r="L9" i="790"/>
  <c r="R4" i="790"/>
  <c r="L4" i="790"/>
  <c r="L11" i="790"/>
  <c r="R11" i="790"/>
  <c r="L12" i="790"/>
  <c r="R12" i="790"/>
  <c r="AN5" i="791"/>
  <c r="AO5" i="791"/>
  <c r="AG5" i="791"/>
  <c r="AI5" i="791" s="1"/>
  <c r="AI6" i="791"/>
  <c r="P5" i="791"/>
  <c r="O5" i="791"/>
  <c r="O16" i="791" s="1"/>
  <c r="X4" i="791" s="1"/>
  <c r="M5" i="791"/>
  <c r="N5" i="791" s="1"/>
  <c r="N4" i="791"/>
  <c r="P16" i="791"/>
  <c r="X3" i="791"/>
  <c r="AI4" i="791" l="1"/>
  <c r="AI8" i="791"/>
  <c r="X13" i="791"/>
  <c r="X14" i="791" s="1"/>
  <c r="S6" i="790"/>
  <c r="S15" i="790"/>
  <c r="S10" i="790"/>
  <c r="V8" i="794"/>
  <c r="S27" i="793"/>
  <c r="T25" i="793" s="1"/>
  <c r="S21" i="793"/>
  <c r="T19" i="793" s="1"/>
  <c r="T12" i="793"/>
  <c r="U12" i="793" s="1"/>
  <c r="R27" i="794"/>
  <c r="R21" i="794"/>
  <c r="S13" i="794"/>
  <c r="T11" i="794" s="1"/>
  <c r="U11" i="794" s="1"/>
  <c r="V11" i="794"/>
  <c r="R26" i="794"/>
  <c r="V12" i="794"/>
  <c r="R20" i="794"/>
  <c r="S12" i="794"/>
  <c r="T8" i="794"/>
  <c r="U8" i="794" s="1"/>
  <c r="S7" i="790"/>
  <c r="S11" i="790"/>
  <c r="S12" i="790"/>
  <c r="S14" i="790"/>
  <c r="S5" i="790"/>
  <c r="S13" i="790"/>
  <c r="S4" i="790"/>
  <c r="S8" i="790"/>
  <c r="AO5" i="790"/>
  <c r="AN5" i="790"/>
  <c r="AG4" i="790"/>
  <c r="P4" i="790"/>
  <c r="AH4" i="790"/>
  <c r="AH5" i="790" s="1"/>
  <c r="AH8" i="790" s="1"/>
  <c r="M4" i="790"/>
  <c r="P6" i="790"/>
  <c r="M6" i="790"/>
  <c r="N6" i="790" s="1"/>
  <c r="O6" i="790"/>
  <c r="P14" i="790"/>
  <c r="M14" i="790"/>
  <c r="N14" i="790" s="1"/>
  <c r="O14" i="790"/>
  <c r="P7" i="790"/>
  <c r="M7" i="790"/>
  <c r="N7" i="790" s="1"/>
  <c r="O7" i="790"/>
  <c r="P12" i="790"/>
  <c r="O12" i="790"/>
  <c r="M12" i="790"/>
  <c r="N12" i="790" s="1"/>
  <c r="P15" i="790"/>
  <c r="O15" i="790"/>
  <c r="M15" i="790"/>
  <c r="N15" i="790" s="1"/>
  <c r="P13" i="790"/>
  <c r="O13" i="790"/>
  <c r="M13" i="790"/>
  <c r="N13" i="790" s="1"/>
  <c r="P9" i="790"/>
  <c r="O9" i="790"/>
  <c r="M9" i="790"/>
  <c r="N9" i="790" s="1"/>
  <c r="P10" i="790"/>
  <c r="M10" i="790"/>
  <c r="N10" i="790" s="1"/>
  <c r="O10" i="790"/>
  <c r="P11" i="790"/>
  <c r="M11" i="790"/>
  <c r="N11" i="790" s="1"/>
  <c r="O11" i="790"/>
  <c r="S9" i="790"/>
  <c r="P8" i="790"/>
  <c r="M8" i="790"/>
  <c r="N8" i="790" s="1"/>
  <c r="O8" i="790"/>
  <c r="P5" i="790"/>
  <c r="M5" i="790"/>
  <c r="N5" i="790" s="1"/>
  <c r="O5" i="790"/>
  <c r="O4" i="790"/>
  <c r="N16" i="791"/>
  <c r="AO6" i="791"/>
  <c r="X6" i="791"/>
  <c r="X8" i="791" s="1"/>
  <c r="X10" i="791" s="1"/>
  <c r="X12" i="791"/>
  <c r="M16" i="791"/>
  <c r="AN6" i="791"/>
  <c r="T26" i="793" l="1"/>
  <c r="T20" i="793"/>
  <c r="S26" i="794"/>
  <c r="T12" i="794"/>
  <c r="U12" i="794" s="1"/>
  <c r="S21" i="794"/>
  <c r="T19" i="794" s="1"/>
  <c r="S20" i="794"/>
  <c r="S27" i="794"/>
  <c r="T25" i="794" s="1"/>
  <c r="O16" i="790"/>
  <c r="X4" i="790" s="1"/>
  <c r="X6" i="790" s="1"/>
  <c r="X8" i="790" s="1"/>
  <c r="X10" i="790" s="1"/>
  <c r="M16" i="790"/>
  <c r="N4" i="790"/>
  <c r="N16" i="790" s="1"/>
  <c r="AO6" i="790"/>
  <c r="P16" i="790"/>
  <c r="AN6" i="790"/>
  <c r="AG8" i="790"/>
  <c r="AI4" i="790"/>
  <c r="AI8" i="790"/>
  <c r="AG5" i="790"/>
  <c r="AI5" i="790" s="1"/>
  <c r="AN7" i="791"/>
  <c r="AO7" i="791"/>
  <c r="X12" i="790" l="1"/>
  <c r="T20" i="794"/>
  <c r="T26" i="794"/>
  <c r="X13" i="790"/>
  <c r="X14" i="790" s="1"/>
  <c r="AO7" i="790"/>
  <c r="AN7" i="790"/>
  <c r="AN8" i="791"/>
  <c r="AO8" i="791"/>
  <c r="AN8" i="790" l="1"/>
  <c r="AO8" i="790"/>
  <c r="AO9" i="791"/>
  <c r="AN9" i="791"/>
  <c r="AO9" i="790" l="1"/>
  <c r="AN9" i="790"/>
  <c r="AN10" i="791"/>
  <c r="AO10" i="791"/>
  <c r="AO10" i="790" l="1"/>
  <c r="AN10" i="790"/>
  <c r="AO11" i="791"/>
  <c r="AN11" i="791"/>
  <c r="AN11" i="790" l="1"/>
  <c r="AO11" i="790"/>
  <c r="AN12" i="791"/>
  <c r="AO12" i="791"/>
  <c r="AO12" i="790" l="1"/>
  <c r="AN12" i="790"/>
  <c r="AO13" i="791"/>
  <c r="AN13" i="791"/>
  <c r="AN13" i="790" l="1"/>
  <c r="AO13" i="790"/>
  <c r="AN14" i="791"/>
  <c r="AO14" i="791"/>
  <c r="AO14" i="790" l="1"/>
  <c r="AN14" i="790"/>
  <c r="AO15" i="791"/>
  <c r="AN15" i="791"/>
  <c r="AN15" i="790" l="1"/>
  <c r="AO15" i="790"/>
  <c r="AN16" i="791"/>
  <c r="AP15" i="791" s="1"/>
  <c r="AO16" i="791"/>
  <c r="AQ15" i="791" s="1"/>
  <c r="AO16" i="790" l="1"/>
  <c r="AN16" i="790"/>
  <c r="AP15" i="790" s="1"/>
  <c r="AQ16" i="791"/>
  <c r="AQ4" i="791"/>
  <c r="AQ5" i="791"/>
  <c r="AQ6" i="791"/>
  <c r="AQ7" i="791"/>
  <c r="AQ8" i="791"/>
  <c r="AQ9" i="791"/>
  <c r="AQ10" i="791"/>
  <c r="AQ11" i="791"/>
  <c r="AQ12" i="791"/>
  <c r="AQ13" i="791"/>
  <c r="AQ14" i="791"/>
  <c r="AP16" i="791"/>
  <c r="AR16" i="791" s="1"/>
  <c r="AP4" i="791"/>
  <c r="AP5" i="791"/>
  <c r="AP6" i="791"/>
  <c r="AP7" i="791"/>
  <c r="AP8" i="791"/>
  <c r="AP9" i="791"/>
  <c r="AP10" i="791"/>
  <c r="AP11" i="791"/>
  <c r="AP12" i="791"/>
  <c r="AP13" i="791"/>
  <c r="AP14" i="791"/>
  <c r="AR14" i="791" s="1"/>
  <c r="AR13" i="791" l="1"/>
  <c r="AR9" i="791"/>
  <c r="AR5" i="791"/>
  <c r="AR11" i="791"/>
  <c r="AR7" i="791"/>
  <c r="AP16" i="790"/>
  <c r="AP4" i="790"/>
  <c r="AP5" i="790"/>
  <c r="AP6" i="790"/>
  <c r="AP7" i="790"/>
  <c r="AP8" i="790"/>
  <c r="AP9" i="790"/>
  <c r="AP10" i="790"/>
  <c r="AP11" i="790"/>
  <c r="AP12" i="790"/>
  <c r="AP13" i="790"/>
  <c r="AP14" i="790"/>
  <c r="AQ16" i="790"/>
  <c r="AQ4" i="790"/>
  <c r="AQ5" i="790"/>
  <c r="AQ6" i="790"/>
  <c r="AQ7" i="790"/>
  <c r="AQ8" i="790"/>
  <c r="AQ9" i="790"/>
  <c r="AQ10" i="790"/>
  <c r="AQ11" i="790"/>
  <c r="AQ12" i="790"/>
  <c r="AQ13" i="790"/>
  <c r="AQ14" i="790"/>
  <c r="AQ15" i="790"/>
  <c r="AR12" i="791"/>
  <c r="AR8" i="791"/>
  <c r="AR4" i="791"/>
  <c r="AR10" i="791"/>
  <c r="AR6" i="791"/>
  <c r="AR15" i="791"/>
  <c r="AR9" i="790" l="1"/>
  <c r="AR5" i="790"/>
  <c r="AR12" i="790"/>
  <c r="AR8" i="790"/>
  <c r="AR4" i="790"/>
  <c r="AR11" i="790"/>
  <c r="AR7" i="790"/>
  <c r="AR16" i="790"/>
  <c r="AR13" i="790"/>
  <c r="AR14" i="790"/>
  <c r="AR10" i="790"/>
  <c r="AR6" i="790"/>
  <c r="AR15" i="790"/>
  <c r="AR17" i="791"/>
  <c r="AR17" i="790" l="1"/>
  <c r="AL9" i="476" l="1"/>
  <c r="K7" i="465"/>
  <c r="K8" i="465"/>
  <c r="K9" i="465"/>
  <c r="K10" i="465"/>
  <c r="K11" i="465"/>
  <c r="K12" i="465"/>
  <c r="K13" i="465"/>
  <c r="K14" i="465"/>
  <c r="K15" i="465"/>
  <c r="AB8" i="466"/>
  <c r="J7" i="465"/>
  <c r="J8" i="465"/>
  <c r="J9" i="465"/>
  <c r="J10" i="465"/>
  <c r="J11" i="465"/>
  <c r="J12" i="465"/>
  <c r="J13" i="465"/>
  <c r="J14" i="465"/>
  <c r="J15" i="465"/>
  <c r="J3" i="651" l="1"/>
  <c r="I3" i="651"/>
  <c r="H3" i="651"/>
  <c r="G3" i="651"/>
  <c r="F4" i="651"/>
  <c r="F5" i="651"/>
  <c r="F6" i="651"/>
  <c r="F7" i="651"/>
  <c r="F8" i="651"/>
  <c r="F9" i="651"/>
  <c r="F10" i="651"/>
  <c r="F11" i="651"/>
  <c r="F12" i="651"/>
  <c r="F13" i="651"/>
  <c r="F14" i="651"/>
  <c r="F15" i="651"/>
  <c r="F16" i="651"/>
  <c r="F17" i="651"/>
  <c r="F18" i="651"/>
  <c r="F19" i="651"/>
  <c r="F3" i="651"/>
  <c r="AG11" i="765" l="1"/>
  <c r="O10" i="767" l="1"/>
  <c r="O11" i="767"/>
  <c r="J17" i="767"/>
  <c r="I17" i="767"/>
  <c r="H17" i="767"/>
  <c r="G17" i="767"/>
  <c r="E17" i="767"/>
  <c r="D17" i="767"/>
  <c r="C17" i="767"/>
  <c r="B17" i="767"/>
  <c r="J16" i="767"/>
  <c r="I16" i="767"/>
  <c r="H16" i="767"/>
  <c r="G16" i="767"/>
  <c r="E16" i="767"/>
  <c r="D16" i="767"/>
  <c r="C16" i="767"/>
  <c r="B16" i="767"/>
  <c r="O9" i="767"/>
  <c r="N6" i="767"/>
  <c r="M6" i="767"/>
  <c r="X11" i="765"/>
  <c r="J17" i="765"/>
  <c r="I17" i="765"/>
  <c r="H17" i="765"/>
  <c r="G17" i="765"/>
  <c r="E17" i="765"/>
  <c r="D17" i="765"/>
  <c r="C17" i="765"/>
  <c r="B17" i="765"/>
  <c r="J16" i="765"/>
  <c r="I16" i="765"/>
  <c r="H16" i="765"/>
  <c r="G16" i="765"/>
  <c r="E16" i="765"/>
  <c r="D16" i="765"/>
  <c r="C16" i="765"/>
  <c r="B16" i="765"/>
  <c r="J17" i="766"/>
  <c r="I17" i="766"/>
  <c r="H17" i="766"/>
  <c r="G17" i="766"/>
  <c r="E17" i="766"/>
  <c r="D17" i="766"/>
  <c r="C17" i="766"/>
  <c r="B17" i="766"/>
  <c r="J16" i="766"/>
  <c r="I16" i="766"/>
  <c r="H16" i="766"/>
  <c r="G16" i="766"/>
  <c r="E16" i="766"/>
  <c r="D16" i="766"/>
  <c r="C16" i="766"/>
  <c r="B16" i="766"/>
  <c r="O6" i="767" l="1"/>
  <c r="O15" i="767"/>
  <c r="O12" i="767"/>
  <c r="O13" i="767" l="1"/>
  <c r="AA11" i="765"/>
  <c r="S8" i="765"/>
  <c r="R10" i="765"/>
  <c r="Q10" i="765"/>
  <c r="R7" i="765"/>
  <c r="AI9" i="765" l="1"/>
  <c r="AJ9" i="765"/>
  <c r="AI10" i="765"/>
  <c r="AJ10" i="765"/>
  <c r="R9" i="765"/>
  <c r="S9" i="765" s="1"/>
  <c r="T8" i="765" s="1"/>
  <c r="U8" i="765" s="1"/>
  <c r="AI8" i="765"/>
  <c r="AJ8" i="765"/>
  <c r="AJ7" i="765"/>
  <c r="AI7" i="765"/>
  <c r="AH11" i="765"/>
  <c r="Y11" i="765"/>
  <c r="Z7" i="765"/>
  <c r="AA10" i="765"/>
  <c r="Z10" i="765"/>
  <c r="AA7" i="765"/>
  <c r="S7" i="765"/>
  <c r="Z9" i="765"/>
  <c r="AA9" i="765"/>
  <c r="AA8" i="765"/>
  <c r="Z8" i="765"/>
  <c r="T7" i="765" l="1"/>
  <c r="U7" i="765" s="1"/>
  <c r="AJ11" i="765"/>
  <c r="AI11" i="765"/>
  <c r="AB11" i="765"/>
  <c r="AC11" i="765" s="1"/>
  <c r="Z11" i="765"/>
  <c r="Y15" i="765" s="1"/>
  <c r="AD11" i="765"/>
  <c r="AF15" i="765"/>
  <c r="AH15" i="765" l="1"/>
  <c r="AJ15" i="765" s="1"/>
  <c r="W15" i="765" l="1"/>
  <c r="AA15" i="765" s="1"/>
  <c r="AG15" i="765"/>
  <c r="AI15" i="765" s="1"/>
  <c r="AM15" i="765" s="1"/>
  <c r="AK15" i="765"/>
  <c r="AL15" i="765"/>
  <c r="X15" i="765" l="1"/>
  <c r="AD15" i="765"/>
  <c r="AB15" i="765"/>
  <c r="AN15" i="765"/>
  <c r="AC15" i="765"/>
  <c r="B60" i="308" l="1"/>
  <c r="B52" i="308"/>
  <c r="I34" i="756" l="1"/>
  <c r="I28" i="756"/>
  <c r="I27" i="756"/>
  <c r="I26" i="756"/>
  <c r="I25" i="756"/>
  <c r="I22" i="756"/>
  <c r="Z18" i="756"/>
  <c r="Y18" i="756"/>
  <c r="P18" i="756"/>
  <c r="P24" i="756" s="1"/>
  <c r="AC12" i="756"/>
  <c r="AB12" i="756"/>
  <c r="AA12" i="756"/>
  <c r="Z12" i="756"/>
  <c r="Y12" i="756"/>
  <c r="AC11" i="756"/>
  <c r="AB11" i="756"/>
  <c r="AA11" i="756"/>
  <c r="Z11" i="756"/>
  <c r="Y11" i="756"/>
  <c r="AC10" i="756"/>
  <c r="AB10" i="756"/>
  <c r="AA10" i="756"/>
  <c r="Z10" i="756"/>
  <c r="Y10" i="756"/>
  <c r="AC9" i="756"/>
  <c r="AB9" i="756"/>
  <c r="AA9" i="756"/>
  <c r="Z9" i="756"/>
  <c r="Y9" i="756"/>
  <c r="AC8" i="756"/>
  <c r="AB8" i="756"/>
  <c r="AA8" i="756"/>
  <c r="Z8" i="756"/>
  <c r="Y8" i="756"/>
  <c r="AC7" i="756"/>
  <c r="AB7" i="756"/>
  <c r="AA7" i="756"/>
  <c r="Z7" i="756"/>
  <c r="Y7" i="756"/>
  <c r="AC6" i="756"/>
  <c r="AB6" i="756"/>
  <c r="AA6" i="756"/>
  <c r="Z6" i="756"/>
  <c r="Y6" i="756"/>
  <c r="A6" i="756"/>
  <c r="A7" i="756" s="1"/>
  <c r="A8" i="756" s="1"/>
  <c r="A9" i="756" s="1"/>
  <c r="A10" i="756" s="1"/>
  <c r="A11" i="756" s="1"/>
  <c r="A12" i="756" s="1"/>
  <c r="AC5" i="756"/>
  <c r="AB5" i="756"/>
  <c r="AA5" i="756"/>
  <c r="Z5" i="756"/>
  <c r="Y5" i="756"/>
  <c r="X5" i="756"/>
  <c r="P4" i="756"/>
  <c r="X6" i="756" s="1"/>
  <c r="AA18" i="756" l="1"/>
  <c r="I30" i="756"/>
  <c r="I36" i="756" s="1"/>
  <c r="Y17" i="756"/>
  <c r="Y16" i="756" s="1"/>
  <c r="Q4" i="756"/>
  <c r="P19" i="756"/>
  <c r="I29" i="756"/>
  <c r="I32" i="756" l="1"/>
  <c r="R4" i="756"/>
  <c r="X7" i="756"/>
  <c r="I31" i="756"/>
  <c r="I35" i="756"/>
  <c r="X8" i="756" l="1"/>
  <c r="S4" i="756"/>
  <c r="AF7" i="754"/>
  <c r="AH6" i="754"/>
  <c r="AG6" i="754"/>
  <c r="AH5" i="754"/>
  <c r="AG5" i="754"/>
  <c r="AH4" i="754"/>
  <c r="AG4" i="754"/>
  <c r="AH3" i="754"/>
  <c r="AG3" i="754"/>
  <c r="AE3" i="754" a="1"/>
  <c r="AE3" i="754" s="1"/>
  <c r="W6" i="754"/>
  <c r="X6" i="754"/>
  <c r="Y6" i="754"/>
  <c r="Z6" i="754"/>
  <c r="W7" i="754"/>
  <c r="X7" i="754"/>
  <c r="Y7" i="754"/>
  <c r="Z7" i="754"/>
  <c r="X5" i="754"/>
  <c r="Y5" i="754"/>
  <c r="Z5" i="754"/>
  <c r="W5" i="754"/>
  <c r="V5" i="754"/>
  <c r="V6" i="754"/>
  <c r="V7" i="754"/>
  <c r="V3" i="754"/>
  <c r="W3" i="754"/>
  <c r="X3" i="754"/>
  <c r="Y3" i="754"/>
  <c r="Z3" i="754"/>
  <c r="G3" i="754"/>
  <c r="G4" i="754"/>
  <c r="H4" i="754"/>
  <c r="I4" i="754"/>
  <c r="J4" i="754"/>
  <c r="K4" i="754"/>
  <c r="G5" i="754"/>
  <c r="H5" i="754"/>
  <c r="I5" i="754"/>
  <c r="J5" i="754"/>
  <c r="K5" i="754"/>
  <c r="G6" i="754"/>
  <c r="H6" i="754"/>
  <c r="I6" i="754"/>
  <c r="J6" i="754"/>
  <c r="K6" i="754"/>
  <c r="H3" i="754"/>
  <c r="I3" i="754"/>
  <c r="J3" i="754"/>
  <c r="K3" i="754"/>
  <c r="I7" i="754" l="1"/>
  <c r="AA7" i="754"/>
  <c r="L6" i="754"/>
  <c r="P6" i="754"/>
  <c r="AA6" i="754"/>
  <c r="I8" i="754"/>
  <c r="AA5" i="754"/>
  <c r="X9" i="756"/>
  <c r="T4" i="756"/>
  <c r="O8" i="754"/>
  <c r="AG7" i="754"/>
  <c r="J7" i="754"/>
  <c r="K7" i="754"/>
  <c r="AH7" i="754"/>
  <c r="L5" i="754"/>
  <c r="K8" i="754"/>
  <c r="H7" i="754"/>
  <c r="J8" i="754"/>
  <c r="L4" i="754"/>
  <c r="H8" i="754"/>
  <c r="P5" i="754"/>
  <c r="AE6" i="754"/>
  <c r="AE5" i="754"/>
  <c r="AE4" i="754"/>
  <c r="Y14" i="754" l="1"/>
  <c r="AA8" i="754"/>
  <c r="AA9" i="754"/>
  <c r="AA10" i="754" s="1"/>
  <c r="W14" i="754" s="1"/>
  <c r="X10" i="756"/>
  <c r="U4" i="756"/>
  <c r="L8" i="754"/>
  <c r="L7" i="754"/>
  <c r="P8" i="754"/>
  <c r="P7" i="754" s="1"/>
  <c r="O6" i="754"/>
  <c r="Q6" i="754" s="1"/>
  <c r="O5" i="754"/>
  <c r="V14" i="754"/>
  <c r="AB14" i="754" l="1"/>
  <c r="X11" i="756"/>
  <c r="V4" i="756"/>
  <c r="T6" i="754"/>
  <c r="T5" i="754"/>
  <c r="Q5" i="754"/>
  <c r="O7" i="754"/>
  <c r="Q7" i="754" s="1"/>
  <c r="R6" i="754" s="1"/>
  <c r="S6" i="754" s="1"/>
  <c r="AC14" i="754"/>
  <c r="X14" i="754"/>
  <c r="Z14" i="754" s="1"/>
  <c r="AA14" i="754" s="1"/>
  <c r="X12" i="756" l="1"/>
  <c r="Z16" i="756" s="1"/>
  <c r="P25" i="756"/>
  <c r="R5" i="754"/>
  <c r="S5" i="754" s="1"/>
  <c r="P26" i="756" l="1"/>
  <c r="P27" i="756"/>
  <c r="AA16" i="756"/>
  <c r="Z17" i="756"/>
  <c r="AA17" i="756" s="1"/>
  <c r="AX7" i="750"/>
  <c r="AB7" i="750"/>
  <c r="BI6" i="750"/>
  <c r="AM6" i="750"/>
  <c r="AX7" i="744"/>
  <c r="AB7" i="744"/>
  <c r="BI6" i="744"/>
  <c r="AM6" i="744"/>
  <c r="AB16" i="756" l="1"/>
  <c r="AC16" i="756" s="1"/>
  <c r="AD16" i="756"/>
  <c r="P29" i="756"/>
  <c r="P31" i="756" s="1"/>
  <c r="AE16" i="756"/>
  <c r="AD5" i="756"/>
  <c r="AD12" i="756"/>
  <c r="AD11" i="756"/>
  <c r="AD10" i="756"/>
  <c r="AD8" i="756"/>
  <c r="AD9" i="756"/>
  <c r="AD6" i="756"/>
  <c r="AD7" i="756"/>
  <c r="AF16" i="756"/>
  <c r="P30" i="756"/>
  <c r="P32" i="756" s="1"/>
  <c r="AX7" i="749"/>
  <c r="AB7" i="749"/>
  <c r="BI6" i="749"/>
  <c r="AM6" i="749"/>
  <c r="AX7" i="745"/>
  <c r="AB7" i="745"/>
  <c r="BH6" i="745"/>
  <c r="AM6" i="745"/>
  <c r="AI6" i="734"/>
  <c r="X6" i="734"/>
  <c r="Q10" i="734"/>
  <c r="P10" i="734"/>
  <c r="M4" i="734" a="1"/>
  <c r="M4" i="734" s="1"/>
  <c r="L6" i="734"/>
  <c r="L5" i="734"/>
  <c r="L4" i="734"/>
  <c r="K4" i="734" a="1"/>
  <c r="K4" i="734" s="1"/>
  <c r="J6" i="734"/>
  <c r="J5" i="734"/>
  <c r="J4" i="734"/>
  <c r="I5" i="734"/>
  <c r="M5" i="734" s="1" a="1"/>
  <c r="M5" i="734" s="1"/>
  <c r="AG6" i="735"/>
  <c r="V6" i="735"/>
  <c r="O10" i="735"/>
  <c r="N10" i="735"/>
  <c r="K4" i="735"/>
  <c r="J4" i="735"/>
  <c r="I4" i="735"/>
  <c r="H4" i="735"/>
  <c r="G5" i="735"/>
  <c r="J5" i="735" s="1"/>
  <c r="AE18" i="736"/>
  <c r="T18" i="736"/>
  <c r="M20" i="736"/>
  <c r="L20" i="736"/>
  <c r="I15" i="736"/>
  <c r="G15" i="736"/>
  <c r="F16" i="736"/>
  <c r="I16" i="736" s="1"/>
  <c r="AV7" i="738"/>
  <c r="AK7" i="738"/>
  <c r="AD9" i="738"/>
  <c r="AL11" i="738" s="1"/>
  <c r="AN11" i="738" s="1"/>
  <c r="AC9" i="738"/>
  <c r="Z4" i="738" a="1"/>
  <c r="Z4" i="738" s="1"/>
  <c r="Y7" i="738"/>
  <c r="Y6" i="738"/>
  <c r="Y5" i="738"/>
  <c r="Y4" i="738"/>
  <c r="W5" i="738"/>
  <c r="Z5" i="738" s="1" a="1"/>
  <c r="Z5" i="738" s="1"/>
  <c r="AF6" i="756" l="1"/>
  <c r="AE6" i="756"/>
  <c r="AF11" i="756"/>
  <c r="AE11" i="756"/>
  <c r="AE9" i="756"/>
  <c r="AF9" i="756"/>
  <c r="AF12" i="756"/>
  <c r="AE12" i="756"/>
  <c r="AF8" i="756"/>
  <c r="AE8" i="756"/>
  <c r="AF5" i="756"/>
  <c r="AE5" i="756"/>
  <c r="AE7" i="756"/>
  <c r="AF7" i="756"/>
  <c r="AE10" i="756"/>
  <c r="AF10" i="756"/>
  <c r="I6" i="734"/>
  <c r="K6" i="734" s="1" a="1"/>
  <c r="K6" i="734" s="1"/>
  <c r="K5" i="734" a="1"/>
  <c r="K5" i="734" s="1"/>
  <c r="N20" i="736"/>
  <c r="AE9" i="738"/>
  <c r="AU10" i="738" s="1"/>
  <c r="Q8" i="734"/>
  <c r="P8" i="734" s="1"/>
  <c r="R8" i="734" s="1"/>
  <c r="F17" i="736"/>
  <c r="G16" i="736"/>
  <c r="G6" i="735"/>
  <c r="K6" i="735" s="1"/>
  <c r="M6" i="734" a="1"/>
  <c r="M6" i="734" s="1"/>
  <c r="Y3" i="734" s="1" a="1"/>
  <c r="R10" i="734"/>
  <c r="I5" i="735"/>
  <c r="K5" i="735"/>
  <c r="H5" i="735"/>
  <c r="P10" i="735"/>
  <c r="AW10" i="738"/>
  <c r="W6" i="738"/>
  <c r="B17" i="736"/>
  <c r="B18" i="736" s="1"/>
  <c r="B19" i="736" s="1"/>
  <c r="B13" i="736"/>
  <c r="B14" i="736" s="1"/>
  <c r="B15" i="736" s="1"/>
  <c r="M9" i="736"/>
  <c r="L9" i="736"/>
  <c r="B9" i="736"/>
  <c r="B10" i="736" s="1"/>
  <c r="B11" i="736" s="1"/>
  <c r="F5" i="736"/>
  <c r="B5" i="736"/>
  <c r="I4" i="736"/>
  <c r="G4" i="736"/>
  <c r="K22" i="737"/>
  <c r="I22" i="737"/>
  <c r="H22" i="737"/>
  <c r="A20" i="737"/>
  <c r="A21" i="737" s="1"/>
  <c r="A22" i="737" s="1"/>
  <c r="K19" i="737"/>
  <c r="J19" i="737"/>
  <c r="I19" i="737"/>
  <c r="L18" i="737"/>
  <c r="L16" i="737"/>
  <c r="G16" i="737"/>
  <c r="G17" i="737" s="1"/>
  <c r="G18" i="737" s="1"/>
  <c r="A16" i="737"/>
  <c r="A17" i="737" s="1"/>
  <c r="A18" i="737" s="1"/>
  <c r="L15" i="737"/>
  <c r="I14" i="737"/>
  <c r="J14" i="737" s="1"/>
  <c r="K14" i="737" s="1"/>
  <c r="C14" i="737"/>
  <c r="D14" i="737" s="1"/>
  <c r="E14" i="737" s="1"/>
  <c r="K11" i="737"/>
  <c r="J11" i="737"/>
  <c r="I11" i="737"/>
  <c r="H11" i="737"/>
  <c r="A9" i="737"/>
  <c r="A10" i="737" s="1"/>
  <c r="A11" i="737" s="1"/>
  <c r="K8" i="737"/>
  <c r="J8" i="737"/>
  <c r="I8" i="737"/>
  <c r="H8" i="737"/>
  <c r="L7" i="737"/>
  <c r="L6" i="737"/>
  <c r="L5" i="737"/>
  <c r="G5" i="737"/>
  <c r="G6" i="737" s="1"/>
  <c r="G7" i="737" s="1"/>
  <c r="A5" i="737"/>
  <c r="A6" i="737" s="1"/>
  <c r="A7" i="737" s="1"/>
  <c r="L4" i="737"/>
  <c r="I3" i="737"/>
  <c r="J3" i="737" s="1"/>
  <c r="K3" i="737" s="1"/>
  <c r="C3" i="737"/>
  <c r="D3" i="737" s="1"/>
  <c r="E3" i="737" s="1"/>
  <c r="K11" i="738"/>
  <c r="J11" i="738"/>
  <c r="I11" i="738"/>
  <c r="H11" i="738"/>
  <c r="O9" i="738"/>
  <c r="A9" i="738"/>
  <c r="A10" i="738" s="1"/>
  <c r="A11" i="738" s="1"/>
  <c r="K8" i="738"/>
  <c r="J8" i="738"/>
  <c r="I8" i="738"/>
  <c r="H8" i="738"/>
  <c r="L7" i="738"/>
  <c r="L6" i="738"/>
  <c r="P5" i="738"/>
  <c r="P8" i="738" s="1"/>
  <c r="L5" i="738"/>
  <c r="G5" i="738"/>
  <c r="G6" i="738" s="1"/>
  <c r="G7" i="738" s="1"/>
  <c r="A5" i="738"/>
  <c r="L4" i="738"/>
  <c r="I3" i="738"/>
  <c r="J3" i="738" s="1"/>
  <c r="K3" i="738" s="1"/>
  <c r="C3" i="738"/>
  <c r="D3" i="738" s="1"/>
  <c r="E3" i="738" s="1"/>
  <c r="N17" i="739"/>
  <c r="N18" i="739" s="1"/>
  <c r="N19" i="739" s="1"/>
  <c r="N13" i="739"/>
  <c r="N14" i="739" s="1"/>
  <c r="N15" i="739" s="1"/>
  <c r="N9" i="739"/>
  <c r="N10" i="739" s="1"/>
  <c r="N11" i="739" s="1"/>
  <c r="G9" i="739"/>
  <c r="G10" i="739" s="1"/>
  <c r="G11" i="739" s="1"/>
  <c r="N5" i="739"/>
  <c r="N6" i="739" s="1"/>
  <c r="N7" i="739" s="1"/>
  <c r="G5" i="739"/>
  <c r="G6" i="739" s="1"/>
  <c r="G7" i="739" s="1"/>
  <c r="A5" i="739"/>
  <c r="A6" i="739" s="1"/>
  <c r="A7" i="739" s="1"/>
  <c r="I3" i="739"/>
  <c r="J3" i="739" s="1"/>
  <c r="K3" i="739" s="1"/>
  <c r="C3" i="739"/>
  <c r="D3" i="739" s="1"/>
  <c r="E3" i="739" s="1"/>
  <c r="AC11" i="741"/>
  <c r="H34" i="742"/>
  <c r="M18" i="742" s="1"/>
  <c r="C34" i="742"/>
  <c r="D34" i="742"/>
  <c r="E34" i="742"/>
  <c r="F34" i="742"/>
  <c r="G34" i="742"/>
  <c r="B34" i="742"/>
  <c r="H33" i="742"/>
  <c r="C33" i="742"/>
  <c r="D33" i="742"/>
  <c r="E33" i="742"/>
  <c r="F33" i="742"/>
  <c r="G33" i="742"/>
  <c r="B33" i="742"/>
  <c r="A33" i="742"/>
  <c r="H32" i="742"/>
  <c r="C32" i="742"/>
  <c r="D32" i="742"/>
  <c r="E32" i="742"/>
  <c r="F32" i="742"/>
  <c r="G32" i="742"/>
  <c r="B32" i="742"/>
  <c r="A32" i="742"/>
  <c r="H31" i="742"/>
  <c r="C31" i="742"/>
  <c r="D31" i="742"/>
  <c r="E31" i="742"/>
  <c r="F31" i="742"/>
  <c r="G31" i="742"/>
  <c r="B31" i="742"/>
  <c r="A31" i="742"/>
  <c r="H30" i="742"/>
  <c r="C30" i="742"/>
  <c r="D30" i="742"/>
  <c r="E30" i="742"/>
  <c r="F30" i="742"/>
  <c r="G30" i="742"/>
  <c r="B30" i="742"/>
  <c r="A30" i="742"/>
  <c r="B29" i="742"/>
  <c r="H26" i="742"/>
  <c r="C26" i="742"/>
  <c r="D26" i="742"/>
  <c r="E26" i="742"/>
  <c r="F26" i="742"/>
  <c r="G26" i="742"/>
  <c r="B26" i="742"/>
  <c r="H25" i="742"/>
  <c r="C25" i="742"/>
  <c r="D25" i="742"/>
  <c r="E25" i="742"/>
  <c r="F25" i="742"/>
  <c r="G25" i="742"/>
  <c r="B25" i="742"/>
  <c r="A25" i="742"/>
  <c r="H24" i="742"/>
  <c r="C24" i="742"/>
  <c r="D24" i="742"/>
  <c r="E24" i="742"/>
  <c r="F24" i="742"/>
  <c r="G24" i="742"/>
  <c r="B24" i="742"/>
  <c r="A24" i="742"/>
  <c r="H23" i="742"/>
  <c r="C23" i="742"/>
  <c r="D23" i="742"/>
  <c r="E23" i="742"/>
  <c r="F23" i="742"/>
  <c r="G23" i="742"/>
  <c r="B23" i="742"/>
  <c r="A23" i="742"/>
  <c r="H22" i="742"/>
  <c r="C22" i="742"/>
  <c r="D22" i="742"/>
  <c r="E22" i="742"/>
  <c r="F22" i="742"/>
  <c r="G22" i="742"/>
  <c r="B22" i="742"/>
  <c r="A22" i="742"/>
  <c r="B21" i="742"/>
  <c r="H18" i="742"/>
  <c r="L18" i="742" s="1"/>
  <c r="K18" i="742" s="1"/>
  <c r="C18" i="742"/>
  <c r="D18" i="742"/>
  <c r="E18" i="742"/>
  <c r="F18" i="742"/>
  <c r="G18" i="742"/>
  <c r="B18" i="742"/>
  <c r="H17" i="742"/>
  <c r="C17" i="742"/>
  <c r="D17" i="742"/>
  <c r="E17" i="742"/>
  <c r="F17" i="742"/>
  <c r="G17" i="742"/>
  <c r="B17" i="742"/>
  <c r="A17" i="742"/>
  <c r="H16" i="742"/>
  <c r="C16" i="742"/>
  <c r="D16" i="742"/>
  <c r="E16" i="742"/>
  <c r="F16" i="742"/>
  <c r="G16" i="742"/>
  <c r="B16" i="742"/>
  <c r="A16" i="742"/>
  <c r="H15" i="742"/>
  <c r="C15" i="742"/>
  <c r="D15" i="742"/>
  <c r="E15" i="742"/>
  <c r="F15" i="742"/>
  <c r="G15" i="742"/>
  <c r="B15" i="742"/>
  <c r="A15" i="742"/>
  <c r="H14" i="742"/>
  <c r="C14" i="742"/>
  <c r="D14" i="742"/>
  <c r="E14" i="742"/>
  <c r="F14" i="742"/>
  <c r="G14" i="742"/>
  <c r="B14" i="742"/>
  <c r="A14" i="742"/>
  <c r="B13" i="742"/>
  <c r="AB17" i="741"/>
  <c r="AD16" i="741"/>
  <c r="AC16" i="741"/>
  <c r="AD15" i="741"/>
  <c r="AC15" i="741"/>
  <c r="AD14" i="741"/>
  <c r="AC14" i="741"/>
  <c r="AD13" i="741"/>
  <c r="AC13" i="741"/>
  <c r="AD12" i="741"/>
  <c r="AC12" i="741"/>
  <c r="AD11" i="741"/>
  <c r="S14" i="741"/>
  <c r="T14" i="741"/>
  <c r="U14" i="741"/>
  <c r="V14" i="741"/>
  <c r="W14" i="741"/>
  <c r="X14" i="741"/>
  <c r="S15" i="741"/>
  <c r="T15" i="741"/>
  <c r="U15" i="741"/>
  <c r="V15" i="741"/>
  <c r="W15" i="741"/>
  <c r="X15" i="741"/>
  <c r="S16" i="741"/>
  <c r="T16" i="741"/>
  <c r="U16" i="741"/>
  <c r="V16" i="741"/>
  <c r="W16" i="741"/>
  <c r="X16" i="741"/>
  <c r="T13" i="741"/>
  <c r="U13" i="741"/>
  <c r="V13" i="741"/>
  <c r="W13" i="741"/>
  <c r="X13" i="741"/>
  <c r="S13" i="741"/>
  <c r="R13" i="741"/>
  <c r="R14" i="741"/>
  <c r="R15" i="741"/>
  <c r="R16" i="741"/>
  <c r="R11" i="741"/>
  <c r="S11" i="741"/>
  <c r="A11" i="741"/>
  <c r="A12" i="741"/>
  <c r="B12" i="741"/>
  <c r="C12" i="741"/>
  <c r="D12" i="741"/>
  <c r="E12" i="741"/>
  <c r="F12" i="741"/>
  <c r="G12" i="741"/>
  <c r="A13" i="741"/>
  <c r="B13" i="741"/>
  <c r="C13" i="741"/>
  <c r="D13" i="741"/>
  <c r="E13" i="741"/>
  <c r="F13" i="741"/>
  <c r="G13" i="741"/>
  <c r="A14" i="741"/>
  <c r="B14" i="741"/>
  <c r="C14" i="741"/>
  <c r="D14" i="741"/>
  <c r="E14" i="741"/>
  <c r="F14" i="741"/>
  <c r="G14" i="741"/>
  <c r="A15" i="741"/>
  <c r="B15" i="741"/>
  <c r="C15" i="741"/>
  <c r="D15" i="741"/>
  <c r="E15" i="741"/>
  <c r="F15" i="741"/>
  <c r="G15" i="741"/>
  <c r="B11" i="741"/>
  <c r="C3" i="741"/>
  <c r="T11" i="741" s="1"/>
  <c r="C3" i="742"/>
  <c r="C29" i="742" s="1"/>
  <c r="AJ11" i="738" l="1"/>
  <c r="AJ3" i="734" a="1"/>
  <c r="AJ3" i="734" s="1"/>
  <c r="Y3" i="734"/>
  <c r="Y4" i="734"/>
  <c r="Y5" i="734"/>
  <c r="Q5" i="734"/>
  <c r="Q6" i="734" s="1"/>
  <c r="P6" i="734" s="1"/>
  <c r="R6" i="734" s="1"/>
  <c r="AH3" i="735" a="1"/>
  <c r="AH3" i="735" s="1"/>
  <c r="I6" i="735"/>
  <c r="H6" i="735"/>
  <c r="O8" i="735" s="1"/>
  <c r="N8" i="735" s="1"/>
  <c r="P8" i="735" s="1"/>
  <c r="D16" i="741"/>
  <c r="W3" i="735" a="1"/>
  <c r="F18" i="736"/>
  <c r="G17" i="736"/>
  <c r="I17" i="736"/>
  <c r="J6" i="735"/>
  <c r="O5" i="735"/>
  <c r="A6" i="738"/>
  <c r="A7" i="738" s="1"/>
  <c r="Z6" i="738" a="1"/>
  <c r="Z6" i="738" s="1"/>
  <c r="W7" i="738"/>
  <c r="P6" i="738"/>
  <c r="O6" i="738" s="1"/>
  <c r="Q6" i="738" s="1"/>
  <c r="B6" i="736"/>
  <c r="N9" i="736"/>
  <c r="H15" i="741"/>
  <c r="C17" i="741"/>
  <c r="Y14" i="741"/>
  <c r="L14" i="741"/>
  <c r="Y16" i="741"/>
  <c r="L8" i="737"/>
  <c r="B21" i="737" s="1"/>
  <c r="F6" i="736"/>
  <c r="F7" i="736" s="1"/>
  <c r="I7" i="736" s="1"/>
  <c r="G17" i="741"/>
  <c r="Y15" i="741"/>
  <c r="I5" i="736"/>
  <c r="G16" i="741"/>
  <c r="C16" i="741"/>
  <c r="F16" i="741"/>
  <c r="L13" i="741"/>
  <c r="E16" i="741"/>
  <c r="Y13" i="741"/>
  <c r="AD17" i="741"/>
  <c r="AC17" i="741"/>
  <c r="L8" i="738"/>
  <c r="O5" i="738"/>
  <c r="Q5" i="738" s="1"/>
  <c r="P9" i="738"/>
  <c r="Q9" i="738" s="1"/>
  <c r="G5" i="736"/>
  <c r="H14" i="741"/>
  <c r="F17" i="741"/>
  <c r="E17" i="741"/>
  <c r="D3" i="741"/>
  <c r="H12" i="741"/>
  <c r="B16" i="741"/>
  <c r="D17" i="741"/>
  <c r="B12" i="742"/>
  <c r="K14" i="742"/>
  <c r="H13" i="741"/>
  <c r="B17" i="741"/>
  <c r="K16" i="741"/>
  <c r="L15" i="742"/>
  <c r="C11" i="741"/>
  <c r="L14" i="742"/>
  <c r="C21" i="742"/>
  <c r="K15" i="742"/>
  <c r="C13" i="742"/>
  <c r="D3" i="742"/>
  <c r="AH5" i="735" l="1"/>
  <c r="AJ5" i="734"/>
  <c r="P5" i="734"/>
  <c r="R5" i="734" s="1"/>
  <c r="X6" i="738" a="1"/>
  <c r="X6" i="738" s="1"/>
  <c r="Y6" i="734"/>
  <c r="AH4" i="735"/>
  <c r="AH6" i="735" s="1"/>
  <c r="AJ4" i="734"/>
  <c r="X5" i="738" a="1"/>
  <c r="X5" i="738" s="1"/>
  <c r="X4" i="738" a="1"/>
  <c r="X4" i="738" s="1"/>
  <c r="Q7" i="734"/>
  <c r="P7" i="734" s="1"/>
  <c r="R7" i="734" s="1"/>
  <c r="L16" i="741"/>
  <c r="L15" i="741" s="1"/>
  <c r="P16" i="737"/>
  <c r="P20" i="737" s="1"/>
  <c r="J22" i="737"/>
  <c r="G18" i="736"/>
  <c r="I18" i="736"/>
  <c r="W3" i="735"/>
  <c r="W4" i="735"/>
  <c r="W5" i="735"/>
  <c r="B7" i="736"/>
  <c r="H15" i="736" s="1"/>
  <c r="N5" i="735"/>
  <c r="P5" i="735" s="1"/>
  <c r="O6" i="735"/>
  <c r="N6" i="735" s="1"/>
  <c r="P6" i="735" s="1"/>
  <c r="O7" i="735"/>
  <c r="N7" i="735" s="1"/>
  <c r="P7" i="735" s="1"/>
  <c r="P7" i="738"/>
  <c r="O7" i="738" s="1"/>
  <c r="Q7" i="738" s="1"/>
  <c r="Z7" i="738" a="1"/>
  <c r="Z7" i="738" s="1"/>
  <c r="AL3" i="738" s="1" a="1"/>
  <c r="X7" i="738" a="1"/>
  <c r="X7" i="738" s="1"/>
  <c r="Y17" i="741"/>
  <c r="R23" i="741" s="1"/>
  <c r="H17" i="737"/>
  <c r="L17" i="737" s="1"/>
  <c r="L19" i="737" s="1"/>
  <c r="G6" i="736"/>
  <c r="I6" i="736"/>
  <c r="M5" i="736" s="1"/>
  <c r="M7" i="736" s="1"/>
  <c r="G7" i="736"/>
  <c r="U23" i="741"/>
  <c r="K14" i="741"/>
  <c r="M14" i="741" s="1"/>
  <c r="Y18" i="741"/>
  <c r="Y19" i="741" s="1"/>
  <c r="S23" i="741" s="1"/>
  <c r="K13" i="741"/>
  <c r="M13" i="741" s="1"/>
  <c r="E3" i="741"/>
  <c r="U11" i="741"/>
  <c r="D11" i="741"/>
  <c r="M14" i="742"/>
  <c r="H16" i="741"/>
  <c r="H17" i="741"/>
  <c r="M15" i="742"/>
  <c r="K16" i="742"/>
  <c r="L16" i="742"/>
  <c r="D13" i="742"/>
  <c r="D29" i="742"/>
  <c r="D21" i="742"/>
  <c r="E3" i="742"/>
  <c r="AJ6" i="734" l="1"/>
  <c r="P14" i="741"/>
  <c r="P13" i="741"/>
  <c r="P9" i="734"/>
  <c r="P17" i="737"/>
  <c r="O17" i="737" s="1"/>
  <c r="Q17" i="737" s="1"/>
  <c r="P19" i="737"/>
  <c r="O16" i="737"/>
  <c r="Q16" i="737" s="1"/>
  <c r="Q9" i="734"/>
  <c r="R9" i="734" s="1"/>
  <c r="T23" i="741"/>
  <c r="V23" i="741" s="1"/>
  <c r="W23" i="741" s="1"/>
  <c r="W6" i="735"/>
  <c r="O8" i="738"/>
  <c r="Q8" i="738" s="1"/>
  <c r="R6" i="738" s="1"/>
  <c r="S6" i="738" s="1"/>
  <c r="T6" i="738" s="1"/>
  <c r="H19" i="737"/>
  <c r="O20" i="737"/>
  <c r="Q20" i="737" s="1"/>
  <c r="H7" i="736"/>
  <c r="U14" i="736" a="1"/>
  <c r="H18" i="736"/>
  <c r="H6" i="736"/>
  <c r="AW3" i="738" a="1"/>
  <c r="AW4" i="738" s="1"/>
  <c r="H17" i="736"/>
  <c r="M16" i="736"/>
  <c r="AF14" i="736" a="1"/>
  <c r="H5" i="736"/>
  <c r="H4" i="736"/>
  <c r="AD5" i="738"/>
  <c r="AD6" i="738" s="1"/>
  <c r="AC6" i="738" s="1"/>
  <c r="AE6" i="738" s="1"/>
  <c r="H16" i="736"/>
  <c r="N9" i="735"/>
  <c r="O9" i="735"/>
  <c r="AL3" i="738"/>
  <c r="AL5" i="738"/>
  <c r="AL6" i="738"/>
  <c r="AL4" i="738"/>
  <c r="X23" i="741"/>
  <c r="Y23" i="741"/>
  <c r="L5" i="736"/>
  <c r="N5" i="736" s="1"/>
  <c r="M6" i="736"/>
  <c r="L6" i="736" s="1"/>
  <c r="N6" i="736" s="1"/>
  <c r="K15" i="741"/>
  <c r="M15" i="741" s="1"/>
  <c r="P18" i="737"/>
  <c r="F3" i="741"/>
  <c r="V11" i="741"/>
  <c r="E11" i="741"/>
  <c r="M16" i="742"/>
  <c r="E13" i="742"/>
  <c r="E29" i="742"/>
  <c r="E21" i="742"/>
  <c r="F3" i="742"/>
  <c r="AW5" i="738" l="1"/>
  <c r="O18" i="737"/>
  <c r="Q18" i="737" s="1"/>
  <c r="AE10" i="734"/>
  <c r="S8" i="734"/>
  <c r="T8" i="734" s="1"/>
  <c r="U8" i="734" s="1"/>
  <c r="S5" i="734"/>
  <c r="T5" i="734" s="1"/>
  <c r="U5" i="734" s="1"/>
  <c r="S6" i="734"/>
  <c r="T6" i="734" s="1"/>
  <c r="U6" i="734" s="1"/>
  <c r="AH9" i="734"/>
  <c r="AI9" i="734" s="1"/>
  <c r="AP9" i="734"/>
  <c r="W10" i="734"/>
  <c r="S7" i="734"/>
  <c r="T7" i="734" s="1"/>
  <c r="U7" i="734" s="1"/>
  <c r="R5" i="738"/>
  <c r="S5" i="738" s="1"/>
  <c r="T5" i="738" s="1"/>
  <c r="R7" i="738"/>
  <c r="S7" i="738" s="1"/>
  <c r="T7" i="738" s="1"/>
  <c r="AW6" i="738"/>
  <c r="AD7" i="738"/>
  <c r="AC7" i="738" s="1"/>
  <c r="AE7" i="738" s="1"/>
  <c r="AC5" i="738"/>
  <c r="AJ9" i="734"/>
  <c r="Y10" i="734"/>
  <c r="AA10" i="734" s="1"/>
  <c r="AW3" i="738"/>
  <c r="L7" i="736"/>
  <c r="N7" i="736" s="1"/>
  <c r="M18" i="736"/>
  <c r="L18" i="736" s="1"/>
  <c r="N18" i="736" s="1"/>
  <c r="M17" i="736"/>
  <c r="L17" i="736" s="1"/>
  <c r="N17" i="736" s="1"/>
  <c r="U14" i="736"/>
  <c r="U16" i="736"/>
  <c r="U17" i="736"/>
  <c r="U15" i="736"/>
  <c r="AF14" i="736"/>
  <c r="AF16" i="736"/>
  <c r="AF15" i="736"/>
  <c r="AF17" i="736"/>
  <c r="L16" i="736"/>
  <c r="P9" i="735"/>
  <c r="U10" i="735" s="1"/>
  <c r="W10" i="735"/>
  <c r="Y10" i="735" s="1"/>
  <c r="AH9" i="735"/>
  <c r="AL7" i="738"/>
  <c r="M8" i="736"/>
  <c r="N14" i="741"/>
  <c r="O14" i="741" s="1"/>
  <c r="N13" i="741"/>
  <c r="O13" i="741" s="1"/>
  <c r="O19" i="737"/>
  <c r="Q19" i="737" s="1"/>
  <c r="R16" i="737" s="1"/>
  <c r="S16" i="737" s="1"/>
  <c r="T16" i="737" s="1"/>
  <c r="G3" i="741"/>
  <c r="W11" i="741"/>
  <c r="F11" i="741"/>
  <c r="F21" i="742"/>
  <c r="F13" i="742"/>
  <c r="F29" i="742"/>
  <c r="N15" i="742"/>
  <c r="O15" i="742" s="1"/>
  <c r="P15" i="742" s="1"/>
  <c r="N14" i="742"/>
  <c r="O14" i="742" s="1"/>
  <c r="P14" i="742" s="1"/>
  <c r="G3" i="742"/>
  <c r="AD8" i="738" l="1"/>
  <c r="AC10" i="734"/>
  <c r="AB10" i="734"/>
  <c r="AC8" i="738"/>
  <c r="X10" i="734"/>
  <c r="Z10" i="734" s="1"/>
  <c r="AD10" i="734" s="1"/>
  <c r="AE5" i="738"/>
  <c r="AW7" i="738"/>
  <c r="R18" i="737"/>
  <c r="S18" i="737" s="1"/>
  <c r="T18" i="737" s="1"/>
  <c r="L8" i="736"/>
  <c r="N8" i="736" s="1"/>
  <c r="O6" i="736" s="1"/>
  <c r="P6" i="736" s="1"/>
  <c r="Q6" i="736" s="1"/>
  <c r="M19" i="736"/>
  <c r="AF21" i="736" s="1"/>
  <c r="AF18" i="736"/>
  <c r="N16" i="736"/>
  <c r="L19" i="736"/>
  <c r="U18" i="736"/>
  <c r="Q8" i="735"/>
  <c r="R8" i="735" s="1"/>
  <c r="S8" i="735" s="1"/>
  <c r="AF9" i="735"/>
  <c r="AN9" i="735"/>
  <c r="AC10" i="735"/>
  <c r="Q7" i="735"/>
  <c r="R7" i="735" s="1"/>
  <c r="S7" i="735" s="1"/>
  <c r="Q5" i="735"/>
  <c r="R5" i="735" s="1"/>
  <c r="S5" i="735" s="1"/>
  <c r="Q6" i="735"/>
  <c r="R6" i="735" s="1"/>
  <c r="S6" i="735" s="1"/>
  <c r="AP11" i="738"/>
  <c r="AK11" i="738"/>
  <c r="AO11" i="738"/>
  <c r="AR11" i="738"/>
  <c r="R17" i="737"/>
  <c r="S17" i="737" s="1"/>
  <c r="T17" i="737" s="1"/>
  <c r="X11" i="741"/>
  <c r="G11" i="741"/>
  <c r="AA11" i="741" a="1"/>
  <c r="G29" i="742"/>
  <c r="G13" i="742"/>
  <c r="G21" i="742"/>
  <c r="AF10" i="734" l="1"/>
  <c r="AE8" i="738"/>
  <c r="AF5" i="738" s="1"/>
  <c r="AG5" i="738" s="1"/>
  <c r="AH5" i="738" s="1"/>
  <c r="AV10" i="738"/>
  <c r="BC10" i="738"/>
  <c r="O5" i="736"/>
  <c r="P5" i="736" s="1"/>
  <c r="Q5" i="736" s="1"/>
  <c r="O7" i="736"/>
  <c r="P7" i="736" s="1"/>
  <c r="Q7" i="736" s="1"/>
  <c r="U22" i="736"/>
  <c r="W22" i="736" s="1"/>
  <c r="N19" i="736"/>
  <c r="O17" i="736" s="1"/>
  <c r="P17" i="736" s="1"/>
  <c r="Q17" i="736" s="1"/>
  <c r="AA10" i="735"/>
  <c r="Z10" i="735"/>
  <c r="V10" i="735"/>
  <c r="X10" i="735" s="1"/>
  <c r="AG9" i="735"/>
  <c r="AS11" i="738"/>
  <c r="AM11" i="738"/>
  <c r="AQ11" i="738" s="1"/>
  <c r="AA11" i="741"/>
  <c r="AA12" i="741"/>
  <c r="AA13" i="741"/>
  <c r="AA14" i="741"/>
  <c r="AA15" i="741"/>
  <c r="AA16" i="741"/>
  <c r="AF6" i="738" l="1"/>
  <c r="AG6" i="738" s="1"/>
  <c r="AH6" i="738" s="1"/>
  <c r="AF7" i="738"/>
  <c r="AG7" i="738" s="1"/>
  <c r="AH7" i="738" s="1"/>
  <c r="BD10" i="738"/>
  <c r="AL21" i="736"/>
  <c r="AA22" i="736"/>
  <c r="O18" i="736"/>
  <c r="P18" i="736" s="1"/>
  <c r="Q18" i="736" s="1"/>
  <c r="AD21" i="736"/>
  <c r="O16" i="736"/>
  <c r="P16" i="736" s="1"/>
  <c r="Q16" i="736" s="1"/>
  <c r="S22" i="736"/>
  <c r="AB10" i="735"/>
  <c r="AD10" i="735"/>
  <c r="AO9" i="735"/>
  <c r="AE21" i="736" l="1"/>
  <c r="Y22" i="736"/>
  <c r="T22" i="736"/>
  <c r="X22" i="736"/>
  <c r="V22" i="736" l="1"/>
  <c r="Z22" i="736" s="1"/>
  <c r="AB22" i="736"/>
  <c r="AM21" i="736"/>
  <c r="L12" i="475" l="1"/>
  <c r="L12" i="476" l="1"/>
  <c r="N20" i="723" l="1" a="1"/>
  <c r="N20" i="723" s="1"/>
  <c r="L50" i="723"/>
  <c r="L51" i="723"/>
  <c r="L52" i="723"/>
  <c r="L53" i="723"/>
  <c r="L54" i="723"/>
  <c r="L55" i="723"/>
  <c r="L56" i="723"/>
  <c r="L57" i="723"/>
  <c r="L58" i="723"/>
  <c r="L59" i="723"/>
  <c r="L60" i="723"/>
  <c r="L61" i="723"/>
  <c r="L62" i="723"/>
  <c r="L63" i="723"/>
  <c r="L49" i="723"/>
  <c r="L35" i="723"/>
  <c r="L36" i="723"/>
  <c r="L37" i="723"/>
  <c r="L38" i="723"/>
  <c r="L39" i="723"/>
  <c r="L40" i="723"/>
  <c r="L41" i="723"/>
  <c r="L42" i="723"/>
  <c r="L43" i="723"/>
  <c r="L44" i="723"/>
  <c r="L45" i="723"/>
  <c r="L46" i="723"/>
  <c r="L47" i="723"/>
  <c r="L48" i="723"/>
  <c r="L34" i="723"/>
  <c r="L20" i="723"/>
  <c r="L21" i="723"/>
  <c r="L22" i="723"/>
  <c r="L23" i="723"/>
  <c r="L24" i="723"/>
  <c r="L25" i="723"/>
  <c r="L26" i="723"/>
  <c r="L27" i="723"/>
  <c r="L28" i="723"/>
  <c r="L29" i="723"/>
  <c r="L30" i="723"/>
  <c r="L31" i="723"/>
  <c r="L32" i="723"/>
  <c r="L33" i="723"/>
  <c r="L19" i="723"/>
  <c r="L5" i="723"/>
  <c r="L6" i="723"/>
  <c r="L7" i="723"/>
  <c r="L8" i="723"/>
  <c r="L9" i="723"/>
  <c r="L10" i="723"/>
  <c r="L11" i="723"/>
  <c r="L12" i="723"/>
  <c r="L13" i="723"/>
  <c r="L14" i="723"/>
  <c r="L15" i="723"/>
  <c r="L16" i="723"/>
  <c r="L17" i="723"/>
  <c r="L18" i="723"/>
  <c r="L4" i="723"/>
  <c r="F5" i="723"/>
  <c r="K35" i="723" s="1"/>
  <c r="F6" i="723"/>
  <c r="K51" i="723" s="1"/>
  <c r="F7" i="723"/>
  <c r="K37" i="723" s="1"/>
  <c r="F8" i="723"/>
  <c r="K53" i="723" s="1"/>
  <c r="F9" i="723"/>
  <c r="K39" i="723" s="1"/>
  <c r="F10" i="723"/>
  <c r="K55" i="723" s="1"/>
  <c r="F11" i="723"/>
  <c r="K41" i="723" s="1"/>
  <c r="F12" i="723"/>
  <c r="K57" i="723" s="1"/>
  <c r="F13" i="723"/>
  <c r="K43" i="723" s="1"/>
  <c r="F14" i="723"/>
  <c r="K59" i="723" s="1"/>
  <c r="F15" i="723"/>
  <c r="K45" i="723" s="1"/>
  <c r="F16" i="723"/>
  <c r="K61" i="723" s="1"/>
  <c r="F17" i="723"/>
  <c r="K47" i="723" s="1"/>
  <c r="F18" i="723"/>
  <c r="K63" i="723" s="1"/>
  <c r="F4" i="723"/>
  <c r="K4" i="723" s="1"/>
  <c r="A5" i="723"/>
  <c r="A6" i="723" s="1"/>
  <c r="A7" i="723" s="1"/>
  <c r="A8" i="723" s="1"/>
  <c r="A9" i="723" s="1"/>
  <c r="A10" i="723" s="1"/>
  <c r="A11" i="723" s="1"/>
  <c r="A12" i="723" s="1"/>
  <c r="A13" i="723" s="1"/>
  <c r="A14" i="723" s="1"/>
  <c r="A15" i="723" s="1"/>
  <c r="A16" i="723" s="1"/>
  <c r="A17" i="723" s="1"/>
  <c r="A18" i="723" s="1"/>
  <c r="O14" i="723" l="1"/>
  <c r="K38" i="723"/>
  <c r="K42" i="723"/>
  <c r="K49" i="723"/>
  <c r="K15" i="723"/>
  <c r="K52" i="723"/>
  <c r="K22" i="723"/>
  <c r="K19" i="723"/>
  <c r="K56" i="723"/>
  <c r="P16" i="723"/>
  <c r="K11" i="723"/>
  <c r="K30" i="723"/>
  <c r="K7" i="723"/>
  <c r="K26" i="723"/>
  <c r="K46" i="723"/>
  <c r="K60" i="723"/>
  <c r="K18" i="723"/>
  <c r="K10" i="723"/>
  <c r="K6" i="723"/>
  <c r="K32" i="723"/>
  <c r="K28" i="723"/>
  <c r="K24" i="723"/>
  <c r="K20" i="723"/>
  <c r="K17" i="723"/>
  <c r="K13" i="723"/>
  <c r="K9" i="723"/>
  <c r="K5" i="723"/>
  <c r="K34" i="723"/>
  <c r="O10" i="723"/>
  <c r="O16" i="723" s="1"/>
  <c r="K14" i="723"/>
  <c r="K48" i="723"/>
  <c r="K44" i="723"/>
  <c r="K40" i="723"/>
  <c r="K36" i="723"/>
  <c r="K62" i="723"/>
  <c r="K58" i="723"/>
  <c r="K54" i="723"/>
  <c r="K50" i="723"/>
  <c r="K16" i="723"/>
  <c r="K12" i="723"/>
  <c r="K8" i="723"/>
  <c r="K33" i="723"/>
  <c r="K31" i="723"/>
  <c r="K29" i="723"/>
  <c r="K27" i="723"/>
  <c r="K25" i="723"/>
  <c r="K23" i="723"/>
  <c r="K21" i="723"/>
  <c r="N21" i="723"/>
  <c r="N23" i="723"/>
  <c r="N22" i="723"/>
  <c r="O15" i="723" l="1"/>
  <c r="AL3" i="744" l="1" a="1"/>
  <c r="BH3" i="744" a="1"/>
  <c r="AA3" i="749" a="1"/>
  <c r="AW3" i="749" a="1"/>
  <c r="AW3" i="745" a="1"/>
  <c r="AA3" i="745" a="1"/>
  <c r="BG3" i="745" a="1"/>
  <c r="AL3" i="745" a="1"/>
  <c r="BH3" i="750" a="1"/>
  <c r="AL3" i="750" a="1"/>
  <c r="AL3" i="749" a="1"/>
  <c r="BH3" i="749" a="1"/>
  <c r="AA3" i="750" a="1"/>
  <c r="AW3" i="750" a="1"/>
  <c r="AA3" i="744" a="1"/>
  <c r="AW3" i="744" a="1"/>
  <c r="AZ3" i="749" l="1" a="1"/>
  <c r="AD3" i="749" a="1"/>
  <c r="BK3" i="749" a="1"/>
  <c r="AO3" i="749" a="1"/>
  <c r="AH21" i="736" l="1"/>
  <c r="AK21" i="736"/>
  <c r="AI21" i="736"/>
  <c r="AB20" i="741"/>
  <c r="AI20" i="741"/>
  <c r="AZ10" i="738"/>
  <c r="BB10" i="738"/>
  <c r="AY10" i="738"/>
  <c r="AM9" i="734"/>
  <c r="AL9" i="734"/>
  <c r="AO9" i="734"/>
  <c r="AK10" i="754"/>
  <c r="AM10" i="754"/>
  <c r="AJ10" i="754"/>
  <c r="AF10" i="754"/>
  <c r="AI10" i="754"/>
  <c r="AM9" i="735"/>
  <c r="AJ9" i="735"/>
  <c r="AK9" i="735"/>
  <c r="AF20" i="741"/>
  <c r="AG20" i="741"/>
  <c r="AE20" i="741"/>
  <c r="AN10" i="754"/>
  <c r="P83" i="750"/>
  <c r="T22" i="723"/>
  <c r="S22" i="723"/>
  <c r="Q22" i="723"/>
  <c r="R22" i="723" s="1"/>
  <c r="P83" i="745"/>
  <c r="Q83" i="745"/>
  <c r="P83" i="744"/>
  <c r="Q83" i="744"/>
  <c r="Q23" i="723"/>
  <c r="R23" i="723" s="1"/>
  <c r="T23" i="723"/>
  <c r="S23" i="723"/>
  <c r="Q83" i="749"/>
  <c r="Q20" i="723"/>
  <c r="R20" i="723" s="1"/>
  <c r="T20" i="723"/>
  <c r="S20" i="723"/>
  <c r="S21" i="723"/>
  <c r="T21" i="723"/>
  <c r="Q21" i="723"/>
  <c r="R21" i="723" s="1"/>
  <c r="AB8" i="471"/>
  <c r="AO3" i="745" a="1"/>
  <c r="BJ3" i="745" a="1"/>
  <c r="AY3" i="749" a="1"/>
  <c r="AC3" i="749" a="1"/>
  <c r="BJ3" i="749" a="1"/>
  <c r="AN3" i="749" a="1"/>
  <c r="AZ3" i="750" a="1"/>
  <c r="AD3" i="750" a="1"/>
  <c r="AD3" i="745" a="1"/>
  <c r="AO3" i="750" a="1"/>
  <c r="BK3" i="750" a="1"/>
  <c r="AC3" i="745" a="1"/>
  <c r="AY3" i="745" a="1"/>
  <c r="AL10" i="754"/>
  <c r="AH20" i="741"/>
  <c r="P83" i="749" l="1"/>
  <c r="Q83" i="750"/>
  <c r="AB8" i="465"/>
  <c r="T19" i="723"/>
  <c r="Q19" i="723"/>
  <c r="R19" i="723" s="1"/>
  <c r="S19" i="723"/>
  <c r="L77" i="744"/>
  <c r="L82" i="744"/>
  <c r="L34" i="744"/>
  <c r="L71" i="744"/>
  <c r="L32" i="744"/>
  <c r="L31" i="744"/>
  <c r="L74" i="744"/>
  <c r="L20" i="744"/>
  <c r="L73" i="744"/>
  <c r="L80" i="744"/>
  <c r="L21" i="744"/>
  <c r="L75" i="744"/>
  <c r="L33" i="744"/>
  <c r="L78" i="744"/>
  <c r="L76" i="744"/>
  <c r="L72" i="744"/>
  <c r="L57" i="750"/>
  <c r="L15" i="750"/>
  <c r="L47" i="750"/>
  <c r="L55" i="750"/>
  <c r="L16" i="750"/>
  <c r="L50" i="750"/>
  <c r="L51" i="750"/>
  <c r="L23" i="750"/>
  <c r="L58" i="750"/>
  <c r="L26" i="750"/>
  <c r="L14" i="750"/>
  <c r="L48" i="750"/>
  <c r="L24" i="750"/>
  <c r="L53" i="750"/>
  <c r="L56" i="750"/>
  <c r="L52" i="750"/>
  <c r="N29" i="745"/>
  <c r="N25" i="745"/>
  <c r="N37" i="745"/>
  <c r="N49" i="745" s="1"/>
  <c r="N61" i="745" s="1"/>
  <c r="N73" i="745" s="1"/>
  <c r="N41" i="745"/>
  <c r="N53" i="745" s="1"/>
  <c r="N65" i="745" s="1"/>
  <c r="N77" i="745" s="1"/>
  <c r="AL5" i="745"/>
  <c r="M46" i="745"/>
  <c r="M58" i="745" s="1"/>
  <c r="M16" i="745"/>
  <c r="BG5" i="745"/>
  <c r="M19" i="745"/>
  <c r="M44" i="745"/>
  <c r="M56" i="745" s="1"/>
  <c r="M68" i="745" s="1"/>
  <c r="M80" i="745" s="1"/>
  <c r="M43" i="745"/>
  <c r="M55" i="745" s="1"/>
  <c r="M45" i="745"/>
  <c r="M57" i="745" s="1"/>
  <c r="M69" i="745" s="1"/>
  <c r="M81" i="745" s="1"/>
  <c r="M22" i="745"/>
  <c r="N26" i="750"/>
  <c r="N42" i="750"/>
  <c r="N54" i="750" s="1"/>
  <c r="N66" i="750" s="1"/>
  <c r="N78" i="750" s="1"/>
  <c r="N30" i="750"/>
  <c r="N38" i="750"/>
  <c r="N50" i="750" s="1"/>
  <c r="N62" i="750" s="1"/>
  <c r="N74" i="750" s="1"/>
  <c r="M35" i="744"/>
  <c r="M47" i="744" s="1"/>
  <c r="M59" i="744" s="1"/>
  <c r="M71" i="744" s="1"/>
  <c r="M14" i="744"/>
  <c r="M20" i="744"/>
  <c r="M17" i="744"/>
  <c r="M36" i="744"/>
  <c r="M48" i="744" s="1"/>
  <c r="M60" i="744" s="1"/>
  <c r="M72" i="744" s="1"/>
  <c r="M38" i="744"/>
  <c r="M50" i="744" s="1"/>
  <c r="M62" i="744" s="1"/>
  <c r="M74" i="744" s="1"/>
  <c r="M37" i="744"/>
  <c r="M49" i="744" s="1"/>
  <c r="M61" i="744" s="1"/>
  <c r="M73" i="744" s="1"/>
  <c r="L67" i="749"/>
  <c r="L18" i="749"/>
  <c r="L30" i="749"/>
  <c r="L28" i="749"/>
  <c r="L66" i="749"/>
  <c r="L17" i="749"/>
  <c r="L60" i="749"/>
  <c r="L68" i="749"/>
  <c r="L62" i="749"/>
  <c r="L27" i="749"/>
  <c r="L59" i="749"/>
  <c r="L19" i="749"/>
  <c r="L70" i="749"/>
  <c r="L69" i="749"/>
  <c r="L29" i="749"/>
  <c r="L65" i="749"/>
  <c r="L61" i="749"/>
  <c r="N35" i="749"/>
  <c r="N47" i="749" s="1"/>
  <c r="N59" i="749" s="1"/>
  <c r="N71" i="749" s="1"/>
  <c r="N27" i="749"/>
  <c r="N43" i="749"/>
  <c r="N55" i="749" s="1"/>
  <c r="N67" i="749" s="1"/>
  <c r="N79" i="749" s="1"/>
  <c r="AA3" i="744"/>
  <c r="N43" i="744"/>
  <c r="N55" i="744" s="1"/>
  <c r="N67" i="744" s="1"/>
  <c r="N79" i="744" s="1"/>
  <c r="N39" i="744"/>
  <c r="N51" i="744" s="1"/>
  <c r="N63" i="744" s="1"/>
  <c r="N75" i="744" s="1"/>
  <c r="N35" i="744"/>
  <c r="N47" i="744" s="1"/>
  <c r="N59" i="744" s="1"/>
  <c r="N71" i="744" s="1"/>
  <c r="N27" i="744"/>
  <c r="N31" i="744"/>
  <c r="AW3" i="744"/>
  <c r="N23" i="744"/>
  <c r="L64" i="744"/>
  <c r="L63" i="744"/>
  <c r="L67" i="744"/>
  <c r="L28" i="744"/>
  <c r="L27" i="744"/>
  <c r="L17" i="744"/>
  <c r="L68" i="744"/>
  <c r="L59" i="744"/>
  <c r="L69" i="744"/>
  <c r="L30" i="744"/>
  <c r="L62" i="744"/>
  <c r="L29" i="744"/>
  <c r="L19" i="744"/>
  <c r="L60" i="744"/>
  <c r="L65" i="744"/>
  <c r="L70" i="744"/>
  <c r="L61" i="744"/>
  <c r="L66" i="750"/>
  <c r="L29" i="750"/>
  <c r="L17" i="750"/>
  <c r="L18" i="750"/>
  <c r="L64" i="750"/>
  <c r="L59" i="750"/>
  <c r="L70" i="750"/>
  <c r="L61" i="750"/>
  <c r="L67" i="750"/>
  <c r="L19" i="750"/>
  <c r="L65" i="750"/>
  <c r="L63" i="750"/>
  <c r="L60" i="750"/>
  <c r="L69" i="750"/>
  <c r="L27" i="750"/>
  <c r="L68" i="750"/>
  <c r="L30" i="750"/>
  <c r="N39" i="745"/>
  <c r="N51" i="745" s="1"/>
  <c r="N63" i="745" s="1"/>
  <c r="N75" i="745" s="1"/>
  <c r="N31" i="745"/>
  <c r="N35" i="745"/>
  <c r="N47" i="745" s="1"/>
  <c r="N59" i="745" s="1"/>
  <c r="N71" i="745" s="1"/>
  <c r="AA3" i="745"/>
  <c r="N23" i="745"/>
  <c r="M41" i="745"/>
  <c r="M53" i="745" s="1"/>
  <c r="M65" i="745" s="1"/>
  <c r="M77" i="745" s="1"/>
  <c r="M21" i="745"/>
  <c r="M15" i="745"/>
  <c r="M40" i="745"/>
  <c r="M52" i="745" s="1"/>
  <c r="M64" i="745" s="1"/>
  <c r="M76" i="745" s="1"/>
  <c r="M42" i="745"/>
  <c r="M54" i="745" s="1"/>
  <c r="M18" i="745"/>
  <c r="M39" i="745"/>
  <c r="M51" i="745" s="1"/>
  <c r="M63" i="745" s="1"/>
  <c r="M75" i="745" s="1"/>
  <c r="AL4" i="750"/>
  <c r="M42" i="750"/>
  <c r="M54" i="750" s="1"/>
  <c r="M66" i="750" s="1"/>
  <c r="M78" i="750" s="1"/>
  <c r="M39" i="750"/>
  <c r="M51" i="750" s="1"/>
  <c r="M63" i="750" s="1"/>
  <c r="M75" i="750" s="1"/>
  <c r="M18" i="750"/>
  <c r="M41" i="750"/>
  <c r="M53" i="750" s="1"/>
  <c r="M65" i="750" s="1"/>
  <c r="M77" i="750" s="1"/>
  <c r="M15" i="750"/>
  <c r="N45" i="750"/>
  <c r="N57" i="750" s="1"/>
  <c r="N69" i="750" s="1"/>
  <c r="N81" i="750" s="1"/>
  <c r="N29" i="750"/>
  <c r="N33" i="750"/>
  <c r="BH4" i="744"/>
  <c r="M18" i="744"/>
  <c r="M42" i="744"/>
  <c r="M54" i="744" s="1"/>
  <c r="M66" i="744" s="1"/>
  <c r="M78" i="744" s="1"/>
  <c r="M21" i="744"/>
  <c r="M39" i="744"/>
  <c r="M51" i="744" s="1"/>
  <c r="M63" i="744" s="1"/>
  <c r="M75" i="744" s="1"/>
  <c r="AL4" i="744"/>
  <c r="M40" i="744"/>
  <c r="M52" i="744" s="1"/>
  <c r="M64" i="744" s="1"/>
  <c r="M76" i="744" s="1"/>
  <c r="N41" i="749"/>
  <c r="N53" i="749" s="1"/>
  <c r="N65" i="749" s="1"/>
  <c r="N77" i="749" s="1"/>
  <c r="N33" i="749"/>
  <c r="N45" i="749"/>
  <c r="N57" i="749" s="1"/>
  <c r="N69" i="749" s="1"/>
  <c r="N81" i="749" s="1"/>
  <c r="N37" i="749"/>
  <c r="N49" i="749" s="1"/>
  <c r="N61" i="749" s="1"/>
  <c r="N73" i="749" s="1"/>
  <c r="N32" i="744"/>
  <c r="N28" i="744"/>
  <c r="N36" i="744"/>
  <c r="N48" i="744" s="1"/>
  <c r="N60" i="744" s="1"/>
  <c r="N72" i="744" s="1"/>
  <c r="N40" i="744"/>
  <c r="N52" i="744" s="1"/>
  <c r="N64" i="744" s="1"/>
  <c r="N76" i="744" s="1"/>
  <c r="L71" i="745"/>
  <c r="L31" i="745"/>
  <c r="L73" i="745"/>
  <c r="L75" i="745"/>
  <c r="L32" i="745"/>
  <c r="L82" i="745"/>
  <c r="L77" i="745"/>
  <c r="L74" i="745"/>
  <c r="L47" i="744"/>
  <c r="L58" i="744"/>
  <c r="L57" i="744"/>
  <c r="L26" i="744"/>
  <c r="L50" i="744"/>
  <c r="L48" i="744"/>
  <c r="L24" i="744"/>
  <c r="L25" i="744"/>
  <c r="L56" i="744"/>
  <c r="L52" i="744"/>
  <c r="L23" i="744"/>
  <c r="L51" i="744"/>
  <c r="L54" i="744"/>
  <c r="L14" i="744"/>
  <c r="AW4" i="745"/>
  <c r="AA4" i="745"/>
  <c r="N40" i="745"/>
  <c r="N52" i="745" s="1"/>
  <c r="N64" i="745" s="1"/>
  <c r="N76" i="745" s="1"/>
  <c r="N24" i="745"/>
  <c r="N44" i="745"/>
  <c r="N56" i="745" s="1"/>
  <c r="N68" i="745" s="1"/>
  <c r="N80" i="745" s="1"/>
  <c r="N28" i="745"/>
  <c r="N36" i="745"/>
  <c r="N48" i="745" s="1"/>
  <c r="N60" i="745" s="1"/>
  <c r="N72" i="745" s="1"/>
  <c r="N32" i="745"/>
  <c r="M20" i="745"/>
  <c r="M14" i="745"/>
  <c r="AL3" i="745"/>
  <c r="BG3" i="745"/>
  <c r="M36" i="745"/>
  <c r="M48" i="745" s="1"/>
  <c r="M60" i="745" s="1"/>
  <c r="M72" i="745" s="1"/>
  <c r="M38" i="745"/>
  <c r="M50" i="745" s="1"/>
  <c r="M62" i="745" s="1"/>
  <c r="M74" i="745" s="1"/>
  <c r="M35" i="745"/>
  <c r="M47" i="745" s="1"/>
  <c r="M59" i="745" s="1"/>
  <c r="M19" i="750"/>
  <c r="M44" i="750"/>
  <c r="M56" i="750" s="1"/>
  <c r="M68" i="750" s="1"/>
  <c r="M80" i="750" s="1"/>
  <c r="M43" i="750"/>
  <c r="M55" i="750" s="1"/>
  <c r="M67" i="750" s="1"/>
  <c r="M79" i="750" s="1"/>
  <c r="M16" i="750"/>
  <c r="M22" i="750"/>
  <c r="AW3" i="750"/>
  <c r="N35" i="750"/>
  <c r="N47" i="750" s="1"/>
  <c r="N59" i="750" s="1"/>
  <c r="N71" i="750" s="1"/>
  <c r="N23" i="750"/>
  <c r="N39" i="750"/>
  <c r="N51" i="750" s="1"/>
  <c r="N63" i="750" s="1"/>
  <c r="N75" i="750" s="1"/>
  <c r="N43" i="750"/>
  <c r="N55" i="750" s="1"/>
  <c r="N67" i="750" s="1"/>
  <c r="N79" i="750" s="1"/>
  <c r="M16" i="744"/>
  <c r="M19" i="744"/>
  <c r="BH5" i="744"/>
  <c r="M43" i="744"/>
  <c r="M55" i="744" s="1"/>
  <c r="M67" i="744" s="1"/>
  <c r="M79" i="744" s="1"/>
  <c r="L49" i="749"/>
  <c r="L50" i="749"/>
  <c r="L24" i="749"/>
  <c r="L54" i="749"/>
  <c r="L15" i="749"/>
  <c r="L47" i="749"/>
  <c r="L52" i="749"/>
  <c r="L55" i="749"/>
  <c r="L51" i="749"/>
  <c r="L48" i="749"/>
  <c r="L25" i="749"/>
  <c r="L14" i="749"/>
  <c r="L53" i="749"/>
  <c r="L16" i="749"/>
  <c r="N32" i="749"/>
  <c r="N40" i="749"/>
  <c r="N52" i="749" s="1"/>
  <c r="N64" i="749" s="1"/>
  <c r="N76" i="749" s="1"/>
  <c r="N24" i="749"/>
  <c r="N44" i="749"/>
  <c r="N56" i="749" s="1"/>
  <c r="N68" i="749" s="1"/>
  <c r="N80" i="749" s="1"/>
  <c r="N36" i="749"/>
  <c r="N48" i="749" s="1"/>
  <c r="N60" i="749" s="1"/>
  <c r="N72" i="749" s="1"/>
  <c r="N28" i="749"/>
  <c r="N33" i="744"/>
  <c r="N41" i="744"/>
  <c r="N53" i="744" s="1"/>
  <c r="N37" i="744"/>
  <c r="N49" i="744" s="1"/>
  <c r="N61" i="744" s="1"/>
  <c r="N73" i="744" s="1"/>
  <c r="N45" i="744"/>
  <c r="N57" i="744" s="1"/>
  <c r="N69" i="744" s="1"/>
  <c r="N81" i="744" s="1"/>
  <c r="L68" i="745"/>
  <c r="L63" i="745"/>
  <c r="L67" i="745"/>
  <c r="L60" i="745"/>
  <c r="L66" i="745"/>
  <c r="L27" i="745"/>
  <c r="L59" i="745"/>
  <c r="L18" i="745"/>
  <c r="L61" i="745"/>
  <c r="L28" i="745"/>
  <c r="L30" i="745"/>
  <c r="L29" i="745"/>
  <c r="L62" i="745"/>
  <c r="L69" i="745"/>
  <c r="L19" i="745"/>
  <c r="L64" i="745"/>
  <c r="L70" i="745"/>
  <c r="L17" i="745"/>
  <c r="L65" i="745"/>
  <c r="M19" i="749"/>
  <c r="M43" i="749"/>
  <c r="M55" i="749" s="1"/>
  <c r="M67" i="749" s="1"/>
  <c r="M79" i="749" s="1"/>
  <c r="M44" i="749"/>
  <c r="M56" i="749" s="1"/>
  <c r="M68" i="749" s="1"/>
  <c r="M80" i="749" s="1"/>
  <c r="M22" i="749"/>
  <c r="AL5" i="749"/>
  <c r="M46" i="749"/>
  <c r="M58" i="749" s="1"/>
  <c r="M70" i="749" s="1"/>
  <c r="M82" i="749" s="1"/>
  <c r="M16" i="749"/>
  <c r="L81" i="750"/>
  <c r="L75" i="750"/>
  <c r="L34" i="750"/>
  <c r="L72" i="750"/>
  <c r="L21" i="750"/>
  <c r="L74" i="750"/>
  <c r="L71" i="750"/>
  <c r="L78" i="750"/>
  <c r="L76" i="750"/>
  <c r="N46" i="745"/>
  <c r="N58" i="745" s="1"/>
  <c r="N70" i="745" s="1"/>
  <c r="N82" i="745" s="1"/>
  <c r="N26" i="745"/>
  <c r="N30" i="745"/>
  <c r="N38" i="745"/>
  <c r="N50" i="745" s="1"/>
  <c r="N62" i="745" s="1"/>
  <c r="N74" i="745" s="1"/>
  <c r="N42" i="745"/>
  <c r="N54" i="745" s="1"/>
  <c r="N66" i="745" s="1"/>
  <c r="N78" i="745" s="1"/>
  <c r="N34" i="745"/>
  <c r="M14" i="750"/>
  <c r="M37" i="750"/>
  <c r="M49" i="750" s="1"/>
  <c r="M61" i="750" s="1"/>
  <c r="M73" i="750" s="1"/>
  <c r="M35" i="750"/>
  <c r="M47" i="750" s="1"/>
  <c r="M59" i="750" s="1"/>
  <c r="M71" i="750" s="1"/>
  <c r="M36" i="750"/>
  <c r="M48" i="750" s="1"/>
  <c r="M60" i="750" s="1"/>
  <c r="M72" i="750" s="1"/>
  <c r="M38" i="750"/>
  <c r="M50" i="750" s="1"/>
  <c r="M62" i="750" s="1"/>
  <c r="M74" i="750" s="1"/>
  <c r="AW4" i="750"/>
  <c r="N24" i="750"/>
  <c r="N44" i="750"/>
  <c r="N56" i="750" s="1"/>
  <c r="N68" i="750" s="1"/>
  <c r="N80" i="750" s="1"/>
  <c r="N32" i="750"/>
  <c r="N28" i="750"/>
  <c r="AA4" i="750"/>
  <c r="N36" i="750"/>
  <c r="N48" i="750" s="1"/>
  <c r="N60" i="750" s="1"/>
  <c r="N72" i="750" s="1"/>
  <c r="N40" i="750"/>
  <c r="N52" i="750" s="1"/>
  <c r="N64" i="750" s="1"/>
  <c r="N76" i="750" s="1"/>
  <c r="L74" i="749"/>
  <c r="L20" i="749"/>
  <c r="L82" i="749"/>
  <c r="L79" i="749"/>
  <c r="L72" i="749"/>
  <c r="L22" i="749"/>
  <c r="L78" i="749"/>
  <c r="L75" i="749"/>
  <c r="L81" i="749"/>
  <c r="L34" i="749"/>
  <c r="L32" i="749"/>
  <c r="L33" i="749"/>
  <c r="L77" i="749"/>
  <c r="L71" i="749"/>
  <c r="L76" i="749"/>
  <c r="L73" i="749"/>
  <c r="N38" i="749"/>
  <c r="N50" i="749" s="1"/>
  <c r="N62" i="749" s="1"/>
  <c r="N74" i="749" s="1"/>
  <c r="AW6" i="749"/>
  <c r="N30" i="749"/>
  <c r="N34" i="749"/>
  <c r="N46" i="749"/>
  <c r="N58" i="749" s="1"/>
  <c r="N70" i="749" s="1"/>
  <c r="N82" i="749" s="1"/>
  <c r="AA6" i="749"/>
  <c r="N42" i="749"/>
  <c r="N54" i="749" s="1"/>
  <c r="N66" i="749" s="1"/>
  <c r="N78" i="749" s="1"/>
  <c r="N26" i="749"/>
  <c r="N30" i="744"/>
  <c r="N26" i="744"/>
  <c r="N46" i="744"/>
  <c r="N58" i="744" s="1"/>
  <c r="N70" i="744" s="1"/>
  <c r="N82" i="744" s="1"/>
  <c r="AA6" i="744"/>
  <c r="L49" i="745"/>
  <c r="L15" i="745"/>
  <c r="L50" i="745"/>
  <c r="L25" i="745"/>
  <c r="L47" i="745"/>
  <c r="L23" i="745"/>
  <c r="L51" i="745"/>
  <c r="L56" i="745"/>
  <c r="L52" i="745"/>
  <c r="L14" i="745"/>
  <c r="L24" i="745"/>
  <c r="L16" i="745"/>
  <c r="L53" i="745"/>
  <c r="L57" i="745"/>
  <c r="L48" i="745"/>
  <c r="L26" i="745"/>
  <c r="M38" i="749"/>
  <c r="M50" i="749" s="1"/>
  <c r="M62" i="749" s="1"/>
  <c r="M74" i="749" s="1"/>
  <c r="M17" i="749"/>
  <c r="M35" i="749"/>
  <c r="M47" i="749" s="1"/>
  <c r="M59" i="749" s="1"/>
  <c r="M71" i="749" s="1"/>
  <c r="M37" i="749"/>
  <c r="M49" i="749" s="1"/>
  <c r="M61" i="749" s="1"/>
  <c r="M73" i="749" s="1"/>
  <c r="M14" i="749"/>
  <c r="AC3" i="750" a="1"/>
  <c r="AY3" i="750" a="1"/>
  <c r="BJ3" i="750" a="1"/>
  <c r="AN3" i="750" a="1"/>
  <c r="AN3" i="745" a="1"/>
  <c r="AD3" i="744" a="1"/>
  <c r="AZ3" i="744" a="1"/>
  <c r="BK3" i="744" a="1"/>
  <c r="AO3" i="744" a="1"/>
  <c r="O63" i="745" l="1"/>
  <c r="Q63" i="745" s="1" a="1"/>
  <c r="Q63" i="745" s="1"/>
  <c r="O53" i="745"/>
  <c r="P53" i="745" s="1"/>
  <c r="O65" i="745"/>
  <c r="O51" i="745"/>
  <c r="Q51" i="745" s="1" a="1"/>
  <c r="Q51" i="745" s="1"/>
  <c r="O70" i="749"/>
  <c r="Q70" i="749" s="1" a="1"/>
  <c r="Q70" i="749" s="1"/>
  <c r="O50" i="745"/>
  <c r="AW6" i="745"/>
  <c r="AA6" i="745"/>
  <c r="L16" i="744"/>
  <c r="L53" i="744"/>
  <c r="L55" i="744"/>
  <c r="O55" i="744" s="1"/>
  <c r="L49" i="744"/>
  <c r="O49" i="744" s="1"/>
  <c r="L15" i="744"/>
  <c r="M15" i="744"/>
  <c r="M41" i="744"/>
  <c r="M53" i="744" s="1"/>
  <c r="M65" i="744" s="1"/>
  <c r="M77" i="744" s="1"/>
  <c r="L54" i="750"/>
  <c r="O54" i="750" s="1"/>
  <c r="L49" i="750"/>
  <c r="L25" i="750"/>
  <c r="L21" i="749"/>
  <c r="L80" i="749"/>
  <c r="O80" i="749" s="1"/>
  <c r="P80" i="749" s="1"/>
  <c r="L31" i="749"/>
  <c r="O71" i="750"/>
  <c r="O48" i="744"/>
  <c r="Q48" i="744" s="1" a="1"/>
  <c r="Q48" i="744" s="1"/>
  <c r="AA5" i="745"/>
  <c r="AW5" i="745"/>
  <c r="N33" i="745"/>
  <c r="N45" i="745"/>
  <c r="N57" i="745" s="1"/>
  <c r="N69" i="745" s="1"/>
  <c r="O69" i="745" s="1"/>
  <c r="L81" i="744"/>
  <c r="L79" i="744"/>
  <c r="O79" i="744" s="1"/>
  <c r="L22" i="744"/>
  <c r="AL5" i="744"/>
  <c r="M45" i="744"/>
  <c r="M57" i="744" s="1"/>
  <c r="M69" i="744" s="1"/>
  <c r="M81" i="744" s="1"/>
  <c r="M44" i="744"/>
  <c r="M56" i="744" s="1"/>
  <c r="M46" i="744"/>
  <c r="M58" i="744" s="1"/>
  <c r="M70" i="744" s="1"/>
  <c r="M82" i="744" s="1"/>
  <c r="O82" i="744" s="1"/>
  <c r="M22" i="744"/>
  <c r="N31" i="749"/>
  <c r="N23" i="749"/>
  <c r="AW3" i="749"/>
  <c r="AA3" i="749"/>
  <c r="N39" i="749"/>
  <c r="N51" i="749" s="1"/>
  <c r="N63" i="749" s="1"/>
  <c r="N75" i="749" s="1"/>
  <c r="L31" i="750"/>
  <c r="L82" i="750"/>
  <c r="L73" i="750"/>
  <c r="L20" i="750"/>
  <c r="L32" i="750"/>
  <c r="L79" i="750"/>
  <c r="L77" i="750"/>
  <c r="L33" i="750"/>
  <c r="L80" i="750"/>
  <c r="O80" i="750" s="1"/>
  <c r="L22" i="750"/>
  <c r="N25" i="750"/>
  <c r="N37" i="750"/>
  <c r="N49" i="750" s="1"/>
  <c r="N61" i="750" s="1"/>
  <c r="N41" i="750"/>
  <c r="N53" i="750" s="1"/>
  <c r="N65" i="750" s="1"/>
  <c r="N77" i="750" s="1"/>
  <c r="AA5" i="750"/>
  <c r="AW5" i="750"/>
  <c r="M45" i="749"/>
  <c r="M57" i="749" s="1"/>
  <c r="M69" i="749" s="1"/>
  <c r="M81" i="749" s="1"/>
  <c r="O81" i="749" s="1"/>
  <c r="BH5" i="749"/>
  <c r="N44" i="744"/>
  <c r="N56" i="744" s="1"/>
  <c r="N68" i="744" s="1"/>
  <c r="N80" i="744" s="1"/>
  <c r="AW4" i="744"/>
  <c r="N24" i="744"/>
  <c r="AA4" i="744"/>
  <c r="L64" i="749"/>
  <c r="L63" i="749"/>
  <c r="AL3" i="750"/>
  <c r="M17" i="750"/>
  <c r="M20" i="750"/>
  <c r="BH3" i="750"/>
  <c r="O48" i="745"/>
  <c r="P48" i="745" s="1"/>
  <c r="L55" i="745"/>
  <c r="O55" i="745" s="1"/>
  <c r="L58" i="745"/>
  <c r="L54" i="745"/>
  <c r="O54" i="745" s="1"/>
  <c r="AW3" i="745"/>
  <c r="N27" i="745"/>
  <c r="N43" i="745"/>
  <c r="N55" i="745" s="1"/>
  <c r="N67" i="745" s="1"/>
  <c r="N79" i="745" s="1"/>
  <c r="L66" i="744"/>
  <c r="L18" i="744"/>
  <c r="BG4" i="745"/>
  <c r="AL4" i="745"/>
  <c r="N29" i="749"/>
  <c r="AW5" i="749"/>
  <c r="AA5" i="749"/>
  <c r="N25" i="749"/>
  <c r="L62" i="750"/>
  <c r="O62" i="750" s="1"/>
  <c r="L28" i="750"/>
  <c r="AA3" i="750"/>
  <c r="N31" i="750"/>
  <c r="N27" i="750"/>
  <c r="M20" i="749"/>
  <c r="BH3" i="749"/>
  <c r="M36" i="749"/>
  <c r="M48" i="749" s="1"/>
  <c r="AL3" i="749"/>
  <c r="N29" i="744"/>
  <c r="AA5" i="744"/>
  <c r="AW5" i="744"/>
  <c r="N25" i="744"/>
  <c r="L56" i="749"/>
  <c r="O56" i="749" s="1"/>
  <c r="L26" i="749"/>
  <c r="L57" i="749"/>
  <c r="L23" i="749"/>
  <c r="L58" i="749"/>
  <c r="O58" i="749" s="1"/>
  <c r="BH4" i="750"/>
  <c r="M21" i="750"/>
  <c r="M40" i="750"/>
  <c r="M52" i="750" s="1"/>
  <c r="M64" i="750" s="1"/>
  <c r="M76" i="750" s="1"/>
  <c r="O76" i="750" s="1"/>
  <c r="O68" i="749"/>
  <c r="Q68" i="749" s="1" a="1"/>
  <c r="Q68" i="749" s="1"/>
  <c r="O74" i="749"/>
  <c r="P74" i="749" s="1"/>
  <c r="O68" i="745"/>
  <c r="O66" i="750"/>
  <c r="P66" i="750" s="1"/>
  <c r="O60" i="744"/>
  <c r="P60" i="744" s="1"/>
  <c r="L22" i="745"/>
  <c r="L21" i="745"/>
  <c r="L81" i="745"/>
  <c r="L76" i="745"/>
  <c r="O76" i="745" s="1"/>
  <c r="L80" i="745"/>
  <c r="L78" i="745"/>
  <c r="L72" i="745"/>
  <c r="O72" i="745" s="1"/>
  <c r="P72" i="745" s="1"/>
  <c r="L33" i="745"/>
  <c r="L34" i="745"/>
  <c r="L79" i="745"/>
  <c r="L20" i="745"/>
  <c r="AL3" i="744"/>
  <c r="BH3" i="744"/>
  <c r="M37" i="745"/>
  <c r="M49" i="745" s="1"/>
  <c r="M61" i="745" s="1"/>
  <c r="M73" i="745" s="1"/>
  <c r="M17" i="745"/>
  <c r="AA4" i="749"/>
  <c r="AW4" i="749"/>
  <c r="N34" i="750"/>
  <c r="AA6" i="750"/>
  <c r="N46" i="750"/>
  <c r="N58" i="750" s="1"/>
  <c r="N70" i="750" s="1"/>
  <c r="N82" i="750" s="1"/>
  <c r="AW6" i="750"/>
  <c r="M39" i="749"/>
  <c r="M51" i="749" s="1"/>
  <c r="M42" i="749"/>
  <c r="M54" i="749" s="1"/>
  <c r="M66" i="749" s="1"/>
  <c r="M78" i="749" s="1"/>
  <c r="O78" i="749" s="1"/>
  <c r="M18" i="749"/>
  <c r="M41" i="749"/>
  <c r="M53" i="749" s="1"/>
  <c r="M65" i="749" s="1"/>
  <c r="M77" i="749" s="1"/>
  <c r="O77" i="749" s="1"/>
  <c r="M21" i="749"/>
  <c r="BH4" i="749"/>
  <c r="M40" i="749"/>
  <c r="M52" i="749" s="1"/>
  <c r="M64" i="749" s="1"/>
  <c r="M76" i="749" s="1"/>
  <c r="O76" i="749" s="1"/>
  <c r="M15" i="749"/>
  <c r="AL4" i="749"/>
  <c r="N38" i="744"/>
  <c r="N50" i="744" s="1"/>
  <c r="N62" i="744" s="1"/>
  <c r="AW6" i="744"/>
  <c r="N34" i="744"/>
  <c r="N42" i="744"/>
  <c r="N54" i="744" s="1"/>
  <c r="N66" i="744" s="1"/>
  <c r="N78" i="744" s="1"/>
  <c r="O78" i="744" s="1"/>
  <c r="P78" i="744" s="1"/>
  <c r="AL5" i="750"/>
  <c r="M45" i="750"/>
  <c r="M57" i="750" s="1"/>
  <c r="M46" i="750"/>
  <c r="M58" i="750" s="1"/>
  <c r="BH5" i="750"/>
  <c r="O67" i="750"/>
  <c r="O63" i="744"/>
  <c r="O52" i="744"/>
  <c r="O77" i="745"/>
  <c r="O80" i="745"/>
  <c r="Q80" i="745" s="1" a="1"/>
  <c r="Q80" i="745" s="1"/>
  <c r="O52" i="745"/>
  <c r="O56" i="745"/>
  <c r="O79" i="749"/>
  <c r="O78" i="750"/>
  <c r="P78" i="750" s="1"/>
  <c r="O47" i="744"/>
  <c r="P47" i="744" s="1"/>
  <c r="O74" i="745"/>
  <c r="Q50" i="745" a="1"/>
  <c r="Q50" i="745" s="1"/>
  <c r="P50" i="745"/>
  <c r="P48" i="744"/>
  <c r="O76" i="744"/>
  <c r="O75" i="745"/>
  <c r="O60" i="750"/>
  <c r="O59" i="749"/>
  <c r="M67" i="745"/>
  <c r="O56" i="750"/>
  <c r="O51" i="750"/>
  <c r="O47" i="750"/>
  <c r="O58" i="744"/>
  <c r="Q58" i="744" s="1" a="1"/>
  <c r="Q58" i="744" s="1"/>
  <c r="O71" i="749"/>
  <c r="O74" i="750"/>
  <c r="O75" i="750"/>
  <c r="N65" i="744"/>
  <c r="N77" i="744" s="1"/>
  <c r="O77" i="744" s="1"/>
  <c r="O53" i="744"/>
  <c r="O47" i="749"/>
  <c r="O50" i="749"/>
  <c r="O47" i="745"/>
  <c r="O54" i="744"/>
  <c r="O73" i="745"/>
  <c r="O68" i="750"/>
  <c r="O63" i="750"/>
  <c r="O64" i="744"/>
  <c r="M70" i="745"/>
  <c r="O58" i="745"/>
  <c r="O53" i="750"/>
  <c r="O50" i="750"/>
  <c r="O62" i="745"/>
  <c r="O49" i="749"/>
  <c r="O79" i="750"/>
  <c r="O51" i="744"/>
  <c r="M66" i="745"/>
  <c r="O59" i="744"/>
  <c r="O61" i="749"/>
  <c r="O62" i="749"/>
  <c r="O67" i="749"/>
  <c r="O73" i="749"/>
  <c r="O72" i="750"/>
  <c r="O64" i="745"/>
  <c r="O60" i="745"/>
  <c r="O55" i="749"/>
  <c r="O59" i="750"/>
  <c r="O67" i="744"/>
  <c r="O61" i="744"/>
  <c r="O48" i="750"/>
  <c r="O55" i="750"/>
  <c r="O72" i="744"/>
  <c r="O75" i="744"/>
  <c r="O71" i="744"/>
  <c r="P58" i="744"/>
  <c r="Q65" i="745" a="1"/>
  <c r="Q65" i="745" s="1"/>
  <c r="P65" i="745"/>
  <c r="M71" i="745"/>
  <c r="O59" i="745"/>
  <c r="O73" i="744"/>
  <c r="P70" i="749"/>
  <c r="O82" i="749"/>
  <c r="AZ3" i="745" a="1"/>
  <c r="AC3" i="744" a="1"/>
  <c r="AY3" i="744" a="1"/>
  <c r="AN3" i="744" a="1"/>
  <c r="BJ3" i="744" a="1"/>
  <c r="AZ10" i="750"/>
  <c r="BK9" i="744"/>
  <c r="BK9" i="749"/>
  <c r="BJ9" i="745"/>
  <c r="AZ10" i="744"/>
  <c r="O81" i="744" l="1"/>
  <c r="P81" i="744" s="1"/>
  <c r="P51" i="745"/>
  <c r="Q58" i="749" a="1"/>
  <c r="Q58" i="749" s="1"/>
  <c r="P58" i="749"/>
  <c r="O69" i="749"/>
  <c r="Q69" i="749" s="1" a="1"/>
  <c r="Q69" i="749" s="1"/>
  <c r="O69" i="744"/>
  <c r="Q69" i="744" s="1" a="1"/>
  <c r="Q69" i="744" s="1"/>
  <c r="P68" i="749"/>
  <c r="O57" i="744"/>
  <c r="O54" i="749"/>
  <c r="P54" i="749" s="1"/>
  <c r="Q66" i="750" a="1"/>
  <c r="Q66" i="750" s="1"/>
  <c r="Q48" i="745" a="1"/>
  <c r="Q48" i="745" s="1"/>
  <c r="O57" i="749"/>
  <c r="P57" i="749" s="1"/>
  <c r="O49" i="750"/>
  <c r="Q49" i="750" s="1" a="1"/>
  <c r="Q49" i="750" s="1"/>
  <c r="O65" i="750"/>
  <c r="P65" i="750" s="1"/>
  <c r="P63" i="745"/>
  <c r="O64" i="749"/>
  <c r="Q47" i="744" a="1"/>
  <c r="Q47" i="744" s="1"/>
  <c r="O49" i="745"/>
  <c r="Q53" i="745" a="1"/>
  <c r="Q53" i="745" s="1"/>
  <c r="O64" i="750"/>
  <c r="P64" i="750" s="1"/>
  <c r="P80" i="745"/>
  <c r="Q74" i="749" a="1"/>
  <c r="Q74" i="749" s="1"/>
  <c r="O70" i="744"/>
  <c r="P70" i="744" s="1"/>
  <c r="N81" i="745"/>
  <c r="Q78" i="750" a="1"/>
  <c r="Q78" i="750" s="1"/>
  <c r="Q81" i="744" a="1"/>
  <c r="Q81" i="744" s="1"/>
  <c r="O52" i="750"/>
  <c r="P52" i="750" s="1"/>
  <c r="O65" i="744"/>
  <c r="Q65" i="744" s="1" a="1"/>
  <c r="Q65" i="744" s="1"/>
  <c r="Q80" i="749" a="1"/>
  <c r="Q80" i="749" s="1"/>
  <c r="O65" i="749"/>
  <c r="Q65" i="749" s="1" a="1"/>
  <c r="Q65" i="749" s="1"/>
  <c r="P77" i="749"/>
  <c r="Q77" i="749" a="1"/>
  <c r="Q77" i="749" s="1"/>
  <c r="P49" i="750"/>
  <c r="O57" i="745"/>
  <c r="Q76" i="750" a="1"/>
  <c r="Q76" i="750" s="1"/>
  <c r="P76" i="750"/>
  <c r="Q72" i="745" a="1"/>
  <c r="Q72" i="745" s="1"/>
  <c r="P80" i="750"/>
  <c r="Q80" i="750" a="1"/>
  <c r="Q80" i="750" s="1"/>
  <c r="P79" i="744"/>
  <c r="Q79" i="744" a="1"/>
  <c r="Q79" i="744" s="1"/>
  <c r="Q76" i="749" a="1"/>
  <c r="Q76" i="749" s="1"/>
  <c r="P76" i="749"/>
  <c r="O66" i="749"/>
  <c r="Q78" i="744" a="1"/>
  <c r="Q78" i="744" s="1"/>
  <c r="M70" i="750"/>
  <c r="O58" i="750"/>
  <c r="O53" i="749"/>
  <c r="N73" i="750"/>
  <c r="O73" i="750" s="1"/>
  <c r="Q73" i="750" s="1" a="1"/>
  <c r="Q73" i="750" s="1"/>
  <c r="O61" i="750"/>
  <c r="O50" i="744"/>
  <c r="Q60" i="744" a="1"/>
  <c r="Q60" i="744" s="1"/>
  <c r="M69" i="750"/>
  <c r="O57" i="750"/>
  <c r="P68" i="745"/>
  <c r="Q68" i="745" a="1"/>
  <c r="Q68" i="745" s="1"/>
  <c r="Q81" i="749" a="1"/>
  <c r="Q81" i="749" s="1"/>
  <c r="P81" i="749"/>
  <c r="O66" i="744"/>
  <c r="O77" i="750"/>
  <c r="N74" i="744"/>
  <c r="O74" i="744" s="1"/>
  <c r="P74" i="744" s="1"/>
  <c r="O62" i="744"/>
  <c r="O61" i="745"/>
  <c r="Q57" i="749" a="1"/>
  <c r="Q57" i="749" s="1"/>
  <c r="M60" i="749"/>
  <c r="O48" i="749"/>
  <c r="O52" i="749"/>
  <c r="M63" i="749"/>
  <c r="O51" i="749"/>
  <c r="M68" i="744"/>
  <c r="O56" i="744"/>
  <c r="P71" i="750"/>
  <c r="Q71" i="750" a="1"/>
  <c r="Q71" i="750" s="1"/>
  <c r="Q54" i="750" a="1"/>
  <c r="Q54" i="750" s="1"/>
  <c r="P54" i="750"/>
  <c r="Q56" i="745" a="1"/>
  <c r="Q56" i="745" s="1"/>
  <c r="P56" i="745"/>
  <c r="Q52" i="745" a="1"/>
  <c r="Q52" i="745" s="1"/>
  <c r="P52" i="745"/>
  <c r="Q77" i="745" a="1"/>
  <c r="Q77" i="745" s="1"/>
  <c r="P77" i="745"/>
  <c r="Q63" i="744" a="1"/>
  <c r="Q63" i="744" s="1"/>
  <c r="P63" i="744"/>
  <c r="P74" i="745"/>
  <c r="Q74" i="745" a="1"/>
  <c r="Q74" i="745" s="1"/>
  <c r="P79" i="749"/>
  <c r="Q79" i="749" a="1"/>
  <c r="Q79" i="749" s="1"/>
  <c r="Q52" i="744" a="1"/>
  <c r="Q52" i="744" s="1"/>
  <c r="P52" i="744"/>
  <c r="Q67" i="750" a="1"/>
  <c r="Q67" i="750" s="1"/>
  <c r="P67" i="750"/>
  <c r="P72" i="744"/>
  <c r="Q72" i="744" a="1"/>
  <c r="Q72" i="744" s="1"/>
  <c r="P61" i="744"/>
  <c r="Q61" i="744" a="1"/>
  <c r="Q61" i="744" s="1"/>
  <c r="Q59" i="750" a="1"/>
  <c r="Q59" i="750" s="1"/>
  <c r="P59" i="750"/>
  <c r="Q73" i="749" a="1"/>
  <c r="Q73" i="749" s="1"/>
  <c r="P73" i="749"/>
  <c r="Q61" i="749" a="1"/>
  <c r="Q61" i="749" s="1"/>
  <c r="P61" i="749"/>
  <c r="M78" i="745"/>
  <c r="O78" i="745" s="1"/>
  <c r="O66" i="745"/>
  <c r="P51" i="744"/>
  <c r="Q51" i="744" a="1"/>
  <c r="Q51" i="744" s="1"/>
  <c r="P50" i="750"/>
  <c r="Q50" i="750" a="1"/>
  <c r="Q50" i="750" s="1"/>
  <c r="Q73" i="745" a="1"/>
  <c r="Q73" i="745" s="1"/>
  <c r="P73" i="745"/>
  <c r="Q47" i="745" a="1"/>
  <c r="Q47" i="745" s="1"/>
  <c r="P47" i="745"/>
  <c r="P77" i="744"/>
  <c r="Q77" i="744" a="1"/>
  <c r="Q77" i="744" s="1"/>
  <c r="Q56" i="749" a="1"/>
  <c r="Q56" i="749" s="1"/>
  <c r="P56" i="749"/>
  <c r="P59" i="749"/>
  <c r="Q59" i="749" a="1"/>
  <c r="Q59" i="749" s="1"/>
  <c r="Q64" i="750" a="1"/>
  <c r="Q64" i="750" s="1"/>
  <c r="P78" i="749"/>
  <c r="Q78" i="749" a="1"/>
  <c r="Q78" i="749" s="1"/>
  <c r="Q55" i="750" a="1"/>
  <c r="Q55" i="750" s="1"/>
  <c r="P55" i="750"/>
  <c r="P76" i="745"/>
  <c r="Q76" i="745" a="1"/>
  <c r="Q76" i="745" s="1"/>
  <c r="P57" i="744"/>
  <c r="Q57" i="744" a="1"/>
  <c r="Q57" i="744" s="1"/>
  <c r="Q55" i="749" a="1"/>
  <c r="Q55" i="749" s="1"/>
  <c r="P55" i="749"/>
  <c r="Q72" i="750" a="1"/>
  <c r="Q72" i="750" s="1"/>
  <c r="P72" i="750"/>
  <c r="Q59" i="744" a="1"/>
  <c r="Q59" i="744" s="1"/>
  <c r="P59" i="744"/>
  <c r="P79" i="750"/>
  <c r="Q79" i="750" a="1"/>
  <c r="Q79" i="750" s="1"/>
  <c r="P53" i="750"/>
  <c r="Q53" i="750" a="1"/>
  <c r="Q53" i="750" s="1"/>
  <c r="Q64" i="744" a="1"/>
  <c r="Q64" i="744" s="1"/>
  <c r="P64" i="744"/>
  <c r="P50" i="749"/>
  <c r="Q50" i="749" a="1"/>
  <c r="Q50" i="749" s="1"/>
  <c r="P75" i="750"/>
  <c r="Q75" i="750" a="1"/>
  <c r="Q75" i="750" s="1"/>
  <c r="Q74" i="744" a="1"/>
  <c r="Q74" i="744" s="1"/>
  <c r="P56" i="750"/>
  <c r="Q56" i="750" a="1"/>
  <c r="Q56" i="750" s="1"/>
  <c r="P60" i="750"/>
  <c r="Q60" i="750" a="1"/>
  <c r="Q60" i="750" s="1"/>
  <c r="Q71" i="744" a="1"/>
  <c r="Q71" i="744" s="1"/>
  <c r="P71" i="744"/>
  <c r="Q48" i="750" a="1"/>
  <c r="Q48" i="750" s="1"/>
  <c r="P48" i="750"/>
  <c r="P67" i="744"/>
  <c r="Q67" i="744" a="1"/>
  <c r="Q67" i="744" s="1"/>
  <c r="P55" i="744"/>
  <c r="Q55" i="744" a="1"/>
  <c r="Q55" i="744" s="1"/>
  <c r="Q60" i="745" a="1"/>
  <c r="Q60" i="745" s="1"/>
  <c r="P60" i="745"/>
  <c r="Q67" i="749" a="1"/>
  <c r="Q67" i="749" s="1"/>
  <c r="P67" i="749"/>
  <c r="P49" i="749"/>
  <c r="Q49" i="749" a="1"/>
  <c r="Q49" i="749" s="1"/>
  <c r="P62" i="750"/>
  <c r="Q62" i="750" a="1"/>
  <c r="Q62" i="750" s="1"/>
  <c r="P58" i="745"/>
  <c r="Q58" i="745" a="1"/>
  <c r="Q58" i="745" s="1"/>
  <c r="P63" i="750"/>
  <c r="Q63" i="750" a="1"/>
  <c r="Q63" i="750" s="1"/>
  <c r="Q47" i="749" a="1"/>
  <c r="Q47" i="749" s="1"/>
  <c r="P47" i="749"/>
  <c r="Q74" i="750" a="1"/>
  <c r="Q74" i="750" s="1"/>
  <c r="P74" i="750"/>
  <c r="Q47" i="750" a="1"/>
  <c r="Q47" i="750" s="1"/>
  <c r="P47" i="750"/>
  <c r="M79" i="745"/>
  <c r="O79" i="745" s="1"/>
  <c r="O67" i="745"/>
  <c r="P75" i="745"/>
  <c r="Q75" i="745" a="1"/>
  <c r="Q75" i="745" s="1"/>
  <c r="Q75" i="744" a="1"/>
  <c r="Q75" i="744" s="1"/>
  <c r="P75" i="744"/>
  <c r="Q52" i="750" a="1"/>
  <c r="Q52" i="750" s="1"/>
  <c r="Q64" i="745" a="1"/>
  <c r="Q64" i="745" s="1"/>
  <c r="P64" i="745"/>
  <c r="P62" i="749"/>
  <c r="Q62" i="749" a="1"/>
  <c r="Q62" i="749" s="1"/>
  <c r="Q54" i="745" a="1"/>
  <c r="Q54" i="745" s="1"/>
  <c r="P54" i="745"/>
  <c r="Q62" i="745" a="1"/>
  <c r="Q62" i="745" s="1"/>
  <c r="P62" i="745"/>
  <c r="P49" i="744"/>
  <c r="Q49" i="744" a="1"/>
  <c r="Q49" i="744" s="1"/>
  <c r="M82" i="745"/>
  <c r="O82" i="745" s="1"/>
  <c r="O70" i="745"/>
  <c r="P68" i="750"/>
  <c r="Q68" i="750" a="1"/>
  <c r="Q68" i="750" s="1"/>
  <c r="P54" i="744"/>
  <c r="Q54" i="744" a="1"/>
  <c r="Q54" i="744" s="1"/>
  <c r="Q53" i="744" a="1"/>
  <c r="Q53" i="744" s="1"/>
  <c r="P53" i="744"/>
  <c r="Q71" i="749" a="1"/>
  <c r="Q71" i="749" s="1"/>
  <c r="P71" i="749"/>
  <c r="P51" i="750"/>
  <c r="Q51" i="750" a="1"/>
  <c r="Q51" i="750" s="1"/>
  <c r="P55" i="745"/>
  <c r="Q55" i="745" a="1"/>
  <c r="Q55" i="745" s="1"/>
  <c r="Q76" i="744" a="1"/>
  <c r="Q76" i="744" s="1"/>
  <c r="P76" i="744"/>
  <c r="Q69" i="745" a="1"/>
  <c r="Q69" i="745" s="1"/>
  <c r="P69" i="745"/>
  <c r="Q82" i="744" a="1"/>
  <c r="Q82" i="744" s="1"/>
  <c r="P82" i="744"/>
  <c r="O81" i="745"/>
  <c r="P59" i="745"/>
  <c r="Q59" i="745" a="1"/>
  <c r="Q59" i="745" s="1"/>
  <c r="O71" i="745"/>
  <c r="Q73" i="744" a="1"/>
  <c r="Q73" i="744" s="1"/>
  <c r="P73" i="744"/>
  <c r="P82" i="749"/>
  <c r="Q82" i="749" a="1"/>
  <c r="Q82" i="749" s="1"/>
  <c r="AZ10" i="749"/>
  <c r="BK9" i="750"/>
  <c r="AZ10" i="745"/>
  <c r="P69" i="749" l="1"/>
  <c r="Q54" i="749" a="1"/>
  <c r="Q54" i="749" s="1"/>
  <c r="Q65" i="750" a="1"/>
  <c r="Q65" i="750" s="1"/>
  <c r="P69" i="744"/>
  <c r="P73" i="750"/>
  <c r="P64" i="749"/>
  <c r="Q64" i="749" a="1"/>
  <c r="Q64" i="749" s="1"/>
  <c r="Q70" i="744" a="1"/>
  <c r="Q70" i="744" s="1"/>
  <c r="P65" i="749"/>
  <c r="P49" i="745"/>
  <c r="Q49" i="745" a="1"/>
  <c r="Q49" i="745" s="1"/>
  <c r="P65" i="744"/>
  <c r="O43" i="745"/>
  <c r="O36" i="745"/>
  <c r="P36" i="745" s="1"/>
  <c r="P57" i="745"/>
  <c r="Q57" i="745" a="1"/>
  <c r="Q57" i="745" s="1"/>
  <c r="O37" i="745"/>
  <c r="P37" i="745" s="1"/>
  <c r="O32" i="745"/>
  <c r="O34" i="745"/>
  <c r="P34" i="745" s="1"/>
  <c r="O5" i="745"/>
  <c r="P5" i="745" s="1"/>
  <c r="O16" i="745"/>
  <c r="Q16" i="745" s="1" a="1"/>
  <c r="Q16" i="745" s="1"/>
  <c r="O17" i="745"/>
  <c r="P17" i="745" s="1"/>
  <c r="O44" i="745"/>
  <c r="P44" i="745" s="1"/>
  <c r="O21" i="745"/>
  <c r="P21" i="745" s="1"/>
  <c r="O28" i="745"/>
  <c r="P28" i="745" s="1"/>
  <c r="O39" i="745"/>
  <c r="P39" i="745" s="1"/>
  <c r="O38" i="745"/>
  <c r="P38" i="745" s="1"/>
  <c r="O27" i="745"/>
  <c r="P27" i="745" s="1"/>
  <c r="O19" i="745"/>
  <c r="Q19" i="745" s="1" a="1"/>
  <c r="Q19" i="745" s="1"/>
  <c r="O14" i="745"/>
  <c r="Q14" i="745" s="1" a="1"/>
  <c r="Q14" i="745" s="1"/>
  <c r="M80" i="744"/>
  <c r="O68" i="744"/>
  <c r="Q48" i="749" a="1"/>
  <c r="Q48" i="749" s="1"/>
  <c r="P48" i="749"/>
  <c r="P61" i="745"/>
  <c r="Q61" i="745" a="1"/>
  <c r="Q61" i="745" s="1"/>
  <c r="P66" i="744"/>
  <c r="Q66" i="744" a="1"/>
  <c r="Q66" i="744" s="1"/>
  <c r="Q50" i="744" a="1"/>
  <c r="Q50" i="744" s="1"/>
  <c r="P50" i="744"/>
  <c r="P51" i="749"/>
  <c r="Q51" i="749" a="1"/>
  <c r="Q51" i="749" s="1"/>
  <c r="O60" i="749"/>
  <c r="M72" i="749"/>
  <c r="P62" i="744"/>
  <c r="Q62" i="744" a="1"/>
  <c r="Q62" i="744" s="1"/>
  <c r="P57" i="750"/>
  <c r="Q57" i="750" a="1"/>
  <c r="Q57" i="750" s="1"/>
  <c r="Q53" i="749" a="1"/>
  <c r="Q53" i="749" s="1"/>
  <c r="P53" i="749"/>
  <c r="Q66" i="749" a="1"/>
  <c r="Q66" i="749" s="1"/>
  <c r="P66" i="749"/>
  <c r="M75" i="749"/>
  <c r="O75" i="749" s="1"/>
  <c r="O63" i="749"/>
  <c r="M81" i="750"/>
  <c r="O69" i="750"/>
  <c r="P58" i="750"/>
  <c r="Q58" i="750" a="1"/>
  <c r="Q58" i="750" s="1"/>
  <c r="Q56" i="744" a="1"/>
  <c r="Q56" i="744" s="1"/>
  <c r="P56" i="744"/>
  <c r="P52" i="749"/>
  <c r="Q52" i="749" a="1"/>
  <c r="Q52" i="749" s="1"/>
  <c r="Q77" i="750" a="1"/>
  <c r="Q77" i="750" s="1"/>
  <c r="P77" i="750"/>
  <c r="Q61" i="750" a="1"/>
  <c r="Q61" i="750" s="1"/>
  <c r="P61" i="750"/>
  <c r="M82" i="750"/>
  <c r="O82" i="750" s="1"/>
  <c r="O70" i="750"/>
  <c r="O25" i="745"/>
  <c r="O29" i="745"/>
  <c r="O41" i="745"/>
  <c r="P41" i="745" s="1"/>
  <c r="O46" i="745"/>
  <c r="P46" i="745" s="1"/>
  <c r="O8" i="745"/>
  <c r="Q8" i="745" s="1" a="1"/>
  <c r="Q8" i="745" s="1"/>
  <c r="O40" i="745"/>
  <c r="P40" i="745" s="1"/>
  <c r="O7" i="745"/>
  <c r="AO3" i="745" s="1"/>
  <c r="O26" i="745"/>
  <c r="P26" i="745" s="1"/>
  <c r="O4" i="745"/>
  <c r="O15" i="745"/>
  <c r="O23" i="745"/>
  <c r="O11" i="745"/>
  <c r="O24" i="745"/>
  <c r="P78" i="745"/>
  <c r="Q78" i="745" a="1"/>
  <c r="Q78" i="745" s="1"/>
  <c r="P70" i="745"/>
  <c r="Q70" i="745" a="1"/>
  <c r="Q70" i="745" s="1"/>
  <c r="Q67" i="745" a="1"/>
  <c r="Q67" i="745" s="1"/>
  <c r="P67" i="745"/>
  <c r="Q82" i="745" a="1"/>
  <c r="Q82" i="745" s="1"/>
  <c r="P82" i="745"/>
  <c r="P79" i="745"/>
  <c r="Q79" i="745" a="1"/>
  <c r="Q79" i="745" s="1"/>
  <c r="P66" i="745"/>
  <c r="O30" i="745"/>
  <c r="O18" i="745"/>
  <c r="O42" i="745"/>
  <c r="O13" i="745"/>
  <c r="Q66" i="745" a="1"/>
  <c r="Q66" i="745" s="1"/>
  <c r="O33" i="745"/>
  <c r="O22" i="745"/>
  <c r="O9" i="745"/>
  <c r="P81" i="745"/>
  <c r="Q81" i="745" a="1"/>
  <c r="Q81" i="745" s="1"/>
  <c r="O45" i="745"/>
  <c r="P32" i="745"/>
  <c r="Q32" i="745" a="1"/>
  <c r="Q32" i="745" s="1"/>
  <c r="O12" i="745"/>
  <c r="O20" i="745"/>
  <c r="Q43" i="745" a="1"/>
  <c r="Q43" i="745" s="1"/>
  <c r="P43" i="745"/>
  <c r="Q36" i="745" a="1"/>
  <c r="Q36" i="745" s="1"/>
  <c r="O10" i="745"/>
  <c r="P71" i="745"/>
  <c r="Q71" i="745" a="1"/>
  <c r="Q71" i="745" s="1"/>
  <c r="O31" i="745"/>
  <c r="O35" i="745"/>
  <c r="O6" i="745"/>
  <c r="O83" i="745"/>
  <c r="U11" i="745" s="1"/>
  <c r="T11" i="745" s="1"/>
  <c r="V11" i="745" s="1"/>
  <c r="BI3" i="745" a="1"/>
  <c r="Q5" i="745" l="1" a="1"/>
  <c r="Q5" i="745" s="1"/>
  <c r="Q40" i="745" a="1"/>
  <c r="Q40" i="745" s="1"/>
  <c r="Q39" i="745" a="1"/>
  <c r="Q39" i="745" s="1"/>
  <c r="P14" i="745"/>
  <c r="Q41" i="745" a="1"/>
  <c r="Q41" i="745" s="1"/>
  <c r="BJ3" i="745"/>
  <c r="Q7" i="745" a="1"/>
  <c r="Q7" i="745" s="1"/>
  <c r="Q38" i="745" a="1"/>
  <c r="Q38" i="745" s="1"/>
  <c r="Q44" i="745" a="1"/>
  <c r="Q44" i="745" s="1"/>
  <c r="Q46" i="745" a="1"/>
  <c r="Q46" i="745" s="1"/>
  <c r="Q17" i="745" a="1"/>
  <c r="Q17" i="745" s="1"/>
  <c r="P7" i="745"/>
  <c r="AN3" i="745" s="1"/>
  <c r="Q34" i="745" a="1"/>
  <c r="Q34" i="745" s="1"/>
  <c r="AO4" i="745"/>
  <c r="Q21" i="745" a="1"/>
  <c r="Q21" i="745" s="1"/>
  <c r="Q27" i="745" a="1"/>
  <c r="Q27" i="745" s="1"/>
  <c r="Q37" i="745" a="1"/>
  <c r="Q37" i="745" s="1"/>
  <c r="BJ4" i="745"/>
  <c r="Q28" i="745" a="1"/>
  <c r="Q28" i="745" s="1"/>
  <c r="P8" i="745"/>
  <c r="BI4" i="745" s="1"/>
  <c r="P16" i="745"/>
  <c r="P19" i="745"/>
  <c r="Q26" i="745" a="1"/>
  <c r="Q26" i="745" s="1"/>
  <c r="P82" i="750"/>
  <c r="Q82" i="750" a="1"/>
  <c r="Q82" i="750" s="1"/>
  <c r="O81" i="750"/>
  <c r="O35" i="750" s="1"/>
  <c r="O7" i="750"/>
  <c r="O42" i="750"/>
  <c r="O8" i="750"/>
  <c r="O38" i="750"/>
  <c r="Q63" i="749" a="1"/>
  <c r="Q63" i="749" s="1"/>
  <c r="P63" i="749"/>
  <c r="Q75" i="749" a="1"/>
  <c r="Q75" i="749" s="1"/>
  <c r="P75" i="749"/>
  <c r="O72" i="749"/>
  <c r="O13" i="749" s="1"/>
  <c r="Q68" i="744" a="1"/>
  <c r="Q68" i="744" s="1"/>
  <c r="P68" i="744"/>
  <c r="Q70" i="750" a="1"/>
  <c r="Q70" i="750" s="1"/>
  <c r="P70" i="750"/>
  <c r="O13" i="750"/>
  <c r="P69" i="750"/>
  <c r="O29" i="750"/>
  <c r="Q69" i="750" a="1"/>
  <c r="Q69" i="750" s="1"/>
  <c r="O19" i="750"/>
  <c r="O9" i="750"/>
  <c r="P60" i="749"/>
  <c r="Q60" i="749" a="1"/>
  <c r="Q60" i="749" s="1"/>
  <c r="O80" i="744"/>
  <c r="O37" i="744" s="1"/>
  <c r="Q15" i="745" a="1"/>
  <c r="Q15" i="745" s="1"/>
  <c r="P15" i="745"/>
  <c r="AD4" i="745"/>
  <c r="P11" i="745"/>
  <c r="Q11" i="745" a="1"/>
  <c r="Q11" i="745" s="1"/>
  <c r="AZ4" i="745"/>
  <c r="P4" i="745"/>
  <c r="Q4" i="745" a="1"/>
  <c r="Q4" i="745" s="1"/>
  <c r="Q29" i="745" a="1"/>
  <c r="Q29" i="745" s="1"/>
  <c r="P29" i="745"/>
  <c r="Q25" i="745" a="1"/>
  <c r="Q25" i="745" s="1"/>
  <c r="P25" i="745"/>
  <c r="P24" i="745"/>
  <c r="Q24" i="745" a="1"/>
  <c r="Q24" i="745" s="1"/>
  <c r="P23" i="745"/>
  <c r="Q23" i="745" a="1"/>
  <c r="Q23" i="745" s="1"/>
  <c r="Q13" i="745" a="1"/>
  <c r="Q13" i="745" s="1"/>
  <c r="AD6" i="745"/>
  <c r="AZ6" i="745"/>
  <c r="P13" i="745"/>
  <c r="Q42" i="745" a="1"/>
  <c r="Q42" i="745" s="1"/>
  <c r="P42" i="745"/>
  <c r="P18" i="745"/>
  <c r="Q18" i="745" a="1"/>
  <c r="Q18" i="745" s="1"/>
  <c r="Q30" i="745" a="1"/>
  <c r="Q30" i="745" s="1"/>
  <c r="P30" i="745"/>
  <c r="P45" i="745"/>
  <c r="Q45" i="745" a="1"/>
  <c r="Q45" i="745" s="1"/>
  <c r="BJ5" i="745"/>
  <c r="BJ6" i="745" s="1"/>
  <c r="P9" i="745"/>
  <c r="Q9" i="745" a="1"/>
  <c r="Q9" i="745" s="1"/>
  <c r="AO5" i="745"/>
  <c r="AO6" i="745" s="1"/>
  <c r="AD5" i="745"/>
  <c r="P12" i="745"/>
  <c r="Q12" i="745" a="1"/>
  <c r="Q12" i="745" s="1"/>
  <c r="AZ5" i="745"/>
  <c r="Q22" i="745" a="1"/>
  <c r="Q22" i="745" s="1"/>
  <c r="P22" i="745"/>
  <c r="Q33" i="745" a="1"/>
  <c r="Q33" i="745" s="1"/>
  <c r="P33" i="745"/>
  <c r="AZ3" i="745"/>
  <c r="AD3" i="745"/>
  <c r="P10" i="745"/>
  <c r="Q10" i="745" a="1"/>
  <c r="Q10" i="745" s="1"/>
  <c r="Q20" i="745" a="1"/>
  <c r="Q20" i="745" s="1"/>
  <c r="P20" i="745"/>
  <c r="Q31" i="745" a="1"/>
  <c r="Q31" i="745" s="1"/>
  <c r="P31" i="745"/>
  <c r="P6" i="745"/>
  <c r="Q6" i="745" a="1"/>
  <c r="Q6" i="745" s="1"/>
  <c r="Q35" i="745" a="1"/>
  <c r="Q35" i="745" s="1"/>
  <c r="P35" i="745"/>
  <c r="BI3" i="745"/>
  <c r="O46" i="744" l="1"/>
  <c r="O17" i="749"/>
  <c r="O44" i="750"/>
  <c r="O5" i="750"/>
  <c r="P5" i="750" s="1"/>
  <c r="O30" i="750"/>
  <c r="O36" i="750"/>
  <c r="O37" i="750"/>
  <c r="O43" i="750"/>
  <c r="Q43" i="750" s="1" a="1"/>
  <c r="Q43" i="750" s="1"/>
  <c r="O39" i="750"/>
  <c r="AN4" i="745"/>
  <c r="U8" i="745"/>
  <c r="U5" i="745"/>
  <c r="O7" i="749"/>
  <c r="AO3" i="749" s="1"/>
  <c r="O83" i="750"/>
  <c r="U12" i="750" s="1"/>
  <c r="T12" i="750" s="1"/>
  <c r="V12" i="750" s="1"/>
  <c r="O45" i="750"/>
  <c r="Q45" i="750" s="1" a="1"/>
  <c r="Q45" i="750" s="1"/>
  <c r="O12" i="750"/>
  <c r="P12" i="750" s="1"/>
  <c r="O40" i="750"/>
  <c r="Q40" i="750" s="1" a="1"/>
  <c r="Q40" i="750" s="1"/>
  <c r="O83" i="749"/>
  <c r="U10" i="749" s="1"/>
  <c r="T10" i="749" s="1"/>
  <c r="V10" i="749" s="1"/>
  <c r="O7" i="744"/>
  <c r="BK3" i="744" s="1"/>
  <c r="O5" i="749"/>
  <c r="Q5" i="749" s="1" a="1"/>
  <c r="Q5" i="749" s="1"/>
  <c r="O21" i="744"/>
  <c r="Q21" i="744" s="1" a="1"/>
  <c r="Q21" i="744" s="1"/>
  <c r="Q13" i="749" a="1"/>
  <c r="Q13" i="749" s="1"/>
  <c r="AD6" i="749"/>
  <c r="AZ6" i="749"/>
  <c r="P13" i="749"/>
  <c r="AD7" i="745"/>
  <c r="O44" i="744"/>
  <c r="Q44" i="744" s="1" a="1"/>
  <c r="Q44" i="744" s="1"/>
  <c r="O8" i="744"/>
  <c r="O18" i="744"/>
  <c r="O42" i="744"/>
  <c r="O10" i="744"/>
  <c r="O27" i="744"/>
  <c r="O20" i="744"/>
  <c r="O30" i="744"/>
  <c r="O5" i="744"/>
  <c r="O39" i="744"/>
  <c r="O17" i="744"/>
  <c r="O14" i="744"/>
  <c r="O45" i="744"/>
  <c r="O29" i="744"/>
  <c r="O25" i="744"/>
  <c r="O40" i="744"/>
  <c r="O15" i="744"/>
  <c r="O35" i="744"/>
  <c r="O38" i="744"/>
  <c r="O4" i="744"/>
  <c r="O31" i="744"/>
  <c r="O23" i="744"/>
  <c r="O26" i="744"/>
  <c r="O16" i="744"/>
  <c r="O41" i="744"/>
  <c r="P41" i="744" s="1"/>
  <c r="O21" i="749"/>
  <c r="Q21" i="749" s="1" a="1"/>
  <c r="Q21" i="749" s="1"/>
  <c r="O31" i="749"/>
  <c r="P31" i="749" s="1"/>
  <c r="O20" i="750"/>
  <c r="P20" i="750" s="1"/>
  <c r="O12" i="744"/>
  <c r="O33" i="749"/>
  <c r="O45" i="749"/>
  <c r="O12" i="749"/>
  <c r="O8" i="749"/>
  <c r="O23" i="749"/>
  <c r="O35" i="749"/>
  <c r="O14" i="749"/>
  <c r="O39" i="749"/>
  <c r="O26" i="749"/>
  <c r="O19" i="749"/>
  <c r="O16" i="749"/>
  <c r="O41" i="749"/>
  <c r="O30" i="749"/>
  <c r="O29" i="749"/>
  <c r="O18" i="749"/>
  <c r="O15" i="749"/>
  <c r="O37" i="749"/>
  <c r="O4" i="749"/>
  <c r="O38" i="749"/>
  <c r="O10" i="749"/>
  <c r="O46" i="749"/>
  <c r="O24" i="749"/>
  <c r="O43" i="749"/>
  <c r="Q43" i="749" s="1" a="1"/>
  <c r="Q43" i="749" s="1"/>
  <c r="O34" i="749"/>
  <c r="O13" i="744"/>
  <c r="O28" i="744"/>
  <c r="Q28" i="744" s="1" a="1"/>
  <c r="Q28" i="744" s="1"/>
  <c r="O9" i="749"/>
  <c r="Q9" i="749" s="1" a="1"/>
  <c r="Q9" i="749" s="1"/>
  <c r="O40" i="749"/>
  <c r="Q40" i="749" s="1" a="1"/>
  <c r="Q40" i="749" s="1"/>
  <c r="O28" i="750"/>
  <c r="O14" i="750"/>
  <c r="O25" i="750"/>
  <c r="O32" i="750"/>
  <c r="O17" i="750"/>
  <c r="O11" i="750"/>
  <c r="O23" i="750"/>
  <c r="O27" i="750"/>
  <c r="O18" i="750"/>
  <c r="O31" i="750"/>
  <c r="O46" i="750"/>
  <c r="O10" i="750"/>
  <c r="O26" i="750"/>
  <c r="O24" i="750"/>
  <c r="O4" i="750"/>
  <c r="O16" i="750"/>
  <c r="O21" i="750"/>
  <c r="Q21" i="750" s="1" a="1"/>
  <c r="Q21" i="750" s="1"/>
  <c r="O25" i="749"/>
  <c r="O33" i="744"/>
  <c r="O43" i="744"/>
  <c r="Q43" i="744" s="1" a="1"/>
  <c r="Q43" i="744" s="1"/>
  <c r="O36" i="744"/>
  <c r="Q36" i="744" s="1" a="1"/>
  <c r="Q36" i="744" s="1"/>
  <c r="O28" i="749"/>
  <c r="Q28" i="749" s="1" a="1"/>
  <c r="Q28" i="749" s="1"/>
  <c r="O19" i="744"/>
  <c r="Q19" i="744" s="1" a="1"/>
  <c r="Q19" i="744" s="1"/>
  <c r="O22" i="749"/>
  <c r="Q22" i="749" s="1" a="1"/>
  <c r="Q22" i="749" s="1"/>
  <c r="O42" i="749"/>
  <c r="Q42" i="749" s="1" a="1"/>
  <c r="Q42" i="749" s="1"/>
  <c r="O27" i="749"/>
  <c r="P27" i="749" s="1"/>
  <c r="O41" i="750"/>
  <c r="P41" i="750" s="1"/>
  <c r="O34" i="750"/>
  <c r="Q34" i="750" s="1" a="1"/>
  <c r="Q34" i="750" s="1"/>
  <c r="O15" i="750"/>
  <c r="O34" i="744"/>
  <c r="P44" i="744"/>
  <c r="T8" i="745"/>
  <c r="Q7" i="744" a="1"/>
  <c r="Q7" i="744" s="1"/>
  <c r="Q41" i="744" a="1"/>
  <c r="Q41" i="744" s="1"/>
  <c r="P9" i="750"/>
  <c r="Q9" i="750" a="1"/>
  <c r="Q9" i="750" s="1"/>
  <c r="AO5" i="750"/>
  <c r="BK5" i="750"/>
  <c r="O83" i="744"/>
  <c r="U11" i="744" s="1"/>
  <c r="T11" i="744" s="1"/>
  <c r="V11" i="744" s="1"/>
  <c r="BK5" i="749"/>
  <c r="P42" i="750"/>
  <c r="Q42" i="750" a="1"/>
  <c r="Q42" i="750" s="1"/>
  <c r="Q44" i="750" a="1"/>
  <c r="Q44" i="750" s="1"/>
  <c r="P44" i="750"/>
  <c r="Q46" i="744" a="1"/>
  <c r="Q46" i="744" s="1"/>
  <c r="P46" i="744"/>
  <c r="O22" i="744"/>
  <c r="P45" i="750"/>
  <c r="Q30" i="750" a="1"/>
  <c r="Q30" i="750" s="1"/>
  <c r="P30" i="750"/>
  <c r="P38" i="750"/>
  <c r="Q38" i="750" a="1"/>
  <c r="Q38" i="750" s="1"/>
  <c r="AO3" i="750"/>
  <c r="BK3" i="750"/>
  <c r="P7" i="750"/>
  <c r="Q7" i="750" a="1"/>
  <c r="Q7" i="750" s="1"/>
  <c r="O33" i="750"/>
  <c r="Q81" i="750" a="1"/>
  <c r="Q81" i="750" s="1"/>
  <c r="O22" i="750"/>
  <c r="O6" i="750"/>
  <c r="P81" i="750"/>
  <c r="P37" i="744"/>
  <c r="Q37" i="744" a="1"/>
  <c r="Q37" i="744" s="1"/>
  <c r="P17" i="749"/>
  <c r="Q17" i="749" a="1"/>
  <c r="Q17" i="749" s="1"/>
  <c r="P19" i="750"/>
  <c r="Q19" i="750" a="1"/>
  <c r="Q19" i="750" s="1"/>
  <c r="AD6" i="750"/>
  <c r="Q13" i="750" a="1"/>
  <c r="Q13" i="750" s="1"/>
  <c r="P13" i="750"/>
  <c r="AZ6" i="750"/>
  <c r="Q36" i="750" a="1"/>
  <c r="Q36" i="750" s="1"/>
  <c r="P36" i="750"/>
  <c r="Q37" i="750" a="1"/>
  <c r="Q37" i="750" s="1"/>
  <c r="P37" i="750"/>
  <c r="P43" i="750"/>
  <c r="Q41" i="750" a="1"/>
  <c r="Q41" i="750" s="1"/>
  <c r="O24" i="744"/>
  <c r="O6" i="744"/>
  <c r="Q80" i="744" a="1"/>
  <c r="Q80" i="744" s="1"/>
  <c r="O11" i="744"/>
  <c r="P80" i="744"/>
  <c r="O32" i="744"/>
  <c r="O9" i="744"/>
  <c r="P28" i="749"/>
  <c r="Q29" i="750" a="1"/>
  <c r="Q29" i="750" s="1"/>
  <c r="P29" i="750"/>
  <c r="O44" i="749"/>
  <c r="P72" i="749"/>
  <c r="O20" i="749"/>
  <c r="O6" i="749"/>
  <c r="O36" i="749"/>
  <c r="O32" i="749"/>
  <c r="O11" i="749"/>
  <c r="Q72" i="749" a="1"/>
  <c r="Q72" i="749" s="1"/>
  <c r="P43" i="749"/>
  <c r="AO4" i="750"/>
  <c r="Q8" i="750" a="1"/>
  <c r="Q8" i="750" s="1"/>
  <c r="P8" i="750"/>
  <c r="BK4" i="750"/>
  <c r="P39" i="750"/>
  <c r="Q39" i="750" a="1"/>
  <c r="Q39" i="750" s="1"/>
  <c r="Q20" i="750" a="1"/>
  <c r="Q20" i="750" s="1"/>
  <c r="Q35" i="750" a="1"/>
  <c r="Q35" i="750" s="1"/>
  <c r="P35" i="750"/>
  <c r="AY4" i="745"/>
  <c r="AC4" i="745"/>
  <c r="AZ7" i="745"/>
  <c r="AY6" i="745"/>
  <c r="AC6" i="745"/>
  <c r="V8" i="745"/>
  <c r="AC5" i="745"/>
  <c r="AY5" i="745"/>
  <c r="AN5" i="745"/>
  <c r="AN6" i="745" s="1"/>
  <c r="BI5" i="745"/>
  <c r="BI6" i="745" s="1"/>
  <c r="AC3" i="745"/>
  <c r="AY3" i="745"/>
  <c r="U6" i="745"/>
  <c r="U9" i="745" s="1"/>
  <c r="T6" i="745"/>
  <c r="T5" i="745"/>
  <c r="AZ5" i="750" l="1"/>
  <c r="P42" i="749"/>
  <c r="P5" i="749"/>
  <c r="AD5" i="750"/>
  <c r="Q5" i="750" a="1"/>
  <c r="Q5" i="750" s="1"/>
  <c r="Q12" i="750" a="1"/>
  <c r="Q12" i="750" s="1"/>
  <c r="P36" i="744"/>
  <c r="P21" i="749"/>
  <c r="P21" i="750"/>
  <c r="P28" i="744"/>
  <c r="P40" i="750"/>
  <c r="P21" i="744"/>
  <c r="P7" i="749"/>
  <c r="Q31" i="749" a="1"/>
  <c r="Q31" i="749" s="1"/>
  <c r="Q7" i="749" a="1"/>
  <c r="Q7" i="749" s="1"/>
  <c r="Q27" i="749" a="1"/>
  <c r="Q27" i="749" s="1"/>
  <c r="BK3" i="749"/>
  <c r="AO5" i="749"/>
  <c r="P19" i="744"/>
  <c r="P9" i="749"/>
  <c r="AN5" i="749" s="1"/>
  <c r="AY7" i="745"/>
  <c r="P22" i="749"/>
  <c r="AO3" i="744"/>
  <c r="P34" i="750"/>
  <c r="P43" i="744"/>
  <c r="P40" i="749"/>
  <c r="P7" i="744"/>
  <c r="P34" i="744"/>
  <c r="Q34" i="744" a="1"/>
  <c r="Q34" i="744" s="1"/>
  <c r="P25" i="749"/>
  <c r="Q25" i="749" a="1"/>
  <c r="Q25" i="749" s="1"/>
  <c r="Q24" i="750" a="1"/>
  <c r="Q24" i="750" s="1"/>
  <c r="P24" i="750"/>
  <c r="P31" i="750"/>
  <c r="Q31" i="750" a="1"/>
  <c r="Q31" i="750" s="1"/>
  <c r="AD4" i="750"/>
  <c r="P11" i="750"/>
  <c r="Q11" i="750" a="1"/>
  <c r="Q11" i="750" s="1"/>
  <c r="AZ4" i="750"/>
  <c r="P14" i="750"/>
  <c r="Q14" i="750" a="1"/>
  <c r="Q14" i="750" s="1"/>
  <c r="Q24" i="749" a="1"/>
  <c r="Q24" i="749" s="1"/>
  <c r="P24" i="749"/>
  <c r="Q4" i="749" a="1"/>
  <c r="Q4" i="749" s="1"/>
  <c r="P4" i="749"/>
  <c r="Q29" i="749" a="1"/>
  <c r="Q29" i="749" s="1"/>
  <c r="P29" i="749"/>
  <c r="Q19" i="749" a="1"/>
  <c r="Q19" i="749" s="1"/>
  <c r="P19" i="749"/>
  <c r="Q35" i="749" a="1"/>
  <c r="Q35" i="749" s="1"/>
  <c r="P35" i="749"/>
  <c r="P45" i="749"/>
  <c r="Q45" i="749" a="1"/>
  <c r="Q45" i="749" s="1"/>
  <c r="Q26" i="744" a="1"/>
  <c r="Q26" i="744" s="1"/>
  <c r="P26" i="744"/>
  <c r="P38" i="744"/>
  <c r="Q38" i="744" a="1"/>
  <c r="Q38" i="744" s="1"/>
  <c r="Q25" i="744" a="1"/>
  <c r="Q25" i="744" s="1"/>
  <c r="P25" i="744"/>
  <c r="Q17" i="744" a="1"/>
  <c r="Q17" i="744" s="1"/>
  <c r="P17" i="744"/>
  <c r="Q20" i="744" a="1"/>
  <c r="Q20" i="744" s="1"/>
  <c r="P20" i="744"/>
  <c r="P18" i="744"/>
  <c r="Q18" i="744" a="1"/>
  <c r="Q18" i="744" s="1"/>
  <c r="AC6" i="749"/>
  <c r="AY6" i="749"/>
  <c r="Q15" i="750" a="1"/>
  <c r="Q15" i="750" s="1"/>
  <c r="P15" i="750"/>
  <c r="P26" i="750"/>
  <c r="Q26" i="750" a="1"/>
  <c r="Q26" i="750" s="1"/>
  <c r="Q18" i="750" a="1"/>
  <c r="Q18" i="750" s="1"/>
  <c r="P18" i="750"/>
  <c r="Q17" i="750" a="1"/>
  <c r="Q17" i="750" s="1"/>
  <c r="P17" i="750"/>
  <c r="Q28" i="750" a="1"/>
  <c r="Q28" i="750" s="1"/>
  <c r="P28" i="750"/>
  <c r="Q13" i="744" a="1"/>
  <c r="Q13" i="744" s="1"/>
  <c r="AD6" i="744"/>
  <c r="P13" i="744"/>
  <c r="AZ6" i="744"/>
  <c r="Q46" i="749" a="1"/>
  <c r="Q46" i="749" s="1"/>
  <c r="P46" i="749"/>
  <c r="P37" i="749"/>
  <c r="Q37" i="749" a="1"/>
  <c r="Q37" i="749" s="1"/>
  <c r="Q30" i="749" a="1"/>
  <c r="Q30" i="749" s="1"/>
  <c r="P30" i="749"/>
  <c r="P26" i="749"/>
  <c r="Q26" i="749" a="1"/>
  <c r="Q26" i="749" s="1"/>
  <c r="P23" i="749"/>
  <c r="Q23" i="749" a="1"/>
  <c r="Q23" i="749" s="1"/>
  <c r="Q33" i="749" a="1"/>
  <c r="Q33" i="749" s="1"/>
  <c r="P33" i="749"/>
  <c r="Q23" i="744" a="1"/>
  <c r="Q23" i="744" s="1"/>
  <c r="P23" i="744"/>
  <c r="Q35" i="744" a="1"/>
  <c r="Q35" i="744" s="1"/>
  <c r="P35" i="744"/>
  <c r="P29" i="744"/>
  <c r="Q29" i="744" a="1"/>
  <c r="Q29" i="744" s="1"/>
  <c r="P39" i="744"/>
  <c r="Q39" i="744" a="1"/>
  <c r="Q39" i="744" s="1"/>
  <c r="P27" i="744"/>
  <c r="Q27" i="744" a="1"/>
  <c r="Q27" i="744" s="1"/>
  <c r="P8" i="744"/>
  <c r="AO4" i="744"/>
  <c r="Q8" i="744" a="1"/>
  <c r="Q8" i="744" s="1"/>
  <c r="BK4" i="744"/>
  <c r="Q16" i="750" a="1"/>
  <c r="Q16" i="750" s="1"/>
  <c r="P16" i="750"/>
  <c r="AD3" i="750"/>
  <c r="AZ3" i="750"/>
  <c r="AZ7" i="750" s="1"/>
  <c r="P10" i="750"/>
  <c r="Q10" i="750" a="1"/>
  <c r="Q10" i="750" s="1"/>
  <c r="Q27" i="750" a="1"/>
  <c r="Q27" i="750" s="1"/>
  <c r="P27" i="750"/>
  <c r="Q32" i="750" a="1"/>
  <c r="Q32" i="750" s="1"/>
  <c r="P32" i="750"/>
  <c r="P34" i="749"/>
  <c r="Q34" i="749" a="1"/>
  <c r="Q34" i="749" s="1"/>
  <c r="AD3" i="749"/>
  <c r="P10" i="749"/>
  <c r="Q10" i="749" a="1"/>
  <c r="Q10" i="749" s="1"/>
  <c r="AZ3" i="749"/>
  <c r="Q15" i="749" a="1"/>
  <c r="Q15" i="749" s="1"/>
  <c r="P15" i="749"/>
  <c r="P41" i="749"/>
  <c r="Q41" i="749" a="1"/>
  <c r="Q41" i="749" s="1"/>
  <c r="Q39" i="749" a="1"/>
  <c r="Q39" i="749" s="1"/>
  <c r="P39" i="749"/>
  <c r="P8" i="749"/>
  <c r="T7" i="749" s="1"/>
  <c r="AO4" i="749"/>
  <c r="BK4" i="749"/>
  <c r="BK6" i="749" s="1"/>
  <c r="Q8" i="749" a="1"/>
  <c r="Q8" i="749" s="1"/>
  <c r="AZ5" i="744"/>
  <c r="AD5" i="744"/>
  <c r="Q12" i="744" a="1"/>
  <c r="Q12" i="744" s="1"/>
  <c r="P12" i="744"/>
  <c r="Q31" i="744" a="1"/>
  <c r="Q31" i="744" s="1"/>
  <c r="P31" i="744"/>
  <c r="P15" i="744"/>
  <c r="Q15" i="744" a="1"/>
  <c r="Q15" i="744" s="1"/>
  <c r="Q45" i="744" a="1"/>
  <c r="Q45" i="744" s="1"/>
  <c r="P45" i="744"/>
  <c r="P5" i="744"/>
  <c r="Q5" i="744" a="1"/>
  <c r="Q5" i="744" s="1"/>
  <c r="AD3" i="744"/>
  <c r="Q10" i="744" a="1"/>
  <c r="Q10" i="744" s="1"/>
  <c r="AZ3" i="744"/>
  <c r="P10" i="744"/>
  <c r="Q33" i="744" a="1"/>
  <c r="Q33" i="744" s="1"/>
  <c r="P33" i="744"/>
  <c r="Q4" i="750" a="1"/>
  <c r="Q4" i="750" s="1"/>
  <c r="P4" i="750"/>
  <c r="P46" i="750"/>
  <c r="Q46" i="750" a="1"/>
  <c r="Q46" i="750" s="1"/>
  <c r="Q23" i="750" a="1"/>
  <c r="Q23" i="750" s="1"/>
  <c r="P23" i="750"/>
  <c r="Q25" i="750" a="1"/>
  <c r="Q25" i="750" s="1"/>
  <c r="P25" i="750"/>
  <c r="Q38" i="749" a="1"/>
  <c r="Q38" i="749" s="1"/>
  <c r="P38" i="749"/>
  <c r="Q18" i="749" a="1"/>
  <c r="Q18" i="749" s="1"/>
  <c r="P18" i="749"/>
  <c r="P16" i="749"/>
  <c r="Q16" i="749" a="1"/>
  <c r="Q16" i="749" s="1"/>
  <c r="P14" i="749"/>
  <c r="Q14" i="749" a="1"/>
  <c r="Q14" i="749" s="1"/>
  <c r="AZ5" i="749"/>
  <c r="P12" i="749"/>
  <c r="AD5" i="749"/>
  <c r="Q12" i="749" a="1"/>
  <c r="Q12" i="749" s="1"/>
  <c r="Q16" i="744" a="1"/>
  <c r="Q16" i="744" s="1"/>
  <c r="P16" i="744"/>
  <c r="Q4" i="744" a="1"/>
  <c r="Q4" i="744" s="1"/>
  <c r="P4" i="744"/>
  <c r="Q40" i="744" a="1"/>
  <c r="Q40" i="744" s="1"/>
  <c r="P40" i="744"/>
  <c r="Q14" i="744" a="1"/>
  <c r="Q14" i="744" s="1"/>
  <c r="P14" i="744"/>
  <c r="Q30" i="744" a="1"/>
  <c r="Q30" i="744" s="1"/>
  <c r="P30" i="744"/>
  <c r="P42" i="744"/>
  <c r="Q42" i="744" a="1"/>
  <c r="Q42" i="744" s="1"/>
  <c r="BJ4" i="750"/>
  <c r="AN4" i="750"/>
  <c r="Q6" i="749" a="1"/>
  <c r="Q6" i="749" s="1"/>
  <c r="P6" i="749"/>
  <c r="U6" i="750"/>
  <c r="AY5" i="750"/>
  <c r="AC5" i="750"/>
  <c r="Q24" i="744" a="1"/>
  <c r="Q24" i="744" s="1"/>
  <c r="P24" i="744"/>
  <c r="P22" i="750"/>
  <c r="Q22" i="750" a="1"/>
  <c r="Q22" i="750" s="1"/>
  <c r="AN3" i="750"/>
  <c r="T8" i="750"/>
  <c r="BJ3" i="750"/>
  <c r="U8" i="750"/>
  <c r="Q36" i="749" a="1"/>
  <c r="Q36" i="749" s="1"/>
  <c r="P36" i="749"/>
  <c r="P44" i="749"/>
  <c r="Q44" i="749" a="1"/>
  <c r="Q44" i="749" s="1"/>
  <c r="P11" i="749"/>
  <c r="Q11" i="749" a="1"/>
  <c r="Q11" i="749" s="1"/>
  <c r="AZ4" i="749"/>
  <c r="AD4" i="749"/>
  <c r="Q20" i="749" a="1"/>
  <c r="Q20" i="749" s="1"/>
  <c r="P20" i="749"/>
  <c r="AD4" i="744"/>
  <c r="AZ4" i="744"/>
  <c r="P11" i="744"/>
  <c r="Q11" i="744" a="1"/>
  <c r="Q11" i="744" s="1"/>
  <c r="AY6" i="750"/>
  <c r="AC6" i="750"/>
  <c r="BK6" i="750"/>
  <c r="P22" i="744"/>
  <c r="Q22" i="744" a="1"/>
  <c r="Q22" i="744" s="1"/>
  <c r="P32" i="749"/>
  <c r="Q32" i="749" a="1"/>
  <c r="Q32" i="749" s="1"/>
  <c r="AO5" i="744"/>
  <c r="Q9" i="744" a="1"/>
  <c r="Q9" i="744" s="1"/>
  <c r="BK5" i="744"/>
  <c r="P9" i="744"/>
  <c r="Q33" i="750" a="1"/>
  <c r="Q33" i="750" s="1"/>
  <c r="P33" i="750"/>
  <c r="AO6" i="750"/>
  <c r="AN3" i="749"/>
  <c r="BJ3" i="749"/>
  <c r="P32" i="744"/>
  <c r="Q32" i="744" a="1"/>
  <c r="Q32" i="744" s="1"/>
  <c r="Q6" i="744" a="1"/>
  <c r="Q6" i="744" s="1"/>
  <c r="P6" i="744"/>
  <c r="Q6" i="750" a="1"/>
  <c r="Q6" i="750" s="1"/>
  <c r="P6" i="750"/>
  <c r="BJ5" i="749"/>
  <c r="AN5" i="750"/>
  <c r="BJ5" i="750"/>
  <c r="AN3" i="744"/>
  <c r="BJ3" i="744"/>
  <c r="AC7" i="745"/>
  <c r="V6" i="745"/>
  <c r="T9" i="745"/>
  <c r="V9" i="745" s="1"/>
  <c r="V5" i="745"/>
  <c r="T7" i="745"/>
  <c r="U7" i="745"/>
  <c r="U10" i="745" s="1"/>
  <c r="BK6" i="744" l="1"/>
  <c r="AO6" i="744"/>
  <c r="T6" i="750"/>
  <c r="T5" i="750"/>
  <c r="T9" i="750" s="1"/>
  <c r="AO6" i="749"/>
  <c r="AD7" i="750"/>
  <c r="U8" i="744"/>
  <c r="V8" i="744" s="1"/>
  <c r="AD7" i="744"/>
  <c r="T8" i="744"/>
  <c r="AZ7" i="744"/>
  <c r="AD7" i="749"/>
  <c r="AN6" i="750"/>
  <c r="U5" i="750"/>
  <c r="U9" i="750" s="1"/>
  <c r="AC5" i="749"/>
  <c r="AY5" i="749"/>
  <c r="AY3" i="744"/>
  <c r="AC3" i="744"/>
  <c r="AC5" i="744"/>
  <c r="AY5" i="744"/>
  <c r="AC3" i="749"/>
  <c r="AY3" i="749"/>
  <c r="AC3" i="750"/>
  <c r="AY3" i="750"/>
  <c r="BJ4" i="744"/>
  <c r="AN4" i="744"/>
  <c r="AY6" i="744"/>
  <c r="AC6" i="744"/>
  <c r="AC4" i="750"/>
  <c r="AY4" i="750"/>
  <c r="AZ7" i="749"/>
  <c r="AN4" i="749"/>
  <c r="BJ4" i="749"/>
  <c r="U7" i="749"/>
  <c r="V7" i="749" s="1"/>
  <c r="U10" i="750"/>
  <c r="U7" i="750"/>
  <c r="AN6" i="749"/>
  <c r="BJ5" i="744"/>
  <c r="AN5" i="744"/>
  <c r="AN6" i="744" s="1"/>
  <c r="BJ6" i="750"/>
  <c r="BJ6" i="749"/>
  <c r="U5" i="744"/>
  <c r="T5" i="744"/>
  <c r="T7" i="750"/>
  <c r="AC4" i="744"/>
  <c r="U6" i="744"/>
  <c r="U9" i="744" s="1"/>
  <c r="AY4" i="744"/>
  <c r="T6" i="744"/>
  <c r="T7" i="744" s="1"/>
  <c r="U5" i="749"/>
  <c r="T5" i="749"/>
  <c r="T6" i="749" s="1"/>
  <c r="AY4" i="749"/>
  <c r="AC4" i="749"/>
  <c r="V8" i="750"/>
  <c r="V6" i="750"/>
  <c r="T10" i="750"/>
  <c r="BI9" i="745"/>
  <c r="AN9" i="745"/>
  <c r="AP9" i="745" s="1"/>
  <c r="AY10" i="745"/>
  <c r="AC10" i="745"/>
  <c r="AE10" i="745" s="1"/>
  <c r="V7" i="745"/>
  <c r="T10" i="745"/>
  <c r="V10" i="745" s="1"/>
  <c r="AY7" i="750" l="1"/>
  <c r="AC7" i="750"/>
  <c r="U8" i="749"/>
  <c r="V7" i="750"/>
  <c r="AA10" i="750" s="1"/>
  <c r="AB10" i="750" s="1"/>
  <c r="V5" i="750"/>
  <c r="AC7" i="744"/>
  <c r="AC7" i="749"/>
  <c r="AY7" i="749"/>
  <c r="AY7" i="744"/>
  <c r="T8" i="749"/>
  <c r="V8" i="749" s="1"/>
  <c r="BJ6" i="744"/>
  <c r="V9" i="750"/>
  <c r="V5" i="749"/>
  <c r="AN9" i="744"/>
  <c r="AP9" i="744" s="1"/>
  <c r="BJ9" i="744"/>
  <c r="V5" i="744"/>
  <c r="T11" i="750"/>
  <c r="V10" i="750"/>
  <c r="U7" i="744"/>
  <c r="U6" i="749"/>
  <c r="V6" i="749" s="1"/>
  <c r="BJ9" i="750"/>
  <c r="AN9" i="750"/>
  <c r="AP9" i="750" s="1"/>
  <c r="V7" i="744"/>
  <c r="T9" i="744"/>
  <c r="V9" i="744" s="1"/>
  <c r="V6" i="744"/>
  <c r="AY10" i="750"/>
  <c r="AC10" i="750"/>
  <c r="AE10" i="750" s="1"/>
  <c r="U11" i="750"/>
  <c r="AT9" i="745"/>
  <c r="W8" i="745"/>
  <c r="X8" i="745" s="1"/>
  <c r="Y8" i="745" s="1"/>
  <c r="BO9" i="745"/>
  <c r="W9" i="745"/>
  <c r="X9" i="745" s="1"/>
  <c r="Y9" i="745" s="1"/>
  <c r="BG9" i="745"/>
  <c r="AL9" i="745"/>
  <c r="AA10" i="745"/>
  <c r="AI10" i="745"/>
  <c r="W7" i="745"/>
  <c r="X7" i="745" s="1"/>
  <c r="Y7" i="745" s="1"/>
  <c r="W6" i="745"/>
  <c r="X6" i="745" s="1"/>
  <c r="Y6" i="745" s="1"/>
  <c r="BE10" i="745"/>
  <c r="AW10" i="745"/>
  <c r="W5" i="745"/>
  <c r="X5" i="745" s="1"/>
  <c r="Y5" i="745" s="1"/>
  <c r="W6" i="750" l="1"/>
  <c r="X6" i="750" s="1"/>
  <c r="Y6" i="750" s="1"/>
  <c r="AI10" i="750"/>
  <c r="AG10" i="750"/>
  <c r="AW10" i="750"/>
  <c r="AX10" i="750" s="1"/>
  <c r="BE10" i="750"/>
  <c r="T9" i="749"/>
  <c r="W6" i="744"/>
  <c r="X6" i="744" s="1"/>
  <c r="Y6" i="744" s="1"/>
  <c r="AF10" i="750"/>
  <c r="W5" i="744"/>
  <c r="X5" i="744" s="1"/>
  <c r="Y5" i="744" s="1"/>
  <c r="W8" i="750"/>
  <c r="X8" i="750" s="1"/>
  <c r="Y8" i="750" s="1"/>
  <c r="BP9" i="750"/>
  <c r="AT9" i="750"/>
  <c r="AL9" i="750"/>
  <c r="BH9" i="750"/>
  <c r="BI9" i="750" s="1"/>
  <c r="BP9" i="744"/>
  <c r="W8" i="744"/>
  <c r="X8" i="744" s="1"/>
  <c r="Y8" i="744" s="1"/>
  <c r="BH9" i="744"/>
  <c r="AL9" i="744"/>
  <c r="AT9" i="744"/>
  <c r="AC10" i="749"/>
  <c r="AE10" i="749" s="1"/>
  <c r="AY10" i="749"/>
  <c r="AW10" i="744"/>
  <c r="AI10" i="744"/>
  <c r="AA10" i="744"/>
  <c r="BE10" i="744"/>
  <c r="U10" i="744"/>
  <c r="AY10" i="744"/>
  <c r="AC10" i="744"/>
  <c r="AE10" i="744" s="1"/>
  <c r="V11" i="750"/>
  <c r="W10" i="750" s="1"/>
  <c r="X10" i="750" s="1"/>
  <c r="Y10" i="750" s="1"/>
  <c r="W5" i="749"/>
  <c r="X5" i="749" s="1"/>
  <c r="Y5" i="749" s="1"/>
  <c r="AW10" i="749"/>
  <c r="AA10" i="749"/>
  <c r="AI10" i="749"/>
  <c r="U9" i="749"/>
  <c r="T10" i="744"/>
  <c r="BE10" i="749"/>
  <c r="AD10" i="750"/>
  <c r="AH10" i="750" s="1"/>
  <c r="AJ10" i="750"/>
  <c r="BQ9" i="750"/>
  <c r="BB10" i="745"/>
  <c r="AX10" i="745"/>
  <c r="BD10" i="745"/>
  <c r="BA10" i="745"/>
  <c r="AR9" i="745"/>
  <c r="AQ9" i="745"/>
  <c r="AM9" i="745"/>
  <c r="AG10" i="745"/>
  <c r="AB10" i="745"/>
  <c r="AF10" i="745"/>
  <c r="BK9" i="745"/>
  <c r="BL9" i="745"/>
  <c r="BH9" i="745"/>
  <c r="BN9" i="745"/>
  <c r="BC10" i="745"/>
  <c r="BN9" i="750"/>
  <c r="BC10" i="750"/>
  <c r="BM9" i="745"/>
  <c r="BB10" i="750" l="1"/>
  <c r="BD10" i="750"/>
  <c r="BF10" i="750"/>
  <c r="BA10" i="750"/>
  <c r="BM9" i="750"/>
  <c r="V10" i="744"/>
  <c r="W9" i="744" s="1"/>
  <c r="X9" i="744" s="1"/>
  <c r="Y9" i="744" s="1"/>
  <c r="BL9" i="750"/>
  <c r="BO9" i="750"/>
  <c r="AM9" i="750"/>
  <c r="AQ9" i="750"/>
  <c r="AR9" i="750"/>
  <c r="BD10" i="744"/>
  <c r="BA10" i="744"/>
  <c r="BB10" i="744"/>
  <c r="AX10" i="744"/>
  <c r="AM9" i="744"/>
  <c r="AQ9" i="744"/>
  <c r="AR9" i="744"/>
  <c r="AN9" i="749"/>
  <c r="AP9" i="749" s="1"/>
  <c r="BJ9" i="749"/>
  <c r="BD10" i="749"/>
  <c r="BB10" i="749"/>
  <c r="BA10" i="749"/>
  <c r="AX10" i="749"/>
  <c r="V9" i="749"/>
  <c r="AF10" i="749"/>
  <c r="AB10" i="749"/>
  <c r="AG10" i="749"/>
  <c r="AB10" i="744"/>
  <c r="AF10" i="744"/>
  <c r="AG10" i="744"/>
  <c r="BO9" i="744"/>
  <c r="BI9" i="744"/>
  <c r="BM9" i="744"/>
  <c r="BL9" i="744"/>
  <c r="AD10" i="745"/>
  <c r="AH10" i="745" s="1"/>
  <c r="AJ10" i="745"/>
  <c r="AO9" i="745"/>
  <c r="AS9" i="745" s="1"/>
  <c r="AU9" i="745"/>
  <c r="BC10" i="749"/>
  <c r="BC10" i="744"/>
  <c r="BN9" i="744"/>
  <c r="AU9" i="750" l="1"/>
  <c r="AO9" i="750"/>
  <c r="AS9" i="750" s="1"/>
  <c r="AD10" i="749"/>
  <c r="AH10" i="749" s="1"/>
  <c r="AJ10" i="749"/>
  <c r="BQ9" i="744"/>
  <c r="AD10" i="744"/>
  <c r="AH10" i="744" s="1"/>
  <c r="AJ10" i="744"/>
  <c r="W8" i="749"/>
  <c r="X8" i="749" s="1"/>
  <c r="Y8" i="749" s="1"/>
  <c r="AT9" i="749"/>
  <c r="AL9" i="749"/>
  <c r="BP9" i="749"/>
  <c r="BH9" i="749"/>
  <c r="W7" i="749"/>
  <c r="X7" i="749" s="1"/>
  <c r="Y7" i="749" s="1"/>
  <c r="W6" i="749"/>
  <c r="X6" i="749" s="1"/>
  <c r="Y6" i="749" s="1"/>
  <c r="BF10" i="744"/>
  <c r="BF10" i="749"/>
  <c r="AU9" i="744"/>
  <c r="AO9" i="744"/>
  <c r="AS9" i="744" s="1"/>
  <c r="AM9" i="749" l="1"/>
  <c r="AQ9" i="749"/>
  <c r="AR9" i="749"/>
  <c r="BO9" i="749"/>
  <c r="BL9" i="749"/>
  <c r="BM9" i="749"/>
  <c r="BI9" i="749"/>
  <c r="BN9" i="749"/>
  <c r="BQ9" i="749" l="1"/>
  <c r="AO9" i="749"/>
  <c r="AS9" i="749" s="1"/>
  <c r="AU9" i="749"/>
  <c r="G7" i="711" l="1"/>
  <c r="N7" i="711" s="1"/>
  <c r="F5" i="709"/>
  <c r="E8" i="709" l="1"/>
  <c r="F8" i="709"/>
  <c r="N10" i="711"/>
  <c r="F10" i="711"/>
  <c r="M10" i="711"/>
  <c r="G10" i="711"/>
  <c r="E13" i="709"/>
  <c r="F13" i="709"/>
  <c r="E10" i="709"/>
  <c r="F10" i="709"/>
  <c r="F11" i="711"/>
  <c r="M11" i="711"/>
  <c r="G11" i="711"/>
  <c r="N11" i="711"/>
  <c r="N17" i="711"/>
  <c r="F17" i="711"/>
  <c r="M17" i="711"/>
  <c r="G17" i="711"/>
  <c r="N12" i="711"/>
  <c r="F12" i="711"/>
  <c r="M12" i="711"/>
  <c r="G12" i="711"/>
  <c r="F9" i="709"/>
  <c r="E9" i="709"/>
  <c r="E6" i="709"/>
  <c r="F6" i="709"/>
  <c r="F18" i="711"/>
  <c r="M18" i="711"/>
  <c r="G18" i="711"/>
  <c r="N18" i="711"/>
  <c r="F13" i="711"/>
  <c r="M13" i="711"/>
  <c r="G13" i="711"/>
  <c r="N13" i="711"/>
  <c r="G8" i="711"/>
  <c r="N8" i="711"/>
  <c r="F8" i="711"/>
  <c r="M8" i="711"/>
  <c r="E12" i="709"/>
  <c r="F12" i="709"/>
  <c r="E11" i="709"/>
  <c r="F11" i="709"/>
  <c r="N19" i="711"/>
  <c r="F19" i="711"/>
  <c r="M19" i="711"/>
  <c r="G19" i="711"/>
  <c r="M14" i="711"/>
  <c r="G14" i="711"/>
  <c r="N14" i="711"/>
  <c r="F14" i="711"/>
  <c r="F9" i="711"/>
  <c r="M9" i="711"/>
  <c r="G9" i="711"/>
  <c r="N9" i="711"/>
  <c r="F7" i="709"/>
  <c r="E7" i="709"/>
  <c r="F15" i="711"/>
  <c r="M15" i="711"/>
  <c r="G15" i="711"/>
  <c r="N15" i="711"/>
  <c r="M16" i="711"/>
  <c r="G16" i="711"/>
  <c r="N16" i="711"/>
  <c r="F16" i="711"/>
  <c r="O16" i="711" l="1"/>
  <c r="H15" i="711"/>
  <c r="O19" i="711"/>
  <c r="G12" i="709"/>
  <c r="H8" i="711"/>
  <c r="I8" i="711" s="1"/>
  <c r="G9" i="709"/>
  <c r="H12" i="711"/>
  <c r="H17" i="711"/>
  <c r="O11" i="711"/>
  <c r="H10" i="711"/>
  <c r="O9" i="711"/>
  <c r="H19" i="711"/>
  <c r="O13" i="711"/>
  <c r="O18" i="711"/>
  <c r="H11" i="711"/>
  <c r="H16" i="711"/>
  <c r="H9" i="711"/>
  <c r="O14" i="711"/>
  <c r="G11" i="709"/>
  <c r="H13" i="711"/>
  <c r="H18" i="711"/>
  <c r="G6" i="709"/>
  <c r="H6" i="709" s="1"/>
  <c r="I6" i="709" s="1"/>
  <c r="G13" i="709"/>
  <c r="O15" i="711"/>
  <c r="G7" i="709"/>
  <c r="H14" i="711"/>
  <c r="O8" i="711"/>
  <c r="P8" i="711" s="1"/>
  <c r="Q8" i="711" s="1"/>
  <c r="O12" i="711"/>
  <c r="O17" i="711"/>
  <c r="O10" i="711"/>
  <c r="G10" i="709"/>
  <c r="G8" i="709"/>
  <c r="I7" i="712"/>
  <c r="H11" i="712" a="1"/>
  <c r="H11" i="712" s="1"/>
  <c r="H17" i="712" s="1"/>
  <c r="F6" i="707"/>
  <c r="E10" i="707" a="1"/>
  <c r="E10" i="707" s="1"/>
  <c r="E13" i="707" s="1"/>
  <c r="P7" i="710"/>
  <c r="I7" i="710"/>
  <c r="S8" i="711" l="1"/>
  <c r="R8" i="711"/>
  <c r="J6" i="709"/>
  <c r="K6" i="709"/>
  <c r="J8" i="711"/>
  <c r="L8" i="711" s="1"/>
  <c r="I9" i="711"/>
  <c r="H7" i="709"/>
  <c r="P9" i="711"/>
  <c r="Q9" i="711" s="1"/>
  <c r="H14" i="712"/>
  <c r="H20" i="712" s="1"/>
  <c r="H13" i="712"/>
  <c r="H19" i="712" s="1"/>
  <c r="J19" i="712"/>
  <c r="I20" i="712"/>
  <c r="I17" i="712"/>
  <c r="J20" i="712"/>
  <c r="J17" i="712"/>
  <c r="I18" i="712"/>
  <c r="J18" i="712"/>
  <c r="I19" i="712"/>
  <c r="H12" i="712"/>
  <c r="H18" i="712" s="1"/>
  <c r="F13" i="707"/>
  <c r="G13" i="707"/>
  <c r="J9" i="711" l="1"/>
  <c r="K9" i="711" s="1"/>
  <c r="K8" i="711"/>
  <c r="R9" i="711"/>
  <c r="S9" i="711"/>
  <c r="H8" i="709"/>
  <c r="H9" i="709" s="1"/>
  <c r="I7" i="709"/>
  <c r="I10" i="711"/>
  <c r="I11" i="711" s="1"/>
  <c r="P10" i="711"/>
  <c r="Q10" i="711" s="1"/>
  <c r="F5" i="707"/>
  <c r="F7" i="707" s="1"/>
  <c r="K13" i="707"/>
  <c r="I13" i="707"/>
  <c r="L13" i="707" s="1"/>
  <c r="J13" i="707"/>
  <c r="M13" i="707" s="1"/>
  <c r="H13" i="707"/>
  <c r="M19" i="712"/>
  <c r="P19" i="712" s="1"/>
  <c r="K20" i="712"/>
  <c r="K19" i="712"/>
  <c r="I6" i="712"/>
  <c r="I8" i="712" s="1"/>
  <c r="L18" i="712"/>
  <c r="O18" i="712" s="1"/>
  <c r="N18" i="712"/>
  <c r="K18" i="712"/>
  <c r="N20" i="712"/>
  <c r="M20" i="712"/>
  <c r="P20" i="712" s="1"/>
  <c r="L19" i="712"/>
  <c r="O19" i="712" s="1"/>
  <c r="N19" i="712"/>
  <c r="M18" i="712"/>
  <c r="P18" i="712" s="1"/>
  <c r="K17" i="712"/>
  <c r="L17" i="712"/>
  <c r="O17" i="712" s="1"/>
  <c r="N17" i="712"/>
  <c r="M17" i="712"/>
  <c r="P17" i="712" s="1"/>
  <c r="L20" i="712"/>
  <c r="O20" i="712" s="1"/>
  <c r="H10" i="710"/>
  <c r="O10" i="710"/>
  <c r="I10" i="710"/>
  <c r="P10" i="710"/>
  <c r="P16" i="710"/>
  <c r="H16" i="710"/>
  <c r="O16" i="710"/>
  <c r="I16" i="710"/>
  <c r="H15" i="710"/>
  <c r="P15" i="710"/>
  <c r="O15" i="710"/>
  <c r="I15" i="710"/>
  <c r="H17" i="710"/>
  <c r="O17" i="710"/>
  <c r="I17" i="710"/>
  <c r="P17" i="710"/>
  <c r="O12" i="710"/>
  <c r="I12" i="710"/>
  <c r="H12" i="710"/>
  <c r="P12" i="710"/>
  <c r="O11" i="710"/>
  <c r="I11" i="710"/>
  <c r="P11" i="710"/>
  <c r="H11" i="710"/>
  <c r="O18" i="710"/>
  <c r="I18" i="710"/>
  <c r="H18" i="710"/>
  <c r="P18" i="710"/>
  <c r="H13" i="710"/>
  <c r="O13" i="710"/>
  <c r="I13" i="710"/>
  <c r="P13" i="710"/>
  <c r="I8" i="710"/>
  <c r="O8" i="710"/>
  <c r="P8" i="710"/>
  <c r="H8" i="710"/>
  <c r="P14" i="710"/>
  <c r="I14" i="710"/>
  <c r="H14" i="710"/>
  <c r="O14" i="710"/>
  <c r="O9" i="710"/>
  <c r="I9" i="710"/>
  <c r="P9" i="710"/>
  <c r="H9" i="710"/>
  <c r="O19" i="710"/>
  <c r="I19" i="710"/>
  <c r="H19" i="710"/>
  <c r="P19" i="710"/>
  <c r="AM8" i="702"/>
  <c r="AM4" i="702"/>
  <c r="AR4" i="702" s="1"/>
  <c r="AM3" i="702"/>
  <c r="AQ3" i="702" s="1"/>
  <c r="R28" i="708"/>
  <c r="X28" i="708" s="1"/>
  <c r="R27" i="708"/>
  <c r="X27" i="708" s="1"/>
  <c r="L9" i="711" l="1"/>
  <c r="I8" i="709"/>
  <c r="I9" i="709" s="1"/>
  <c r="J7" i="709"/>
  <c r="K7" i="709"/>
  <c r="R10" i="711"/>
  <c r="S10" i="711"/>
  <c r="J10" i="711"/>
  <c r="P11" i="711"/>
  <c r="Q11" i="711" s="1"/>
  <c r="H10" i="709"/>
  <c r="I12" i="711"/>
  <c r="Q19" i="710"/>
  <c r="Q18" i="710"/>
  <c r="Q12" i="710"/>
  <c r="J15" i="710"/>
  <c r="Q9" i="710"/>
  <c r="J13" i="710"/>
  <c r="Q11" i="710"/>
  <c r="Q17" i="710"/>
  <c r="J16" i="710"/>
  <c r="Q10" i="710"/>
  <c r="Q13" i="710"/>
  <c r="Q8" i="710"/>
  <c r="R8" i="710" s="1"/>
  <c r="S8" i="710" s="1"/>
  <c r="J17" i="710"/>
  <c r="J10" i="710"/>
  <c r="J19" i="710"/>
  <c r="J9" i="710"/>
  <c r="J14" i="710"/>
  <c r="J18" i="710"/>
  <c r="J11" i="710"/>
  <c r="J12" i="710"/>
  <c r="Q15" i="710"/>
  <c r="Q14" i="710"/>
  <c r="J8" i="710"/>
  <c r="K8" i="710" s="1"/>
  <c r="L8" i="710" s="1"/>
  <c r="M8" i="710" s="1"/>
  <c r="Q16" i="710"/>
  <c r="AQ4" i="702"/>
  <c r="AR3" i="702" s="1"/>
  <c r="AM18" i="702"/>
  <c r="K10" i="708"/>
  <c r="L10" i="708" s="1"/>
  <c r="F25" i="699"/>
  <c r="E26" i="699"/>
  <c r="F26" i="699"/>
  <c r="E27" i="699"/>
  <c r="F27" i="699"/>
  <c r="J8" i="709" l="1"/>
  <c r="K8" i="709"/>
  <c r="K9" i="709"/>
  <c r="J9" i="709"/>
  <c r="I10" i="709"/>
  <c r="K10" i="709" s="1"/>
  <c r="S11" i="711"/>
  <c r="R11" i="711"/>
  <c r="L10" i="711"/>
  <c r="K10" i="711"/>
  <c r="T8" i="710"/>
  <c r="U8" i="710"/>
  <c r="J11" i="711"/>
  <c r="G26" i="699"/>
  <c r="H26" i="699" s="1"/>
  <c r="G27" i="699"/>
  <c r="N8" i="710"/>
  <c r="H11" i="709"/>
  <c r="I13" i="711"/>
  <c r="P12" i="711"/>
  <c r="Q12" i="711" s="1"/>
  <c r="R9" i="710"/>
  <c r="K9" i="710"/>
  <c r="K6" i="708"/>
  <c r="L6" i="708" s="1"/>
  <c r="K16" i="708"/>
  <c r="L16" i="708" s="1"/>
  <c r="K21" i="708"/>
  <c r="L21" i="708" s="1"/>
  <c r="Q21" i="708" s="1"/>
  <c r="K19" i="708"/>
  <c r="L19" i="708" s="1"/>
  <c r="K14" i="708"/>
  <c r="L14" i="708" s="1"/>
  <c r="K17" i="708"/>
  <c r="L17" i="708" s="1"/>
  <c r="K8" i="708"/>
  <c r="L8" i="708" s="1"/>
  <c r="AA12" i="708"/>
  <c r="Z12" i="708"/>
  <c r="Y12" i="708"/>
  <c r="U12" i="708"/>
  <c r="M12" i="708"/>
  <c r="T12" i="708"/>
  <c r="K13" i="708"/>
  <c r="L13" i="708" s="1"/>
  <c r="K20" i="708"/>
  <c r="L20" i="708" s="1"/>
  <c r="K11" i="708"/>
  <c r="L11" i="708" s="1"/>
  <c r="Y18" i="708"/>
  <c r="U18" i="708"/>
  <c r="T18" i="708"/>
  <c r="M18" i="708"/>
  <c r="AA18" i="708"/>
  <c r="Z18" i="708"/>
  <c r="K9" i="708"/>
  <c r="L9" i="708" s="1"/>
  <c r="Y20" i="708"/>
  <c r="U20" i="708"/>
  <c r="T20" i="708"/>
  <c r="M20" i="708"/>
  <c r="AA20" i="708"/>
  <c r="Z20" i="708"/>
  <c r="Y11" i="708"/>
  <c r="U11" i="708"/>
  <c r="T11" i="708"/>
  <c r="M11" i="708"/>
  <c r="AA11" i="708"/>
  <c r="Z11" i="708"/>
  <c r="K4" i="708"/>
  <c r="L4" i="708" s="1"/>
  <c r="AA19" i="708"/>
  <c r="Z19" i="708"/>
  <c r="Y19" i="708"/>
  <c r="U19" i="708"/>
  <c r="T19" i="708"/>
  <c r="M19" i="708"/>
  <c r="AA17" i="708"/>
  <c r="Z17" i="708"/>
  <c r="Y17" i="708"/>
  <c r="U17" i="708"/>
  <c r="T17" i="708"/>
  <c r="M17" i="708"/>
  <c r="Y14" i="708"/>
  <c r="U14" i="708"/>
  <c r="T14" i="708"/>
  <c r="M14" i="708"/>
  <c r="AA14" i="708"/>
  <c r="Z14" i="708"/>
  <c r="T13" i="708"/>
  <c r="M13" i="708"/>
  <c r="AA13" i="708"/>
  <c r="Z13" i="708"/>
  <c r="Y13" i="708"/>
  <c r="U13" i="708"/>
  <c r="T8" i="708"/>
  <c r="M8" i="708"/>
  <c r="AA8" i="708"/>
  <c r="Z8" i="708"/>
  <c r="Y8" i="708"/>
  <c r="U8" i="708"/>
  <c r="K5" i="708"/>
  <c r="L5" i="708" s="1"/>
  <c r="AA15" i="708"/>
  <c r="Z15" i="708"/>
  <c r="Y15" i="708"/>
  <c r="U15" i="708"/>
  <c r="M15" i="708"/>
  <c r="T15" i="708"/>
  <c r="K15" i="708"/>
  <c r="L15" i="708" s="1"/>
  <c r="K18" i="708"/>
  <c r="L18" i="708" s="1"/>
  <c r="T6" i="708"/>
  <c r="M6" i="708"/>
  <c r="AA6" i="708"/>
  <c r="Z6" i="708"/>
  <c r="U6" i="708"/>
  <c r="Y6" i="708"/>
  <c r="K7" i="708"/>
  <c r="L7" i="708" s="1"/>
  <c r="K12" i="708"/>
  <c r="L12" i="708" s="1"/>
  <c r="I26" i="699" l="1"/>
  <c r="J26" i="699" s="1"/>
  <c r="J10" i="709"/>
  <c r="I11" i="709"/>
  <c r="K11" i="709" s="1"/>
  <c r="K10" i="710"/>
  <c r="K11" i="710" s="1"/>
  <c r="L9" i="710"/>
  <c r="R10" i="710"/>
  <c r="S9" i="710"/>
  <c r="L11" i="711"/>
  <c r="K11" i="711"/>
  <c r="S12" i="711"/>
  <c r="R12" i="711"/>
  <c r="J12" i="711"/>
  <c r="H27" i="699"/>
  <c r="R11" i="710"/>
  <c r="P13" i="711"/>
  <c r="Q13" i="711" s="1"/>
  <c r="H12" i="709"/>
  <c r="I14" i="711"/>
  <c r="Q20" i="708"/>
  <c r="Q19" i="708" s="1"/>
  <c r="Q18" i="708" s="1"/>
  <c r="Q17" i="708" s="1"/>
  <c r="Q16" i="708" s="1"/>
  <c r="Q15" i="708" s="1"/>
  <c r="Q14" i="708" s="1"/>
  <c r="Q13" i="708" s="1"/>
  <c r="Q12" i="708" s="1"/>
  <c r="Q11" i="708" s="1"/>
  <c r="Q10" i="708" s="1"/>
  <c r="Q9" i="708" s="1"/>
  <c r="Q8" i="708" s="1"/>
  <c r="Q7" i="708" s="1"/>
  <c r="Q6" i="708" s="1"/>
  <c r="Q5" i="708" s="1"/>
  <c r="Q4" i="708" s="1"/>
  <c r="X21" i="708"/>
  <c r="W21" i="708"/>
  <c r="W20" i="708" s="1"/>
  <c r="W19" i="708" s="1"/>
  <c r="W18" i="708" s="1"/>
  <c r="W17" i="708" s="1"/>
  <c r="W16" i="708" s="1"/>
  <c r="W15" i="708" s="1"/>
  <c r="W14" i="708" s="1"/>
  <c r="W13" i="708" s="1"/>
  <c r="W12" i="708" s="1"/>
  <c r="W11" i="708" s="1"/>
  <c r="W10" i="708" s="1"/>
  <c r="W9" i="708" s="1"/>
  <c r="W8" i="708" s="1"/>
  <c r="W7" i="708" s="1"/>
  <c r="W6" i="708" s="1"/>
  <c r="W5" i="708" s="1"/>
  <c r="W4" i="708" s="1"/>
  <c r="M21" i="708"/>
  <c r="S21" i="708"/>
  <c r="U21" i="708" s="1"/>
  <c r="V21" i="708"/>
  <c r="V20" i="708" s="1"/>
  <c r="V19" i="708" s="1"/>
  <c r="V18" i="708" s="1"/>
  <c r="V17" i="708" s="1"/>
  <c r="V16" i="708" s="1"/>
  <c r="V15" i="708" s="1"/>
  <c r="V14" i="708" s="1"/>
  <c r="V13" i="708" s="1"/>
  <c r="V12" i="708" s="1"/>
  <c r="V11" i="708" s="1"/>
  <c r="V10" i="708" s="1"/>
  <c r="V9" i="708" s="1"/>
  <c r="V8" i="708" s="1"/>
  <c r="V7" i="708" s="1"/>
  <c r="V6" i="708" s="1"/>
  <c r="V5" i="708" s="1"/>
  <c r="V4" i="708" s="1"/>
  <c r="R21" i="708"/>
  <c r="T21" i="708" s="1"/>
  <c r="M4" i="708"/>
  <c r="M10" i="708"/>
  <c r="M16" i="708"/>
  <c r="M5" i="708"/>
  <c r="M9" i="708"/>
  <c r="M7" i="708"/>
  <c r="R27" i="705"/>
  <c r="X27" i="705" s="1"/>
  <c r="R27" i="704"/>
  <c r="X27" i="704" s="1"/>
  <c r="R28" i="702"/>
  <c r="X28" i="702" s="1"/>
  <c r="R27" i="702"/>
  <c r="X27" i="702" s="1"/>
  <c r="AN3" i="702" s="1"/>
  <c r="AH19" i="697"/>
  <c r="B17" i="700" s="1"/>
  <c r="AI19" i="697"/>
  <c r="C17" i="700" s="1"/>
  <c r="K26" i="699" l="1"/>
  <c r="I12" i="709"/>
  <c r="K12" i="709" s="1"/>
  <c r="J11" i="709"/>
  <c r="I27" i="699"/>
  <c r="J27" i="699" s="1"/>
  <c r="R13" i="711"/>
  <c r="S13" i="711"/>
  <c r="L12" i="711"/>
  <c r="K12" i="711"/>
  <c r="S10" i="710"/>
  <c r="T9" i="710"/>
  <c r="U9" i="710"/>
  <c r="M9" i="710"/>
  <c r="N9" i="710"/>
  <c r="L10" i="710"/>
  <c r="J13" i="711"/>
  <c r="J14" i="711" s="1"/>
  <c r="G11" i="706"/>
  <c r="M11" i="706" s="1"/>
  <c r="G6" i="706"/>
  <c r="M6" i="706" s="1"/>
  <c r="K12" i="710"/>
  <c r="H13" i="709"/>
  <c r="P14" i="711"/>
  <c r="Q14" i="711" s="1"/>
  <c r="I15" i="711"/>
  <c r="R12" i="710"/>
  <c r="AN4" i="702"/>
  <c r="AN5" i="702" s="1"/>
  <c r="AK8" i="702" s="1"/>
  <c r="AP8" i="702" s="1"/>
  <c r="AF3" i="702"/>
  <c r="AA21" i="708"/>
  <c r="X20" i="708"/>
  <c r="X19" i="708" s="1"/>
  <c r="X18" i="708" s="1"/>
  <c r="X17" i="708" s="1"/>
  <c r="X16" i="708" s="1"/>
  <c r="X15" i="708" s="1"/>
  <c r="X14" i="708" s="1"/>
  <c r="X13" i="708" s="1"/>
  <c r="X12" i="708" s="1"/>
  <c r="X11" i="708" s="1"/>
  <c r="X10" i="708" s="1"/>
  <c r="X9" i="708" s="1"/>
  <c r="X8" i="708" s="1"/>
  <c r="X7" i="708" s="1"/>
  <c r="X6" i="708" s="1"/>
  <c r="X5" i="708" s="1"/>
  <c r="S20" i="708"/>
  <c r="S19" i="708" s="1"/>
  <c r="S18" i="708" s="1"/>
  <c r="S17" i="708" s="1"/>
  <c r="S16" i="708" s="1"/>
  <c r="S15" i="708" s="1"/>
  <c r="S14" i="708" s="1"/>
  <c r="S13" i="708" s="1"/>
  <c r="S12" i="708" s="1"/>
  <c r="S11" i="708" s="1"/>
  <c r="S10" i="708" s="1"/>
  <c r="S9" i="708" s="1"/>
  <c r="S8" i="708" s="1"/>
  <c r="S7" i="708" s="1"/>
  <c r="S6" i="708" s="1"/>
  <c r="S5" i="708" s="1"/>
  <c r="S4" i="708" s="1"/>
  <c r="U4" i="708" s="1"/>
  <c r="R20" i="708"/>
  <c r="R19" i="708" s="1"/>
  <c r="R18" i="708" s="1"/>
  <c r="R17" i="708" s="1"/>
  <c r="R16" i="708" s="1"/>
  <c r="Y16" i="708" s="1"/>
  <c r="Z21" i="708"/>
  <c r="Y21" i="708"/>
  <c r="M22" i="708"/>
  <c r="K21" i="705"/>
  <c r="K20" i="705"/>
  <c r="K19" i="705"/>
  <c r="K18" i="705"/>
  <c r="K17" i="705"/>
  <c r="K16" i="705"/>
  <c r="K15" i="705"/>
  <c r="K14" i="705"/>
  <c r="K13" i="705"/>
  <c r="K12" i="705"/>
  <c r="K11" i="705"/>
  <c r="K10" i="705"/>
  <c r="K9" i="705"/>
  <c r="K8" i="705"/>
  <c r="K7" i="705"/>
  <c r="K6" i="705"/>
  <c r="K5" i="705"/>
  <c r="K4" i="705"/>
  <c r="K21" i="704"/>
  <c r="L21" i="704" s="1"/>
  <c r="K20" i="704"/>
  <c r="L20" i="704" s="1"/>
  <c r="K18" i="704"/>
  <c r="L18" i="704" s="1"/>
  <c r="K14" i="704"/>
  <c r="L14" i="704" s="1"/>
  <c r="K10" i="704"/>
  <c r="L10" i="704" s="1"/>
  <c r="K13" i="704"/>
  <c r="L13" i="704" s="1"/>
  <c r="K19" i="704"/>
  <c r="L19" i="704" s="1"/>
  <c r="K15" i="704"/>
  <c r="L15" i="704" s="1"/>
  <c r="K11" i="704"/>
  <c r="L11" i="704" s="1"/>
  <c r="K16" i="704"/>
  <c r="L16" i="704" s="1"/>
  <c r="K12" i="704"/>
  <c r="L12" i="704" s="1"/>
  <c r="K8" i="704"/>
  <c r="L8" i="704" s="1"/>
  <c r="K7" i="704"/>
  <c r="L7" i="704" s="1"/>
  <c r="K6" i="704"/>
  <c r="L6" i="704" s="1"/>
  <c r="K5" i="704"/>
  <c r="L5" i="704" s="1"/>
  <c r="K4" i="704"/>
  <c r="K17" i="704"/>
  <c r="L17" i="704" s="1"/>
  <c r="K9" i="704"/>
  <c r="L9" i="704" s="1"/>
  <c r="K11" i="702"/>
  <c r="L11" i="702" s="1"/>
  <c r="K14" i="702"/>
  <c r="L14" i="702" s="1"/>
  <c r="F34" i="699"/>
  <c r="E34" i="699"/>
  <c r="F33" i="699"/>
  <c r="E33" i="699"/>
  <c r="F32" i="699"/>
  <c r="E32" i="699"/>
  <c r="F31" i="699"/>
  <c r="E31" i="699"/>
  <c r="F30" i="699"/>
  <c r="E30" i="699"/>
  <c r="F29" i="699"/>
  <c r="E29" i="699"/>
  <c r="F28" i="699"/>
  <c r="E28" i="699"/>
  <c r="F14" i="699"/>
  <c r="E14" i="699"/>
  <c r="F13" i="699"/>
  <c r="E13" i="699"/>
  <c r="F12" i="699"/>
  <c r="E12" i="699"/>
  <c r="F11" i="699"/>
  <c r="E11" i="699"/>
  <c r="F10" i="699"/>
  <c r="E10" i="699"/>
  <c r="F9" i="699"/>
  <c r="E9" i="699"/>
  <c r="F8" i="699"/>
  <c r="E8" i="699"/>
  <c r="F7" i="699"/>
  <c r="E7" i="699"/>
  <c r="F6" i="699"/>
  <c r="AJ28" i="697"/>
  <c r="AL19" i="697"/>
  <c r="AO19" i="697" s="1"/>
  <c r="AK19" i="697"/>
  <c r="AN19" i="697" s="1"/>
  <c r="E17" i="700" s="1"/>
  <c r="AL18" i="697"/>
  <c r="AK18" i="697"/>
  <c r="AI18" i="697"/>
  <c r="C16" i="700" s="1"/>
  <c r="AH18" i="697"/>
  <c r="L18" i="697"/>
  <c r="K18" i="697"/>
  <c r="AL17" i="697"/>
  <c r="AK17" i="697"/>
  <c r="AI17" i="697"/>
  <c r="C15" i="700" s="1"/>
  <c r="AH17" i="697"/>
  <c r="L17" i="697"/>
  <c r="K17" i="697"/>
  <c r="H17" i="697"/>
  <c r="G17" i="697"/>
  <c r="AL16" i="697"/>
  <c r="AK16" i="697"/>
  <c r="AI16" i="697"/>
  <c r="C14" i="700" s="1"/>
  <c r="AH16" i="697"/>
  <c r="L16" i="697"/>
  <c r="K16" i="697"/>
  <c r="H16" i="697"/>
  <c r="G16" i="697"/>
  <c r="AL15" i="697"/>
  <c r="AK15" i="697"/>
  <c r="AI15" i="697"/>
  <c r="C13" i="700" s="1"/>
  <c r="AH15" i="697"/>
  <c r="L15" i="697"/>
  <c r="K15" i="697"/>
  <c r="H15" i="697"/>
  <c r="G15" i="697"/>
  <c r="AL14" i="697"/>
  <c r="AK14" i="697"/>
  <c r="AI14" i="697"/>
  <c r="AH14" i="697"/>
  <c r="L14" i="697"/>
  <c r="K14" i="697"/>
  <c r="H14" i="697"/>
  <c r="G14" i="697"/>
  <c r="AL13" i="697"/>
  <c r="AK13" i="697"/>
  <c r="AI13" i="697"/>
  <c r="C11" i="700" s="1"/>
  <c r="AH13" i="697"/>
  <c r="L13" i="697"/>
  <c r="K13" i="697"/>
  <c r="H13" i="697"/>
  <c r="G13" i="697"/>
  <c r="AL12" i="697"/>
  <c r="AK12" i="697"/>
  <c r="AI12" i="697"/>
  <c r="C10" i="700" s="1"/>
  <c r="AH12" i="697"/>
  <c r="L12" i="697"/>
  <c r="K12" i="697"/>
  <c r="H12" i="697"/>
  <c r="G12" i="697"/>
  <c r="AL11" i="697"/>
  <c r="AK11" i="697"/>
  <c r="AI11" i="697"/>
  <c r="C9" i="700" s="1"/>
  <c r="AH11" i="697"/>
  <c r="L11" i="697"/>
  <c r="K11" i="697"/>
  <c r="H11" i="697"/>
  <c r="G11" i="697"/>
  <c r="AL10" i="697"/>
  <c r="AK10" i="697"/>
  <c r="AI10" i="697"/>
  <c r="AH10" i="697"/>
  <c r="L10" i="697"/>
  <c r="K10" i="697"/>
  <c r="H10" i="697"/>
  <c r="G10" i="697"/>
  <c r="AL9" i="697"/>
  <c r="AK9" i="697"/>
  <c r="AI9" i="697"/>
  <c r="AH9" i="697"/>
  <c r="L9" i="697"/>
  <c r="K9" i="697"/>
  <c r="H9" i="697"/>
  <c r="G9" i="697"/>
  <c r="AL8" i="697"/>
  <c r="AK8" i="697"/>
  <c r="AI8" i="697"/>
  <c r="C6" i="700" s="1"/>
  <c r="AH8" i="697"/>
  <c r="L8" i="697"/>
  <c r="K8" i="697"/>
  <c r="H8" i="697"/>
  <c r="G8" i="697"/>
  <c r="AN7" i="697"/>
  <c r="E5" i="700" s="1"/>
  <c r="AL7" i="697"/>
  <c r="AI7" i="697"/>
  <c r="L7" i="697"/>
  <c r="K7" i="697"/>
  <c r="H7" i="697"/>
  <c r="G7" i="697"/>
  <c r="L6" i="697"/>
  <c r="H6" i="697"/>
  <c r="F34" i="696"/>
  <c r="E34" i="696"/>
  <c r="F33" i="696"/>
  <c r="E33" i="696"/>
  <c r="F32" i="696"/>
  <c r="E32" i="696"/>
  <c r="F31" i="696"/>
  <c r="E31" i="696"/>
  <c r="F30" i="696"/>
  <c r="E30" i="696"/>
  <c r="F29" i="696"/>
  <c r="E29" i="696"/>
  <c r="F28" i="696"/>
  <c r="E28" i="696"/>
  <c r="F27" i="696"/>
  <c r="E27" i="696"/>
  <c r="F26" i="696"/>
  <c r="E26" i="696"/>
  <c r="F25" i="696"/>
  <c r="F12" i="696"/>
  <c r="E12" i="696"/>
  <c r="F11" i="696"/>
  <c r="E11" i="696"/>
  <c r="F10" i="696"/>
  <c r="E10" i="696"/>
  <c r="F9" i="696"/>
  <c r="E9" i="696"/>
  <c r="F8" i="696"/>
  <c r="E8" i="696"/>
  <c r="F7" i="696"/>
  <c r="E7" i="696"/>
  <c r="F6" i="696"/>
  <c r="E6" i="696"/>
  <c r="F5" i="696"/>
  <c r="E5" i="696"/>
  <c r="F4" i="696"/>
  <c r="I13" i="709" l="1"/>
  <c r="J12" i="709"/>
  <c r="K27" i="699"/>
  <c r="N10" i="710"/>
  <c r="M10" i="710"/>
  <c r="K13" i="711"/>
  <c r="L13" i="711"/>
  <c r="L11" i="710"/>
  <c r="L12" i="710" s="1"/>
  <c r="J13" i="709"/>
  <c r="K13" i="709"/>
  <c r="J15" i="711"/>
  <c r="S11" i="710"/>
  <c r="U10" i="710"/>
  <c r="T10" i="710"/>
  <c r="R14" i="711"/>
  <c r="S14" i="711"/>
  <c r="K14" i="711"/>
  <c r="L14" i="711"/>
  <c r="G27" i="696"/>
  <c r="G29" i="696"/>
  <c r="G31" i="696"/>
  <c r="G33" i="696"/>
  <c r="M7" i="697"/>
  <c r="N7" i="697" s="1"/>
  <c r="I8" i="697"/>
  <c r="C7" i="700"/>
  <c r="M12" i="697"/>
  <c r="M13" i="697"/>
  <c r="M17" i="697"/>
  <c r="G5" i="696"/>
  <c r="H5" i="696" s="1"/>
  <c r="G7" i="696"/>
  <c r="G9" i="696"/>
  <c r="I10" i="697"/>
  <c r="AO10" i="697"/>
  <c r="F8" i="700" s="1"/>
  <c r="AO14" i="697"/>
  <c r="F12" i="700" s="1"/>
  <c r="G8" i="699"/>
  <c r="G31" i="699"/>
  <c r="G33" i="699"/>
  <c r="AO11" i="697"/>
  <c r="F9" i="700" s="1"/>
  <c r="M16" i="697"/>
  <c r="I11" i="697"/>
  <c r="I14" i="697"/>
  <c r="AO15" i="697"/>
  <c r="F13" i="700" s="1"/>
  <c r="G9" i="699"/>
  <c r="G30" i="699"/>
  <c r="G32" i="699"/>
  <c r="G6" i="696"/>
  <c r="G8" i="696"/>
  <c r="M9" i="697"/>
  <c r="I15" i="697"/>
  <c r="M18" i="697"/>
  <c r="R13" i="710"/>
  <c r="I16" i="711"/>
  <c r="P15" i="711"/>
  <c r="Q15" i="711" s="1"/>
  <c r="K13" i="710"/>
  <c r="AN10" i="697"/>
  <c r="E8" i="700" s="1"/>
  <c r="B8" i="700"/>
  <c r="G10" i="696"/>
  <c r="G12" i="696"/>
  <c r="M8" i="697"/>
  <c r="AK20" i="697"/>
  <c r="C8" i="700"/>
  <c r="AN11" i="697"/>
  <c r="E9" i="700" s="1"/>
  <c r="B9" i="700"/>
  <c r="C12" i="700"/>
  <c r="AN15" i="697"/>
  <c r="E13" i="700" s="1"/>
  <c r="B13" i="700"/>
  <c r="AN14" i="697"/>
  <c r="E12" i="700" s="1"/>
  <c r="B12" i="700"/>
  <c r="G7" i="699"/>
  <c r="H7" i="699" s="1"/>
  <c r="G28" i="699"/>
  <c r="G34" i="699"/>
  <c r="AH20" i="697"/>
  <c r="B6" i="700"/>
  <c r="AN8" i="697"/>
  <c r="E6" i="700" s="1"/>
  <c r="M10" i="697"/>
  <c r="I12" i="697"/>
  <c r="AN12" i="697"/>
  <c r="E10" i="700" s="1"/>
  <c r="B10" i="700"/>
  <c r="AO12" i="697"/>
  <c r="F10" i="700" s="1"/>
  <c r="M14" i="697"/>
  <c r="I16" i="697"/>
  <c r="AN16" i="697"/>
  <c r="E14" i="700" s="1"/>
  <c r="B14" i="700"/>
  <c r="AO16" i="697"/>
  <c r="F14" i="700" s="1"/>
  <c r="AN18" i="697"/>
  <c r="E16" i="700" s="1"/>
  <c r="B16" i="700"/>
  <c r="AO18" i="697"/>
  <c r="F16" i="700" s="1"/>
  <c r="G29" i="699"/>
  <c r="G11" i="696"/>
  <c r="G26" i="696"/>
  <c r="H26" i="696" s="1"/>
  <c r="H27" i="696" s="1"/>
  <c r="G28" i="696"/>
  <c r="G30" i="696"/>
  <c r="G32" i="696"/>
  <c r="G34" i="696"/>
  <c r="I7" i="697"/>
  <c r="J7" i="697" s="1"/>
  <c r="J8" i="697" s="1"/>
  <c r="AO7" i="697"/>
  <c r="F5" i="700" s="1"/>
  <c r="C5" i="700"/>
  <c r="I9" i="697"/>
  <c r="AN9" i="697"/>
  <c r="E7" i="700" s="1"/>
  <c r="B7" i="700"/>
  <c r="AO9" i="697"/>
  <c r="F7" i="700" s="1"/>
  <c r="M11" i="697"/>
  <c r="I13" i="697"/>
  <c r="AN13" i="697"/>
  <c r="E11" i="700" s="1"/>
  <c r="B11" i="700"/>
  <c r="AO13" i="697"/>
  <c r="F11" i="700" s="1"/>
  <c r="M15" i="697"/>
  <c r="I17" i="697"/>
  <c r="AN17" i="697"/>
  <c r="E15" i="700" s="1"/>
  <c r="B15" i="700"/>
  <c r="AO17" i="697"/>
  <c r="F15" i="700" s="1"/>
  <c r="U7" i="708"/>
  <c r="U5" i="708"/>
  <c r="U10" i="708"/>
  <c r="U9" i="708"/>
  <c r="AA16" i="708"/>
  <c r="U16" i="708"/>
  <c r="L13" i="705"/>
  <c r="R15" i="708"/>
  <c r="R14" i="708" s="1"/>
  <c r="R13" i="708" s="1"/>
  <c r="R12" i="708" s="1"/>
  <c r="R11" i="708" s="1"/>
  <c r="R10" i="708" s="1"/>
  <c r="R9" i="708" s="1"/>
  <c r="R8" i="708" s="1"/>
  <c r="R7" i="708" s="1"/>
  <c r="R6" i="708" s="1"/>
  <c r="R5" i="708" s="1"/>
  <c r="Y5" i="708" s="1"/>
  <c r="AA10" i="708"/>
  <c r="Z16" i="708"/>
  <c r="T16" i="708"/>
  <c r="AA7" i="708"/>
  <c r="AA9" i="708"/>
  <c r="AA11" i="702"/>
  <c r="T11" i="702"/>
  <c r="U11" i="702"/>
  <c r="Z11" i="702"/>
  <c r="Y11" i="702"/>
  <c r="Y13" i="702"/>
  <c r="Z13" i="702"/>
  <c r="U13" i="702"/>
  <c r="AA13" i="702"/>
  <c r="T13" i="702"/>
  <c r="T20" i="702"/>
  <c r="AA20" i="702"/>
  <c r="Z20" i="702"/>
  <c r="U20" i="702"/>
  <c r="Y20" i="702"/>
  <c r="AA15" i="702"/>
  <c r="T15" i="702"/>
  <c r="Z15" i="702"/>
  <c r="U15" i="702"/>
  <c r="Y15" i="702"/>
  <c r="Y19" i="702"/>
  <c r="T19" i="702"/>
  <c r="AA19" i="702"/>
  <c r="U19" i="702"/>
  <c r="Z19" i="702"/>
  <c r="Z17" i="702"/>
  <c r="T17" i="702"/>
  <c r="Y17" i="702"/>
  <c r="U17" i="702"/>
  <c r="AA17" i="702"/>
  <c r="U8" i="702"/>
  <c r="AA8" i="702"/>
  <c r="T8" i="702"/>
  <c r="Y8" i="702"/>
  <c r="Z8" i="702"/>
  <c r="Z12" i="702"/>
  <c r="Y12" i="702"/>
  <c r="AA12" i="702"/>
  <c r="U12" i="702"/>
  <c r="T12" i="702"/>
  <c r="Y6" i="702"/>
  <c r="Z6" i="702"/>
  <c r="U6" i="702"/>
  <c r="AA6" i="702"/>
  <c r="T6" i="702"/>
  <c r="Y18" i="702"/>
  <c r="AA18" i="702"/>
  <c r="U18" i="702"/>
  <c r="Z18" i="702"/>
  <c r="T18" i="702"/>
  <c r="U14" i="702"/>
  <c r="AA14" i="702"/>
  <c r="T14" i="702"/>
  <c r="Z14" i="702"/>
  <c r="Y14" i="702"/>
  <c r="B5" i="706"/>
  <c r="B3" i="703"/>
  <c r="AA5" i="708"/>
  <c r="X4" i="708"/>
  <c r="AA4" i="708" s="1"/>
  <c r="L7" i="705"/>
  <c r="K9" i="702"/>
  <c r="L9" i="702" s="1"/>
  <c r="L20" i="705"/>
  <c r="L5" i="705"/>
  <c r="L17" i="705"/>
  <c r="L4" i="705"/>
  <c r="L16" i="705"/>
  <c r="K10" i="702"/>
  <c r="L10" i="702" s="1"/>
  <c r="K18" i="702"/>
  <c r="L18" i="702" s="1"/>
  <c r="L9" i="705"/>
  <c r="L21" i="705"/>
  <c r="T21" i="705" s="1"/>
  <c r="L8" i="705"/>
  <c r="G10" i="699"/>
  <c r="G12" i="699"/>
  <c r="G14" i="699"/>
  <c r="G11" i="699"/>
  <c r="G13" i="699"/>
  <c r="L6" i="705"/>
  <c r="L18" i="705"/>
  <c r="T6" i="705"/>
  <c r="R6" i="705"/>
  <c r="S6" i="705"/>
  <c r="S14" i="705"/>
  <c r="T14" i="705"/>
  <c r="R14" i="705"/>
  <c r="T18" i="705"/>
  <c r="R18" i="705"/>
  <c r="S18" i="705"/>
  <c r="L19" i="705"/>
  <c r="R11" i="705"/>
  <c r="S11" i="705"/>
  <c r="T11" i="705"/>
  <c r="R15" i="705"/>
  <c r="S15" i="705"/>
  <c r="T15" i="705"/>
  <c r="S19" i="705"/>
  <c r="T19" i="705"/>
  <c r="R19" i="705"/>
  <c r="K4" i="702"/>
  <c r="L4" i="702" s="1"/>
  <c r="K13" i="702"/>
  <c r="L13" i="702" s="1"/>
  <c r="L11" i="705"/>
  <c r="L12" i="705"/>
  <c r="L10" i="705"/>
  <c r="S8" i="705"/>
  <c r="T8" i="705"/>
  <c r="R8" i="705"/>
  <c r="R12" i="705"/>
  <c r="S12" i="705"/>
  <c r="T12" i="705"/>
  <c r="R20" i="705"/>
  <c r="S20" i="705"/>
  <c r="T20" i="705"/>
  <c r="K5" i="702"/>
  <c r="L5" i="702" s="1"/>
  <c r="K17" i="702"/>
  <c r="L17" i="702" s="1"/>
  <c r="K21" i="702"/>
  <c r="L21" i="702" s="1"/>
  <c r="Q21" i="702" s="1"/>
  <c r="L15" i="705"/>
  <c r="L14" i="705"/>
  <c r="T13" i="705"/>
  <c r="R13" i="705"/>
  <c r="S13" i="705"/>
  <c r="R17" i="705"/>
  <c r="S17" i="705"/>
  <c r="T17" i="705"/>
  <c r="U6" i="705"/>
  <c r="Q6" i="705"/>
  <c r="M6" i="705"/>
  <c r="M14" i="705"/>
  <c r="Q14" i="705"/>
  <c r="U14" i="705"/>
  <c r="M19" i="705"/>
  <c r="Q19" i="705"/>
  <c r="U19" i="705"/>
  <c r="U8" i="705"/>
  <c r="Q8" i="705"/>
  <c r="M8" i="705"/>
  <c r="M12" i="705"/>
  <c r="U12" i="705"/>
  <c r="Q12" i="705"/>
  <c r="M20" i="705"/>
  <c r="U20" i="705"/>
  <c r="Q20" i="705"/>
  <c r="M18" i="705"/>
  <c r="Q18" i="705"/>
  <c r="U18" i="705"/>
  <c r="M11" i="705"/>
  <c r="U11" i="705"/>
  <c r="Q11" i="705"/>
  <c r="M15" i="705"/>
  <c r="Q15" i="705"/>
  <c r="U15" i="705"/>
  <c r="M13" i="705"/>
  <c r="Q13" i="705"/>
  <c r="U13" i="705"/>
  <c r="M17" i="705"/>
  <c r="Q17" i="705"/>
  <c r="U17" i="705"/>
  <c r="T6" i="704"/>
  <c r="R6" i="704"/>
  <c r="S6" i="704"/>
  <c r="M6" i="704"/>
  <c r="U6" i="704"/>
  <c r="Q6" i="704"/>
  <c r="T11" i="704"/>
  <c r="R11" i="704"/>
  <c r="U11" i="704"/>
  <c r="Q11" i="704"/>
  <c r="S11" i="704"/>
  <c r="M11" i="704"/>
  <c r="T14" i="704"/>
  <c r="R14" i="704"/>
  <c r="U14" i="704"/>
  <c r="Q14" i="704"/>
  <c r="M14" i="704"/>
  <c r="S14" i="704"/>
  <c r="T13" i="704"/>
  <c r="R13" i="704"/>
  <c r="U13" i="704"/>
  <c r="Q13" i="704"/>
  <c r="S13" i="704"/>
  <c r="M13" i="704"/>
  <c r="Q21" i="704"/>
  <c r="U15" i="704"/>
  <c r="Q15" i="704"/>
  <c r="S15" i="704"/>
  <c r="M15" i="704"/>
  <c r="R15" i="704"/>
  <c r="T15" i="704"/>
  <c r="T18" i="704"/>
  <c r="R18" i="704"/>
  <c r="U18" i="704"/>
  <c r="Q18" i="704"/>
  <c r="S18" i="704"/>
  <c r="M18" i="704"/>
  <c r="T8" i="704"/>
  <c r="R8" i="704"/>
  <c r="U8" i="704"/>
  <c r="S8" i="704"/>
  <c r="M8" i="704"/>
  <c r="Q8" i="704"/>
  <c r="T20" i="704"/>
  <c r="R20" i="704"/>
  <c r="U20" i="704"/>
  <c r="Q20" i="704"/>
  <c r="S20" i="704"/>
  <c r="M20" i="704"/>
  <c r="U17" i="704"/>
  <c r="Q17" i="704"/>
  <c r="S17" i="704"/>
  <c r="M17" i="704"/>
  <c r="T17" i="704"/>
  <c r="R17" i="704"/>
  <c r="U12" i="704"/>
  <c r="Q12" i="704"/>
  <c r="S12" i="704"/>
  <c r="M12" i="704"/>
  <c r="T12" i="704"/>
  <c r="R12" i="704"/>
  <c r="L4" i="704"/>
  <c r="U19" i="704"/>
  <c r="Q19" i="704"/>
  <c r="S19" i="704"/>
  <c r="M19" i="704"/>
  <c r="T19" i="704"/>
  <c r="R19" i="704"/>
  <c r="M18" i="702"/>
  <c r="M14" i="702"/>
  <c r="M20" i="702"/>
  <c r="K7" i="702"/>
  <c r="L7" i="702" s="1"/>
  <c r="K12" i="702"/>
  <c r="L12" i="702" s="1"/>
  <c r="M15" i="702"/>
  <c r="M12" i="702"/>
  <c r="K15" i="702"/>
  <c r="L15" i="702" s="1"/>
  <c r="K19" i="702"/>
  <c r="L19" i="702" s="1"/>
  <c r="M6" i="702"/>
  <c r="K6" i="702"/>
  <c r="L6" i="702" s="1"/>
  <c r="M11" i="702"/>
  <c r="M17" i="702"/>
  <c r="M13" i="702"/>
  <c r="M8" i="702"/>
  <c r="K8" i="702"/>
  <c r="L8" i="702" s="1"/>
  <c r="M19" i="702"/>
  <c r="K16" i="702"/>
  <c r="L16" i="702" s="1"/>
  <c r="K20" i="702"/>
  <c r="L20" i="702" s="1"/>
  <c r="AJ19" i="697"/>
  <c r="F17" i="700"/>
  <c r="D17" i="700" s="1"/>
  <c r="AJ7" i="697"/>
  <c r="AM7" i="697" s="1"/>
  <c r="AO8" i="697"/>
  <c r="F6" i="700" s="1"/>
  <c r="I7" i="699" l="1"/>
  <c r="J7" i="699" s="1"/>
  <c r="J16" i="711"/>
  <c r="L16" i="711" s="1"/>
  <c r="N12" i="710"/>
  <c r="M12" i="710"/>
  <c r="S15" i="711"/>
  <c r="R15" i="711"/>
  <c r="S12" i="710"/>
  <c r="T11" i="710"/>
  <c r="U11" i="710"/>
  <c r="N11" i="710"/>
  <c r="M11" i="710"/>
  <c r="L13" i="710"/>
  <c r="K15" i="711"/>
  <c r="L15" i="711"/>
  <c r="AJ13" i="697"/>
  <c r="AM13" i="697" s="1"/>
  <c r="AJ18" i="697"/>
  <c r="AM18" i="697" s="1"/>
  <c r="N8" i="697"/>
  <c r="N9" i="697" s="1"/>
  <c r="N10" i="697" s="1"/>
  <c r="N11" i="697" s="1"/>
  <c r="N12" i="697" s="1"/>
  <c r="N13" i="697" s="1"/>
  <c r="N14" i="697" s="1"/>
  <c r="N15" i="697" s="1"/>
  <c r="N16" i="697" s="1"/>
  <c r="N17" i="697" s="1"/>
  <c r="N18" i="697" s="1"/>
  <c r="H6" i="696"/>
  <c r="O13" i="700"/>
  <c r="H28" i="696"/>
  <c r="H29" i="696" s="1"/>
  <c r="H30" i="696" s="1"/>
  <c r="H31" i="696" s="1"/>
  <c r="H32" i="696" s="1"/>
  <c r="H33" i="696" s="1"/>
  <c r="H34" i="696" s="1"/>
  <c r="Q20" i="702"/>
  <c r="Q19" i="702" s="1"/>
  <c r="Q18" i="702" s="1"/>
  <c r="Q17" i="702" s="1"/>
  <c r="Q16" i="702" s="1"/>
  <c r="Q15" i="702" s="1"/>
  <c r="Q14" i="702" s="1"/>
  <c r="Q13" i="702" s="1"/>
  <c r="Q12" i="702" s="1"/>
  <c r="Q11" i="702" s="1"/>
  <c r="Q10" i="702" s="1"/>
  <c r="Q9" i="702" s="1"/>
  <c r="Q8" i="702" s="1"/>
  <c r="Q7" i="702" s="1"/>
  <c r="Q6" i="702" s="1"/>
  <c r="Q5" i="702" s="1"/>
  <c r="Q4" i="702" s="1"/>
  <c r="H7" i="696"/>
  <c r="H8" i="696" s="1"/>
  <c r="H9" i="696" s="1"/>
  <c r="H10" i="696" s="1"/>
  <c r="H11" i="696" s="1"/>
  <c r="H12" i="696" s="1"/>
  <c r="I13" i="700"/>
  <c r="AJ15" i="697"/>
  <c r="AM15" i="697" s="1"/>
  <c r="L13" i="700"/>
  <c r="I9" i="700"/>
  <c r="AJ11" i="697"/>
  <c r="AM11" i="697" s="1"/>
  <c r="D13" i="700"/>
  <c r="K13" i="700" s="1"/>
  <c r="O10" i="700"/>
  <c r="O9" i="700"/>
  <c r="D14" i="700"/>
  <c r="K14" i="700" s="1"/>
  <c r="AJ9" i="697"/>
  <c r="AM9" i="697" s="1"/>
  <c r="AJ10" i="697"/>
  <c r="AM10" i="697" s="1"/>
  <c r="L9" i="700"/>
  <c r="O11" i="700"/>
  <c r="AJ8" i="697"/>
  <c r="AM8" i="697" s="1"/>
  <c r="AJ16" i="697"/>
  <c r="AM16" i="697" s="1"/>
  <c r="I7" i="700"/>
  <c r="I14" i="700"/>
  <c r="L10" i="700"/>
  <c r="AJ12" i="697"/>
  <c r="AM12" i="697" s="1"/>
  <c r="O16" i="700"/>
  <c r="L14" i="700"/>
  <c r="D9" i="700"/>
  <c r="N9" i="700" s="1"/>
  <c r="I10" i="700"/>
  <c r="D11" i="700"/>
  <c r="H11" i="700" s="1"/>
  <c r="D10" i="700"/>
  <c r="H10" i="700" s="1"/>
  <c r="P16" i="711"/>
  <c r="Q16" i="711" s="1"/>
  <c r="R14" i="710"/>
  <c r="K14" i="710"/>
  <c r="I17" i="711"/>
  <c r="O7" i="700"/>
  <c r="O15" i="700"/>
  <c r="D15" i="700"/>
  <c r="K15" i="700" s="1"/>
  <c r="L11" i="700"/>
  <c r="H13" i="700"/>
  <c r="AJ14" i="697"/>
  <c r="AM14" i="697" s="1"/>
  <c r="L6" i="700"/>
  <c r="I6" i="700"/>
  <c r="D16" i="700"/>
  <c r="H16" i="700" s="1"/>
  <c r="D6" i="700"/>
  <c r="H6" i="700" s="1"/>
  <c r="J9" i="697"/>
  <c r="J10" i="697" s="1"/>
  <c r="J11" i="697" s="1"/>
  <c r="J12" i="697" s="1"/>
  <c r="J13" i="697" s="1"/>
  <c r="J14" i="697" s="1"/>
  <c r="J15" i="697" s="1"/>
  <c r="J16" i="697" s="1"/>
  <c r="J17" i="697" s="1"/>
  <c r="L7" i="700"/>
  <c r="D7" i="700"/>
  <c r="N7" i="700" s="1"/>
  <c r="I15" i="700"/>
  <c r="O5" i="700"/>
  <c r="D5" i="700"/>
  <c r="H5" i="700" s="1"/>
  <c r="L5" i="700"/>
  <c r="I5" i="700"/>
  <c r="L15" i="700"/>
  <c r="AJ17" i="697"/>
  <c r="AM17" i="697" s="1"/>
  <c r="H8" i="699"/>
  <c r="L16" i="700"/>
  <c r="O6" i="700"/>
  <c r="O14" i="700"/>
  <c r="K10" i="700"/>
  <c r="I11" i="700"/>
  <c r="L12" i="700"/>
  <c r="D12" i="700"/>
  <c r="O12" i="700"/>
  <c r="I12" i="700"/>
  <c r="L8" i="700"/>
  <c r="D8" i="700"/>
  <c r="H8" i="700" s="1"/>
  <c r="O8" i="700"/>
  <c r="I8" i="700"/>
  <c r="I16" i="700"/>
  <c r="U22" i="708"/>
  <c r="AC13" i="708" s="1"/>
  <c r="Z10" i="708"/>
  <c r="Y9" i="708"/>
  <c r="Z5" i="708"/>
  <c r="T9" i="708"/>
  <c r="T5" i="708"/>
  <c r="Y7" i="708"/>
  <c r="Z7" i="708"/>
  <c r="T7" i="708"/>
  <c r="R4" i="708"/>
  <c r="Y4" i="708" s="1"/>
  <c r="Z9" i="708"/>
  <c r="Y10" i="708"/>
  <c r="T10" i="708"/>
  <c r="W21" i="702"/>
  <c r="W20" i="702" s="1"/>
  <c r="W19" i="702" s="1"/>
  <c r="W18" i="702" s="1"/>
  <c r="W17" i="702" s="1"/>
  <c r="W16" i="702" s="1"/>
  <c r="W15" i="702" s="1"/>
  <c r="W14" i="702" s="1"/>
  <c r="W13" i="702" s="1"/>
  <c r="W12" i="702" s="1"/>
  <c r="W11" i="702" s="1"/>
  <c r="W10" i="702" s="1"/>
  <c r="W9" i="702" s="1"/>
  <c r="AA22" i="708"/>
  <c r="AD5" i="708" s="1"/>
  <c r="X21" i="702"/>
  <c r="X20" i="702" s="1"/>
  <c r="X19" i="702" s="1"/>
  <c r="X18" i="702" s="1"/>
  <c r="X17" i="702" s="1"/>
  <c r="X16" i="702" s="1"/>
  <c r="R21" i="702"/>
  <c r="S21" i="702"/>
  <c r="U21" i="702" s="1"/>
  <c r="V21" i="702"/>
  <c r="R21" i="705"/>
  <c r="M21" i="705"/>
  <c r="Q21" i="705"/>
  <c r="M10" i="705"/>
  <c r="M5" i="705"/>
  <c r="T16" i="705"/>
  <c r="T4" i="705"/>
  <c r="Q16" i="705"/>
  <c r="M21" i="702"/>
  <c r="Q4" i="705"/>
  <c r="R4" i="705"/>
  <c r="T7" i="705"/>
  <c r="M7" i="705"/>
  <c r="M7" i="702"/>
  <c r="Q5" i="705"/>
  <c r="Q7" i="705"/>
  <c r="M16" i="705"/>
  <c r="M4" i="705"/>
  <c r="Q10" i="705"/>
  <c r="R10" i="705"/>
  <c r="R9" i="705"/>
  <c r="R16" i="705"/>
  <c r="R5" i="705"/>
  <c r="S5" i="705" s="1"/>
  <c r="M5" i="702"/>
  <c r="M9" i="705"/>
  <c r="T10" i="705"/>
  <c r="T9" i="705"/>
  <c r="T5" i="705"/>
  <c r="M9" i="702"/>
  <c r="Q9" i="705"/>
  <c r="R7" i="705"/>
  <c r="T9" i="704"/>
  <c r="Q10" i="704"/>
  <c r="R21" i="704"/>
  <c r="S21" i="704" s="1"/>
  <c r="T16" i="704"/>
  <c r="M9" i="704"/>
  <c r="M10" i="704"/>
  <c r="R4" i="704"/>
  <c r="M7" i="704"/>
  <c r="Q5" i="704"/>
  <c r="R9" i="704"/>
  <c r="T21" i="704"/>
  <c r="U21" i="704" s="1"/>
  <c r="R10" i="704"/>
  <c r="M4" i="704"/>
  <c r="T4" i="704"/>
  <c r="R7" i="704"/>
  <c r="R16" i="704"/>
  <c r="M5" i="704"/>
  <c r="T5" i="704"/>
  <c r="Q7" i="704"/>
  <c r="M16" i="704"/>
  <c r="Q4" i="704"/>
  <c r="R5" i="704"/>
  <c r="Q9" i="704"/>
  <c r="M21" i="704"/>
  <c r="T10" i="704"/>
  <c r="T7" i="704"/>
  <c r="Q16" i="704"/>
  <c r="M16" i="702"/>
  <c r="M4" i="702"/>
  <c r="M10" i="702"/>
  <c r="O17" i="700"/>
  <c r="L17" i="700"/>
  <c r="I17" i="700"/>
  <c r="AM19" i="697"/>
  <c r="N17" i="700"/>
  <c r="N13" i="700" l="1"/>
  <c r="N14" i="700"/>
  <c r="K16" i="711"/>
  <c r="J17" i="711"/>
  <c r="L17" i="711" s="1"/>
  <c r="H9" i="699"/>
  <c r="I8" i="699"/>
  <c r="J8" i="699" s="1"/>
  <c r="K7" i="699"/>
  <c r="L14" i="710"/>
  <c r="S13" i="710"/>
  <c r="U12" i="710"/>
  <c r="T12" i="710"/>
  <c r="N13" i="710"/>
  <c r="M13" i="710"/>
  <c r="S16" i="711"/>
  <c r="R16" i="711"/>
  <c r="N11" i="700"/>
  <c r="K9" i="700"/>
  <c r="H9" i="700"/>
  <c r="N10" i="700"/>
  <c r="K16" i="700"/>
  <c r="H14" i="700"/>
  <c r="H7" i="700"/>
  <c r="K11" i="700"/>
  <c r="I18" i="700"/>
  <c r="N16" i="700"/>
  <c r="AM20" i="697"/>
  <c r="AM22" i="697" s="1"/>
  <c r="K15" i="710"/>
  <c r="P17" i="711"/>
  <c r="Q17" i="711" s="1"/>
  <c r="I18" i="711"/>
  <c r="R15" i="710"/>
  <c r="N12" i="700"/>
  <c r="K12" i="700"/>
  <c r="N8" i="700"/>
  <c r="K7" i="700"/>
  <c r="K6" i="700"/>
  <c r="H15" i="700"/>
  <c r="N5" i="700"/>
  <c r="AJ20" i="697"/>
  <c r="K8" i="700"/>
  <c r="N6" i="700"/>
  <c r="N15" i="700"/>
  <c r="H12" i="700"/>
  <c r="K5" i="700"/>
  <c r="Y22" i="708"/>
  <c r="AC4" i="708" s="1"/>
  <c r="Z4" i="708"/>
  <c r="Z22" i="708" s="1"/>
  <c r="AC5" i="708" s="1"/>
  <c r="T4" i="708"/>
  <c r="T22" i="708" s="1"/>
  <c r="AC12" i="708" s="1"/>
  <c r="S20" i="702"/>
  <c r="S19" i="702" s="1"/>
  <c r="S18" i="702" s="1"/>
  <c r="S17" i="702" s="1"/>
  <c r="S16" i="702" s="1"/>
  <c r="U16" i="702" s="1"/>
  <c r="Z21" i="702"/>
  <c r="Y21" i="702"/>
  <c r="X15" i="702"/>
  <c r="X14" i="702" s="1"/>
  <c r="X13" i="702" s="1"/>
  <c r="X12" i="702" s="1"/>
  <c r="X11" i="702" s="1"/>
  <c r="X10" i="702" s="1"/>
  <c r="V20" i="702"/>
  <c r="V19" i="702" s="1"/>
  <c r="V18" i="702" s="1"/>
  <c r="V17" i="702" s="1"/>
  <c r="V16" i="702" s="1"/>
  <c r="T21" i="702"/>
  <c r="R20" i="702"/>
  <c r="R19" i="702" s="1"/>
  <c r="R18" i="702" s="1"/>
  <c r="R17" i="702" s="1"/>
  <c r="R16" i="702" s="1"/>
  <c r="AA21" i="702"/>
  <c r="W8" i="702"/>
  <c r="W7" i="702" s="1"/>
  <c r="S21" i="705"/>
  <c r="S10" i="705"/>
  <c r="U21" i="705"/>
  <c r="U10" i="705"/>
  <c r="U5" i="705"/>
  <c r="S7" i="705"/>
  <c r="S16" i="705"/>
  <c r="U4" i="705"/>
  <c r="U16" i="705"/>
  <c r="M22" i="705"/>
  <c r="E6" i="706" s="1"/>
  <c r="S4" i="705"/>
  <c r="U7" i="705"/>
  <c r="S5" i="704"/>
  <c r="S9" i="705"/>
  <c r="H10" i="699"/>
  <c r="U9" i="705"/>
  <c r="U10" i="704"/>
  <c r="S10" i="704"/>
  <c r="S9" i="704"/>
  <c r="U7" i="704"/>
  <c r="U4" i="704"/>
  <c r="S16" i="704"/>
  <c r="M22" i="704"/>
  <c r="B6" i="706" s="1"/>
  <c r="S4" i="704"/>
  <c r="U16" i="704"/>
  <c r="U5" i="704"/>
  <c r="S7" i="704"/>
  <c r="U9" i="704"/>
  <c r="M22" i="702"/>
  <c r="B4" i="703" s="1"/>
  <c r="K17" i="700"/>
  <c r="L18" i="700"/>
  <c r="H17" i="700"/>
  <c r="K17" i="711" l="1"/>
  <c r="J18" i="711"/>
  <c r="L15" i="710"/>
  <c r="N15" i="710" s="1"/>
  <c r="K8" i="699"/>
  <c r="I9" i="699"/>
  <c r="I10" i="699" s="1"/>
  <c r="S14" i="710"/>
  <c r="T13" i="710"/>
  <c r="U13" i="710"/>
  <c r="N14" i="710"/>
  <c r="M14" i="710"/>
  <c r="R17" i="711"/>
  <c r="S17" i="711"/>
  <c r="K18" i="711"/>
  <c r="L18" i="711"/>
  <c r="H18" i="700"/>
  <c r="R4" i="700" s="1"/>
  <c r="R6" i="700" s="1"/>
  <c r="AJ27" i="697"/>
  <c r="AR6" i="697"/>
  <c r="AR8" i="697" s="1"/>
  <c r="AJ22" i="697"/>
  <c r="AJ24" i="697" s="1"/>
  <c r="AJ26" i="697" s="1"/>
  <c r="R16" i="710"/>
  <c r="P18" i="711"/>
  <c r="Q18" i="711" s="1"/>
  <c r="I19" i="711"/>
  <c r="J19" i="711" s="1"/>
  <c r="K16" i="710"/>
  <c r="AD4" i="708"/>
  <c r="AC8" i="708" s="1" a="1"/>
  <c r="AC8" i="708" s="1"/>
  <c r="S27" i="708" s="1"/>
  <c r="V27" i="708" s="1"/>
  <c r="Y27" i="708" s="1"/>
  <c r="Z16" i="702"/>
  <c r="S15" i="702"/>
  <c r="S14" i="702" s="1"/>
  <c r="S13" i="702" s="1"/>
  <c r="S12" i="702" s="1"/>
  <c r="S11" i="702" s="1"/>
  <c r="S10" i="702" s="1"/>
  <c r="AA10" i="702" s="1"/>
  <c r="AA16" i="702"/>
  <c r="X9" i="702"/>
  <c r="X8" i="702" s="1"/>
  <c r="X7" i="702" s="1"/>
  <c r="W6" i="702"/>
  <c r="W5" i="702" s="1"/>
  <c r="Y16" i="702"/>
  <c r="V15" i="702"/>
  <c r="V14" i="702" s="1"/>
  <c r="V13" i="702" s="1"/>
  <c r="V12" i="702" s="1"/>
  <c r="V11" i="702" s="1"/>
  <c r="V10" i="702" s="1"/>
  <c r="T16" i="702"/>
  <c r="R15" i="702"/>
  <c r="R14" i="702" s="1"/>
  <c r="R13" i="702" s="1"/>
  <c r="R12" i="702" s="1"/>
  <c r="R11" i="702" s="1"/>
  <c r="R10" i="702" s="1"/>
  <c r="U22" i="705"/>
  <c r="W4" i="705" s="1"/>
  <c r="W7" i="705" s="1"/>
  <c r="S27" i="705" s="1"/>
  <c r="AB27" i="705" s="1"/>
  <c r="AC27" i="705" s="1"/>
  <c r="S22" i="705"/>
  <c r="W10" i="705" s="1"/>
  <c r="H11" i="699"/>
  <c r="B5" i="703"/>
  <c r="B7" i="703" s="1"/>
  <c r="S22" i="704"/>
  <c r="W10" i="704" s="1"/>
  <c r="U22" i="704"/>
  <c r="W4" i="704" s="1"/>
  <c r="W7" i="704" s="1"/>
  <c r="S27" i="704" s="1"/>
  <c r="K18" i="700"/>
  <c r="R8" i="700" s="1"/>
  <c r="R10" i="700" s="1"/>
  <c r="N18" i="700"/>
  <c r="O18" i="700"/>
  <c r="L16" i="710" l="1"/>
  <c r="M15" i="710"/>
  <c r="K10" i="699"/>
  <c r="J10" i="699"/>
  <c r="I11" i="699"/>
  <c r="J11" i="699" s="1"/>
  <c r="J9" i="699"/>
  <c r="K9" i="699"/>
  <c r="K19" i="711"/>
  <c r="L19" i="711"/>
  <c r="R18" i="711"/>
  <c r="S18" i="711"/>
  <c r="N16" i="710"/>
  <c r="M16" i="710"/>
  <c r="S15" i="710"/>
  <c r="U14" i="710"/>
  <c r="T14" i="710"/>
  <c r="AJ31" i="697"/>
  <c r="AJ34" i="697" s="1"/>
  <c r="AJ30" i="697"/>
  <c r="AJ33" i="697" s="1"/>
  <c r="P19" i="711"/>
  <c r="Q19" i="711" s="1"/>
  <c r="K17" i="710"/>
  <c r="L17" i="710" s="1"/>
  <c r="R17" i="710"/>
  <c r="AB27" i="708"/>
  <c r="AC27" i="708" s="1"/>
  <c r="AC9" i="708"/>
  <c r="W27" i="708"/>
  <c r="Z27" i="708" s="1"/>
  <c r="T27" i="708"/>
  <c r="U27" i="708" s="1"/>
  <c r="AD8" i="708"/>
  <c r="AD9" i="708"/>
  <c r="S28" i="708" s="1"/>
  <c r="T28" i="708" s="1"/>
  <c r="U28" i="708" s="1"/>
  <c r="U10" i="702"/>
  <c r="S9" i="702"/>
  <c r="U9" i="702" s="1"/>
  <c r="T10" i="702"/>
  <c r="R9" i="702"/>
  <c r="Z10" i="702"/>
  <c r="W4" i="702"/>
  <c r="Y10" i="702"/>
  <c r="V9" i="702"/>
  <c r="X6" i="702"/>
  <c r="X5" i="702" s="1"/>
  <c r="W27" i="705"/>
  <c r="Z27" i="705" s="1"/>
  <c r="V27" i="705"/>
  <c r="Y27" i="705" s="1"/>
  <c r="T27" i="705"/>
  <c r="U27" i="705" s="1"/>
  <c r="J11" i="706" s="1"/>
  <c r="H11" i="706"/>
  <c r="H6" i="706"/>
  <c r="AB27" i="704"/>
  <c r="AC27" i="704" s="1"/>
  <c r="H12" i="699"/>
  <c r="E5" i="706"/>
  <c r="E7" i="706" s="1"/>
  <c r="E9" i="706" s="1"/>
  <c r="B7" i="706"/>
  <c r="B9" i="706" s="1"/>
  <c r="R12" i="700"/>
  <c r="R14" i="700" s="1"/>
  <c r="K11" i="699" l="1"/>
  <c r="I12" i="699"/>
  <c r="J12" i="699" s="1"/>
  <c r="S16" i="710"/>
  <c r="T15" i="710"/>
  <c r="U15" i="710"/>
  <c r="N17" i="710"/>
  <c r="M17" i="710"/>
  <c r="S19" i="711"/>
  <c r="R19" i="711"/>
  <c r="R18" i="710"/>
  <c r="K18" i="710"/>
  <c r="L18" i="710" s="1"/>
  <c r="AA9" i="702"/>
  <c r="V28" i="708"/>
  <c r="Y28" i="708" s="1"/>
  <c r="W28" i="708"/>
  <c r="Z28" i="708" s="1"/>
  <c r="AB28" i="708"/>
  <c r="AC28" i="708" s="1"/>
  <c r="S8" i="702"/>
  <c r="S7" i="702" s="1"/>
  <c r="AA7" i="702" s="1"/>
  <c r="Y9" i="702"/>
  <c r="V8" i="702"/>
  <c r="V7" i="702" s="1"/>
  <c r="T9" i="702"/>
  <c r="R8" i="702"/>
  <c r="R7" i="702" s="1"/>
  <c r="Z9" i="702"/>
  <c r="X4" i="702"/>
  <c r="K11" i="706"/>
  <c r="N11" i="706" s="1"/>
  <c r="L11" i="706"/>
  <c r="O11" i="706" s="1"/>
  <c r="I11" i="706"/>
  <c r="H13" i="699"/>
  <c r="I13" i="699" l="1"/>
  <c r="K13" i="699" s="1"/>
  <c r="J13" i="699"/>
  <c r="K12" i="699"/>
  <c r="N18" i="710"/>
  <c r="M18" i="710"/>
  <c r="S17" i="710"/>
  <c r="U16" i="710"/>
  <c r="T16" i="710"/>
  <c r="R19" i="710"/>
  <c r="K19" i="710"/>
  <c r="L19" i="710" s="1"/>
  <c r="S6" i="702"/>
  <c r="S5" i="702" s="1"/>
  <c r="AA5" i="702" s="1"/>
  <c r="U7" i="702"/>
  <c r="Y7" i="702"/>
  <c r="V6" i="702"/>
  <c r="V5" i="702" s="1"/>
  <c r="T7" i="702"/>
  <c r="R6" i="702"/>
  <c r="R5" i="702" s="1"/>
  <c r="Z7" i="702"/>
  <c r="H14" i="699"/>
  <c r="T27" i="704"/>
  <c r="I14" i="699" l="1"/>
  <c r="K14" i="699" s="1"/>
  <c r="J14" i="699"/>
  <c r="S18" i="710"/>
  <c r="T17" i="710"/>
  <c r="U17" i="710"/>
  <c r="M19" i="710"/>
  <c r="N19" i="710"/>
  <c r="S4" i="702"/>
  <c r="U4" i="702" s="1"/>
  <c r="U5" i="702"/>
  <c r="T5" i="702"/>
  <c r="R4" i="702"/>
  <c r="Z5" i="702"/>
  <c r="Y5" i="702"/>
  <c r="V4" i="702"/>
  <c r="U27" i="704"/>
  <c r="J6" i="706" s="1"/>
  <c r="I6" i="706"/>
  <c r="V27" i="704"/>
  <c r="W27" i="704"/>
  <c r="S19" i="710" l="1"/>
  <c r="U18" i="710"/>
  <c r="T18" i="710"/>
  <c r="U22" i="702"/>
  <c r="AC13" i="702" s="1"/>
  <c r="Y4" i="702"/>
  <c r="Y22" i="702" s="1"/>
  <c r="AC4" i="702" s="1"/>
  <c r="AA4" i="702"/>
  <c r="AA22" i="702" s="1"/>
  <c r="AD5" i="702" s="1"/>
  <c r="T4" i="702"/>
  <c r="T22" i="702" s="1"/>
  <c r="AC12" i="702" s="1"/>
  <c r="Z4" i="702"/>
  <c r="Z22" i="702" s="1"/>
  <c r="H28" i="699"/>
  <c r="K6" i="706"/>
  <c r="N6" i="706" s="1"/>
  <c r="Y27" i="704"/>
  <c r="L6" i="706"/>
  <c r="O6" i="706" s="1"/>
  <c r="Z27" i="704"/>
  <c r="I28" i="699" l="1"/>
  <c r="J28" i="699" s="1"/>
  <c r="K28" i="699"/>
  <c r="T19" i="710"/>
  <c r="U19" i="710"/>
  <c r="H29" i="699"/>
  <c r="AC5" i="702"/>
  <c r="AD4" i="702"/>
  <c r="I29" i="699" l="1"/>
  <c r="K29" i="699" s="1"/>
  <c r="J29" i="699"/>
  <c r="H30" i="699"/>
  <c r="AC8" i="702" a="1"/>
  <c r="AD9" i="702" s="1"/>
  <c r="N16" i="594"/>
  <c r="M16" i="594"/>
  <c r="M9" i="594"/>
  <c r="N4" i="594"/>
  <c r="O4" i="594"/>
  <c r="P4" i="594"/>
  <c r="N5" i="594"/>
  <c r="O5" i="594"/>
  <c r="P5" i="594"/>
  <c r="M5" i="594"/>
  <c r="M4" i="594"/>
  <c r="N3" i="594"/>
  <c r="O3" i="594"/>
  <c r="P3" i="594"/>
  <c r="M3" i="594"/>
  <c r="I30" i="699" l="1"/>
  <c r="K30" i="699" s="1"/>
  <c r="J30" i="699"/>
  <c r="M8" i="594"/>
  <c r="H31" i="699"/>
  <c r="N14" i="594"/>
  <c r="N15" i="594" s="1"/>
  <c r="AD8" i="702"/>
  <c r="AC9" i="702"/>
  <c r="AC8" i="702"/>
  <c r="S27" i="702" s="1"/>
  <c r="S28" i="702"/>
  <c r="I31" i="699" l="1"/>
  <c r="J31" i="699" s="1"/>
  <c r="M13" i="594"/>
  <c r="O13" i="594" s="1"/>
  <c r="N6" i="594"/>
  <c r="P6" i="594"/>
  <c r="M6" i="594"/>
  <c r="O6" i="594"/>
  <c r="M14" i="594"/>
  <c r="O14" i="594" s="1"/>
  <c r="O15" i="594"/>
  <c r="H32" i="699"/>
  <c r="AO5" i="702"/>
  <c r="AL8" i="702" s="1"/>
  <c r="AN8" i="702" s="1"/>
  <c r="AQ8" i="702" s="1"/>
  <c r="W27" i="702"/>
  <c r="Z27" i="702" s="1"/>
  <c r="V27" i="702"/>
  <c r="Y27" i="702" s="1"/>
  <c r="AB27" i="702"/>
  <c r="AC27" i="702" s="1"/>
  <c r="T27" i="702"/>
  <c r="U27" i="702" s="1"/>
  <c r="V28" i="702"/>
  <c r="Y28" i="702" s="1"/>
  <c r="T28" i="702"/>
  <c r="U28" i="702" s="1"/>
  <c r="W28" i="702"/>
  <c r="Z28" i="702" s="1"/>
  <c r="AB28" i="702"/>
  <c r="AC28" i="702" s="1"/>
  <c r="I32" i="699" l="1"/>
  <c r="J32" i="699"/>
  <c r="K32" i="699"/>
  <c r="K31" i="699"/>
  <c r="P13" i="594"/>
  <c r="Q13" i="594" s="1"/>
  <c r="P14" i="594"/>
  <c r="Q14" i="594" s="1"/>
  <c r="H33" i="699"/>
  <c r="AO8" i="702"/>
  <c r="AR8" i="702" s="1"/>
  <c r="I33" i="699" l="1"/>
  <c r="K33" i="699" s="1"/>
  <c r="J33" i="699"/>
  <c r="H34" i="699"/>
  <c r="I34" i="699" l="1"/>
  <c r="K34" i="699" s="1"/>
  <c r="J34" i="699" l="1"/>
  <c r="D10" i="680" l="1"/>
  <c r="C10" i="680"/>
  <c r="B10" i="680"/>
  <c r="D6" i="680"/>
  <c r="C6" i="680"/>
  <c r="B6" i="680"/>
  <c r="D5" i="680"/>
  <c r="C5" i="680"/>
  <c r="B5" i="680"/>
  <c r="D11" i="680" l="1"/>
  <c r="D12" i="680" s="1"/>
  <c r="B11" i="680"/>
  <c r="B12" i="680" s="1"/>
  <c r="C11" i="680"/>
  <c r="C12" i="680" s="1"/>
  <c r="U4" i="671" l="1"/>
  <c r="V4" i="671" s="1"/>
  <c r="W4" i="671" s="1"/>
  <c r="N18" i="671"/>
  <c r="M18" i="671"/>
  <c r="L18" i="671"/>
  <c r="K18" i="671"/>
  <c r="F18" i="671"/>
  <c r="E18" i="671"/>
  <c r="D18" i="671"/>
  <c r="C18" i="671"/>
  <c r="N17" i="671"/>
  <c r="M17" i="671"/>
  <c r="L17" i="671"/>
  <c r="K17" i="671"/>
  <c r="F17" i="671"/>
  <c r="E17" i="671"/>
  <c r="D17" i="671"/>
  <c r="C17" i="671"/>
  <c r="N15" i="671"/>
  <c r="M15" i="671"/>
  <c r="L15" i="671"/>
  <c r="K15" i="671"/>
  <c r="F15" i="671"/>
  <c r="E15" i="671"/>
  <c r="D15" i="671"/>
  <c r="C15" i="671"/>
  <c r="N14" i="671"/>
  <c r="M14" i="671"/>
  <c r="L14" i="671"/>
  <c r="K14" i="671"/>
  <c r="F14" i="671"/>
  <c r="E14" i="671"/>
  <c r="D14" i="671"/>
  <c r="C14" i="671"/>
  <c r="N13" i="671"/>
  <c r="M13" i="671"/>
  <c r="L13" i="671"/>
  <c r="K13" i="671"/>
  <c r="F13" i="671"/>
  <c r="E13" i="671"/>
  <c r="D13" i="671"/>
  <c r="C13" i="671"/>
  <c r="N11" i="671"/>
  <c r="M11" i="671"/>
  <c r="L11" i="671"/>
  <c r="K11" i="671"/>
  <c r="F11" i="671"/>
  <c r="E11" i="671"/>
  <c r="D11" i="671"/>
  <c r="C11" i="671"/>
  <c r="O10" i="671"/>
  <c r="G10" i="671"/>
  <c r="O9" i="671"/>
  <c r="G9" i="671"/>
  <c r="O8" i="671"/>
  <c r="G8" i="671"/>
  <c r="O7" i="671"/>
  <c r="G7" i="671"/>
  <c r="O6" i="671"/>
  <c r="G6" i="671"/>
  <c r="O5" i="671"/>
  <c r="G5" i="671"/>
  <c r="L4" i="671"/>
  <c r="M4" i="671" s="1"/>
  <c r="N4" i="671" s="1"/>
  <c r="D4" i="671"/>
  <c r="E4" i="671" s="1"/>
  <c r="F4" i="671" s="1"/>
  <c r="F8" i="670"/>
  <c r="H12" i="668"/>
  <c r="H6" i="668"/>
  <c r="J4" i="668"/>
  <c r="E17" i="668"/>
  <c r="D17" i="668"/>
  <c r="C17" i="668"/>
  <c r="G11" i="671" l="1"/>
  <c r="O11" i="671"/>
  <c r="G13" i="671"/>
  <c r="O13" i="671"/>
  <c r="G14" i="671"/>
  <c r="O14" i="671"/>
  <c r="G15" i="671"/>
  <c r="O15" i="671"/>
  <c r="G17" i="671"/>
  <c r="O17" i="671"/>
  <c r="G18" i="671"/>
  <c r="O18" i="671"/>
  <c r="X7" i="671" l="1"/>
  <c r="X6" i="671"/>
  <c r="X9" i="671"/>
  <c r="U11" i="671"/>
  <c r="X8" i="671"/>
  <c r="V11" i="671"/>
  <c r="K8" i="670"/>
  <c r="X5" i="671"/>
  <c r="T11" i="671"/>
  <c r="W11" i="671"/>
  <c r="X10" i="671"/>
  <c r="V15" i="671"/>
  <c r="V14" i="671"/>
  <c r="V13" i="671"/>
  <c r="U15" i="671"/>
  <c r="U14" i="671"/>
  <c r="U13" i="671"/>
  <c r="W14" i="671"/>
  <c r="T15" i="671"/>
  <c r="T14" i="671"/>
  <c r="T13" i="671"/>
  <c r="W15" i="671"/>
  <c r="W13" i="671"/>
  <c r="V18" i="671"/>
  <c r="V17" i="671"/>
  <c r="W17" i="671"/>
  <c r="U18" i="671"/>
  <c r="U17" i="671"/>
  <c r="W18" i="671"/>
  <c r="T18" i="671"/>
  <c r="T17" i="671"/>
  <c r="H8" i="670"/>
  <c r="L5" i="670"/>
  <c r="I8" i="670"/>
  <c r="J8" i="670"/>
  <c r="L7" i="670"/>
  <c r="L6" i="670"/>
  <c r="X18" i="671" l="1"/>
  <c r="X14" i="671"/>
  <c r="X15" i="671"/>
  <c r="X11" i="671"/>
  <c r="X13" i="671"/>
  <c r="X17" i="671"/>
  <c r="L8" i="670"/>
  <c r="X8" i="388" l="1"/>
  <c r="T14" i="619"/>
  <c r="U14" i="619"/>
  <c r="V14" i="619"/>
  <c r="S14" i="619"/>
  <c r="T8" i="619"/>
  <c r="R14" i="620"/>
  <c r="S14" i="620"/>
  <c r="Q14" i="620"/>
  <c r="R8" i="620"/>
  <c r="I5" i="619"/>
  <c r="F5" i="619"/>
  <c r="F6" i="619"/>
  <c r="F7" i="619"/>
  <c r="F8" i="619"/>
  <c r="F9" i="619"/>
  <c r="F10" i="619"/>
  <c r="F11" i="619"/>
  <c r="F12" i="619"/>
  <c r="F13" i="619"/>
  <c r="F14" i="619"/>
  <c r="F15" i="619"/>
  <c r="F16" i="619"/>
  <c r="F17" i="619"/>
  <c r="F18" i="619"/>
  <c r="F19" i="619"/>
  <c r="F4" i="619"/>
  <c r="F20" i="619" l="1"/>
  <c r="B20" i="619"/>
  <c r="N4" i="619" s="1"/>
  <c r="C20" i="619"/>
  <c r="O4" i="619" s="1"/>
  <c r="D20" i="619"/>
  <c r="P4" i="619" s="1"/>
  <c r="A20" i="619"/>
  <c r="D94" i="620"/>
  <c r="C94" i="620"/>
  <c r="E93" i="620"/>
  <c r="E92" i="620"/>
  <c r="E91" i="620"/>
  <c r="E90" i="620"/>
  <c r="E89" i="620"/>
  <c r="E88" i="620"/>
  <c r="E87" i="620"/>
  <c r="E86" i="620"/>
  <c r="E85" i="620"/>
  <c r="E84" i="620"/>
  <c r="E83" i="620"/>
  <c r="E82" i="620"/>
  <c r="E81" i="620"/>
  <c r="E80" i="620"/>
  <c r="E79" i="620"/>
  <c r="E78" i="620"/>
  <c r="E77" i="620"/>
  <c r="E76" i="620"/>
  <c r="H75" i="620"/>
  <c r="E75" i="620"/>
  <c r="A75" i="620"/>
  <c r="A76" i="620" s="1"/>
  <c r="A77" i="620" s="1"/>
  <c r="A78" i="620" s="1"/>
  <c r="A79" i="620" s="1"/>
  <c r="A80" i="620" s="1"/>
  <c r="A81" i="620" s="1"/>
  <c r="A82" i="620" s="1"/>
  <c r="A83" i="620" s="1"/>
  <c r="A84" i="620" s="1"/>
  <c r="A85" i="620" s="1"/>
  <c r="A86" i="620" s="1"/>
  <c r="A87" i="620" s="1"/>
  <c r="A88" i="620" s="1"/>
  <c r="A89" i="620" s="1"/>
  <c r="A90" i="620" s="1"/>
  <c r="A91" i="620" s="1"/>
  <c r="A92" i="620" s="1"/>
  <c r="A93" i="620" s="1"/>
  <c r="H74" i="620"/>
  <c r="H76" i="620" s="1"/>
  <c r="E74" i="620"/>
  <c r="D71" i="620"/>
  <c r="B71" i="620"/>
  <c r="E70" i="620"/>
  <c r="E69" i="620"/>
  <c r="E68" i="620"/>
  <c r="E67" i="620"/>
  <c r="E66" i="620"/>
  <c r="E65" i="620"/>
  <c r="E64" i="620"/>
  <c r="E63" i="620"/>
  <c r="E62" i="620"/>
  <c r="E61" i="620"/>
  <c r="E60" i="620"/>
  <c r="E59" i="620"/>
  <c r="E58" i="620"/>
  <c r="E57" i="620"/>
  <c r="E56" i="620"/>
  <c r="E55" i="620"/>
  <c r="E54" i="620"/>
  <c r="E53" i="620"/>
  <c r="H52" i="620"/>
  <c r="E52" i="620"/>
  <c r="A52" i="620"/>
  <c r="A53" i="620" s="1"/>
  <c r="A54" i="620" s="1"/>
  <c r="A55" i="620" s="1"/>
  <c r="A56" i="620" s="1"/>
  <c r="A57" i="620" s="1"/>
  <c r="A58" i="620" s="1"/>
  <c r="A59" i="620" s="1"/>
  <c r="A60" i="620" s="1"/>
  <c r="A61" i="620" s="1"/>
  <c r="A62" i="620" s="1"/>
  <c r="A63" i="620" s="1"/>
  <c r="A64" i="620" s="1"/>
  <c r="A65" i="620" s="1"/>
  <c r="A66" i="620" s="1"/>
  <c r="A67" i="620" s="1"/>
  <c r="A68" i="620" s="1"/>
  <c r="A69" i="620" s="1"/>
  <c r="A70" i="620" s="1"/>
  <c r="H51" i="620"/>
  <c r="H53" i="620" s="1"/>
  <c r="E51" i="620"/>
  <c r="C48" i="620"/>
  <c r="B48" i="620"/>
  <c r="E47" i="620"/>
  <c r="E46" i="620"/>
  <c r="E45" i="620"/>
  <c r="E44" i="620"/>
  <c r="E43" i="620"/>
  <c r="E42" i="620"/>
  <c r="E41" i="620"/>
  <c r="E40" i="620"/>
  <c r="E39" i="620"/>
  <c r="E38" i="620"/>
  <c r="E37" i="620"/>
  <c r="E36" i="620"/>
  <c r="E35" i="620"/>
  <c r="E34" i="620"/>
  <c r="E33" i="620"/>
  <c r="E32" i="620"/>
  <c r="E31" i="620"/>
  <c r="E30" i="620"/>
  <c r="H29" i="620"/>
  <c r="E29" i="620"/>
  <c r="A29" i="620"/>
  <c r="A30" i="620" s="1"/>
  <c r="A31" i="620" s="1"/>
  <c r="A32" i="620" s="1"/>
  <c r="A33" i="620" s="1"/>
  <c r="A34" i="620" s="1"/>
  <c r="A35" i="620" s="1"/>
  <c r="A36" i="620" s="1"/>
  <c r="A37" i="620" s="1"/>
  <c r="A38" i="620" s="1"/>
  <c r="A39" i="620" s="1"/>
  <c r="A40" i="620" s="1"/>
  <c r="A41" i="620" s="1"/>
  <c r="A42" i="620" s="1"/>
  <c r="A43" i="620" s="1"/>
  <c r="A44" i="620" s="1"/>
  <c r="A45" i="620" s="1"/>
  <c r="A46" i="620" s="1"/>
  <c r="A47" i="620" s="1"/>
  <c r="H28" i="620"/>
  <c r="H30" i="620" s="1"/>
  <c r="E28" i="620"/>
  <c r="D24" i="620"/>
  <c r="C24" i="620"/>
  <c r="B24" i="620"/>
  <c r="E23" i="620"/>
  <c r="E22" i="620"/>
  <c r="E21" i="620"/>
  <c r="E20" i="620"/>
  <c r="E19" i="620"/>
  <c r="E18" i="620"/>
  <c r="E17" i="620"/>
  <c r="E16" i="620"/>
  <c r="E15" i="620"/>
  <c r="E14" i="620"/>
  <c r="E13" i="620"/>
  <c r="E12" i="620"/>
  <c r="E11" i="620"/>
  <c r="E10" i="620"/>
  <c r="E9" i="620"/>
  <c r="E8" i="620"/>
  <c r="E7" i="620"/>
  <c r="E6" i="620"/>
  <c r="H5" i="620"/>
  <c r="E5" i="620"/>
  <c r="A5" i="620"/>
  <c r="A6" i="620" s="1"/>
  <c r="A7" i="620" s="1"/>
  <c r="A8" i="620" s="1"/>
  <c r="A9" i="620" s="1"/>
  <c r="A10" i="620" s="1"/>
  <c r="A11" i="620" s="1"/>
  <c r="A12" i="620" s="1"/>
  <c r="A13" i="620" s="1"/>
  <c r="A14" i="620" s="1"/>
  <c r="A15" i="620" s="1"/>
  <c r="A16" i="620" s="1"/>
  <c r="A17" i="620" s="1"/>
  <c r="A18" i="620" s="1"/>
  <c r="A19" i="620" s="1"/>
  <c r="A20" i="620" s="1"/>
  <c r="A21" i="620" s="1"/>
  <c r="A22" i="620" s="1"/>
  <c r="A23" i="620" s="1"/>
  <c r="H4" i="620"/>
  <c r="H6" i="620" s="1"/>
  <c r="E4" i="620"/>
  <c r="I4" i="619"/>
  <c r="I6" i="619" s="1"/>
  <c r="E48" i="620" l="1"/>
  <c r="H31" i="620" s="1"/>
  <c r="H33" i="620" s="1"/>
  <c r="H35" i="620" s="1"/>
  <c r="E94" i="620"/>
  <c r="H77" i="620" s="1"/>
  <c r="H79" i="620" s="1"/>
  <c r="H81" i="620" s="1"/>
  <c r="E71" i="620"/>
  <c r="H54" i="620" s="1"/>
  <c r="H56" i="620" s="1"/>
  <c r="H58" i="620" s="1"/>
  <c r="E24" i="620"/>
  <c r="H7" i="620" s="1"/>
  <c r="H9" i="620" s="1"/>
  <c r="H11" i="620" s="1"/>
  <c r="L4" i="620"/>
  <c r="M4" i="619"/>
  <c r="E20" i="619"/>
  <c r="I7" i="619" s="1"/>
  <c r="I9" i="619" s="1"/>
  <c r="I11" i="619" s="1"/>
  <c r="M4" i="620"/>
  <c r="N4" i="620"/>
  <c r="I10" i="619"/>
  <c r="H34" i="620"/>
  <c r="H80" i="620"/>
  <c r="H10" i="620"/>
  <c r="H57" i="620"/>
  <c r="J24" i="601" l="1"/>
  <c r="O11" i="601" s="1"/>
  <c r="H24" i="601"/>
  <c r="I24" i="601"/>
  <c r="G24" i="601"/>
  <c r="J23" i="601"/>
  <c r="H23" i="601"/>
  <c r="I23" i="601"/>
  <c r="G23" i="601"/>
  <c r="F23" i="601"/>
  <c r="J22" i="601"/>
  <c r="H22" i="601"/>
  <c r="I22" i="601"/>
  <c r="G22" i="601"/>
  <c r="F22" i="601"/>
  <c r="J21" i="601"/>
  <c r="H21" i="601"/>
  <c r="I21" i="601"/>
  <c r="G21" i="601"/>
  <c r="F21" i="601"/>
  <c r="H20" i="601"/>
  <c r="I20" i="601"/>
  <c r="G20" i="601"/>
  <c r="J17" i="601"/>
  <c r="H17" i="601"/>
  <c r="I17" i="601"/>
  <c r="G17" i="601"/>
  <c r="J16" i="601"/>
  <c r="H16" i="601"/>
  <c r="I16" i="601"/>
  <c r="G16" i="601"/>
  <c r="F16" i="601"/>
  <c r="J15" i="601"/>
  <c r="H15" i="601"/>
  <c r="I15" i="601"/>
  <c r="G15" i="601"/>
  <c r="F15" i="601"/>
  <c r="J14" i="601"/>
  <c r="H14" i="601"/>
  <c r="I14" i="601"/>
  <c r="G14" i="601"/>
  <c r="F14" i="601"/>
  <c r="H13" i="601"/>
  <c r="I13" i="601"/>
  <c r="G13" i="601"/>
  <c r="J10" i="601"/>
  <c r="N11" i="601" s="1"/>
  <c r="N20" i="601" s="1"/>
  <c r="H10" i="601"/>
  <c r="I10" i="601"/>
  <c r="G10" i="601"/>
  <c r="J9" i="601"/>
  <c r="H9" i="601"/>
  <c r="I9" i="601"/>
  <c r="G9" i="601"/>
  <c r="F9" i="601"/>
  <c r="J8" i="601"/>
  <c r="H8" i="601"/>
  <c r="I8" i="601"/>
  <c r="G8" i="601"/>
  <c r="F8" i="601"/>
  <c r="J7" i="601"/>
  <c r="H7" i="601"/>
  <c r="I7" i="601"/>
  <c r="G7" i="601"/>
  <c r="F7" i="601"/>
  <c r="H6" i="601"/>
  <c r="I6" i="601"/>
  <c r="G6" i="601"/>
  <c r="H41" i="592"/>
  <c r="G41" i="592"/>
  <c r="K35" i="592"/>
  <c r="J35" i="592"/>
  <c r="I35" i="592"/>
  <c r="H35" i="592"/>
  <c r="G35" i="592"/>
  <c r="F35" i="592"/>
  <c r="K34" i="592"/>
  <c r="J34" i="592"/>
  <c r="I34" i="592"/>
  <c r="H34" i="592"/>
  <c r="G34" i="592"/>
  <c r="F34" i="592"/>
  <c r="K33" i="592"/>
  <c r="J33" i="592"/>
  <c r="I33" i="592"/>
  <c r="H33" i="592"/>
  <c r="G33" i="592"/>
  <c r="F33" i="592"/>
  <c r="Y47" i="592"/>
  <c r="Y48" i="592"/>
  <c r="Y49" i="592"/>
  <c r="Y50" i="592"/>
  <c r="Y46" i="592"/>
  <c r="X47" i="592"/>
  <c r="X48" i="592"/>
  <c r="X49" i="592"/>
  <c r="X50" i="592"/>
  <c r="X46" i="592"/>
  <c r="W47" i="592"/>
  <c r="W48" i="592"/>
  <c r="W49" i="592"/>
  <c r="W50" i="592"/>
  <c r="W46" i="592"/>
  <c r="Y42" i="592"/>
  <c r="Y43" i="592"/>
  <c r="Y44" i="592"/>
  <c r="Y45" i="592"/>
  <c r="Y41" i="592"/>
  <c r="X42" i="592"/>
  <c r="X43" i="592"/>
  <c r="X44" i="592"/>
  <c r="X45" i="592"/>
  <c r="X41" i="592"/>
  <c r="W42" i="592"/>
  <c r="W43" i="592"/>
  <c r="W44" i="592"/>
  <c r="W45" i="592"/>
  <c r="W41" i="592"/>
  <c r="Y37" i="592"/>
  <c r="Y38" i="592"/>
  <c r="Y39" i="592"/>
  <c r="Y40" i="592"/>
  <c r="Y36" i="592"/>
  <c r="X37" i="592"/>
  <c r="X38" i="592"/>
  <c r="X39" i="592"/>
  <c r="X40" i="592"/>
  <c r="X36" i="592"/>
  <c r="W37" i="592"/>
  <c r="W38" i="592"/>
  <c r="W39" i="592"/>
  <c r="W40" i="592"/>
  <c r="W36" i="592"/>
  <c r="Y32" i="592"/>
  <c r="Y33" i="592"/>
  <c r="Y34" i="592"/>
  <c r="Y35" i="592"/>
  <c r="Y31" i="592"/>
  <c r="X32" i="592"/>
  <c r="X33" i="592"/>
  <c r="X34" i="592"/>
  <c r="X35" i="592"/>
  <c r="X31" i="592"/>
  <c r="W32" i="592"/>
  <c r="W33" i="592"/>
  <c r="W34" i="592"/>
  <c r="W35" i="592"/>
  <c r="W31" i="592"/>
  <c r="Y30" i="592"/>
  <c r="X30" i="592"/>
  <c r="W30" i="592"/>
  <c r="V46" i="592"/>
  <c r="V41" i="592"/>
  <c r="V36" i="592"/>
  <c r="V31" i="592"/>
  <c r="L22" i="600"/>
  <c r="Q9" i="600" s="1"/>
  <c r="I22" i="600"/>
  <c r="J22" i="600"/>
  <c r="K22" i="600"/>
  <c r="H22" i="600"/>
  <c r="L21" i="600"/>
  <c r="I21" i="600"/>
  <c r="J21" i="600"/>
  <c r="K21" i="600"/>
  <c r="H21" i="600"/>
  <c r="G21" i="600"/>
  <c r="L20" i="600"/>
  <c r="I20" i="600"/>
  <c r="J20" i="600"/>
  <c r="K20" i="600"/>
  <c r="H20" i="600"/>
  <c r="G20" i="600"/>
  <c r="L19" i="600"/>
  <c r="I19" i="600"/>
  <c r="J19" i="600"/>
  <c r="K19" i="600"/>
  <c r="H19" i="600"/>
  <c r="G19" i="600"/>
  <c r="I18" i="600"/>
  <c r="J18" i="600"/>
  <c r="K18" i="600"/>
  <c r="H18" i="600"/>
  <c r="L15" i="600"/>
  <c r="I15" i="600"/>
  <c r="J15" i="600"/>
  <c r="K15" i="600"/>
  <c r="H15" i="600"/>
  <c r="L14" i="600"/>
  <c r="I14" i="600"/>
  <c r="J14" i="600"/>
  <c r="K14" i="600"/>
  <c r="H14" i="600"/>
  <c r="G14" i="600"/>
  <c r="L13" i="600"/>
  <c r="I13" i="600"/>
  <c r="J13" i="600"/>
  <c r="K13" i="600"/>
  <c r="H13" i="600"/>
  <c r="G13" i="600"/>
  <c r="L12" i="600"/>
  <c r="I12" i="600"/>
  <c r="J12" i="600"/>
  <c r="K12" i="600"/>
  <c r="H12" i="600"/>
  <c r="G12" i="600"/>
  <c r="I11" i="600"/>
  <c r="J11" i="600"/>
  <c r="K11" i="600"/>
  <c r="H11" i="600"/>
  <c r="L8" i="600"/>
  <c r="P9" i="600" s="1"/>
  <c r="I8" i="600"/>
  <c r="J8" i="600"/>
  <c r="K8" i="600"/>
  <c r="H8" i="600"/>
  <c r="L7" i="600"/>
  <c r="I7" i="600"/>
  <c r="J7" i="600"/>
  <c r="K7" i="600"/>
  <c r="H7" i="600"/>
  <c r="G7" i="600"/>
  <c r="L6" i="600"/>
  <c r="I6" i="600"/>
  <c r="J6" i="600"/>
  <c r="K6" i="600"/>
  <c r="H6" i="600"/>
  <c r="G6" i="600"/>
  <c r="L5" i="600"/>
  <c r="I5" i="600"/>
  <c r="J5" i="600"/>
  <c r="K5" i="600"/>
  <c r="H5" i="600"/>
  <c r="G5" i="600"/>
  <c r="I4" i="600"/>
  <c r="J4" i="600"/>
  <c r="K4" i="600"/>
  <c r="H4" i="600"/>
  <c r="I41" i="592" l="1"/>
  <c r="M8" i="601"/>
  <c r="M10" i="601"/>
  <c r="M19" i="601" s="1"/>
  <c r="P5" i="600"/>
  <c r="N8" i="601"/>
  <c r="G40" i="592"/>
  <c r="G39" i="592" s="1"/>
  <c r="M7" i="601"/>
  <c r="O5" i="600"/>
  <c r="Q5" i="600" s="1"/>
  <c r="N7" i="601"/>
  <c r="N9" i="601" s="1"/>
  <c r="N10" i="601" s="1"/>
  <c r="P6" i="600"/>
  <c r="O8" i="600"/>
  <c r="O6" i="600"/>
  <c r="H39" i="592"/>
  <c r="H40" i="592" s="1"/>
  <c r="H3" i="600"/>
  <c r="G5" i="601"/>
  <c r="M11" i="601"/>
  <c r="O9" i="600"/>
  <c r="I40" i="592" l="1"/>
  <c r="L34" i="592" s="1"/>
  <c r="N34" i="592" s="1"/>
  <c r="O8" i="601"/>
  <c r="I39" i="592"/>
  <c r="J39" i="592" s="1"/>
  <c r="K39" i="592" s="1"/>
  <c r="O7" i="601"/>
  <c r="M17" i="601"/>
  <c r="P7" i="600"/>
  <c r="P8" i="600" s="1"/>
  <c r="Q8" i="600" s="1"/>
  <c r="N39" i="592"/>
  <c r="Q6" i="600"/>
  <c r="N17" i="601"/>
  <c r="O7" i="600"/>
  <c r="L39" i="592"/>
  <c r="N19" i="601"/>
  <c r="O19" i="601" s="1"/>
  <c r="O10" i="601"/>
  <c r="N18" i="601"/>
  <c r="M9" i="601"/>
  <c r="M20" i="601"/>
  <c r="O20" i="601" s="1"/>
  <c r="L35" i="592" l="1"/>
  <c r="N35" i="592" s="1"/>
  <c r="M34" i="592"/>
  <c r="M39" i="592"/>
  <c r="P8" i="601"/>
  <c r="Q8" i="601" s="1"/>
  <c r="R8" i="601" s="1"/>
  <c r="L33" i="592"/>
  <c r="M33" i="592" s="1"/>
  <c r="Q7" i="600"/>
  <c r="R6" i="600" s="1"/>
  <c r="S6" i="600" s="1"/>
  <c r="T6" i="600" s="1"/>
  <c r="O17" i="601"/>
  <c r="O9" i="601"/>
  <c r="P9" i="601" s="1"/>
  <c r="Q9" i="601" s="1"/>
  <c r="R9" i="601" s="1"/>
  <c r="M18" i="601"/>
  <c r="O18" i="601" s="1"/>
  <c r="P18" i="601" s="1"/>
  <c r="Q18" i="601" s="1"/>
  <c r="R18" i="601" s="1"/>
  <c r="P7" i="601"/>
  <c r="Q7" i="601" s="1"/>
  <c r="R7" i="601" s="1"/>
  <c r="J24" i="599"/>
  <c r="O10" i="599" s="1"/>
  <c r="H24" i="599"/>
  <c r="I24" i="599"/>
  <c r="G24" i="599"/>
  <c r="J23" i="599"/>
  <c r="H23" i="599"/>
  <c r="I23" i="599"/>
  <c r="G23" i="599"/>
  <c r="F23" i="599"/>
  <c r="J22" i="599"/>
  <c r="H22" i="599"/>
  <c r="I22" i="599"/>
  <c r="G22" i="599"/>
  <c r="F22" i="599"/>
  <c r="J21" i="599"/>
  <c r="H21" i="599"/>
  <c r="I21" i="599"/>
  <c r="G21" i="599"/>
  <c r="F21" i="599"/>
  <c r="H20" i="599"/>
  <c r="I20" i="599"/>
  <c r="G20" i="599"/>
  <c r="J17" i="599"/>
  <c r="H17" i="599"/>
  <c r="I17" i="599"/>
  <c r="G17" i="599"/>
  <c r="J16" i="599"/>
  <c r="H16" i="599"/>
  <c r="I16" i="599"/>
  <c r="G16" i="599"/>
  <c r="F16" i="599"/>
  <c r="J15" i="599"/>
  <c r="H15" i="599"/>
  <c r="I15" i="599"/>
  <c r="G15" i="599"/>
  <c r="F15" i="599"/>
  <c r="J14" i="599"/>
  <c r="H14" i="599"/>
  <c r="I14" i="599"/>
  <c r="G14" i="599"/>
  <c r="F14" i="599"/>
  <c r="H13" i="599"/>
  <c r="I13" i="599"/>
  <c r="G13" i="599"/>
  <c r="J10" i="599"/>
  <c r="N10" i="599" s="1"/>
  <c r="H10" i="599"/>
  <c r="I10" i="599"/>
  <c r="G10" i="599"/>
  <c r="J9" i="599"/>
  <c r="H9" i="599"/>
  <c r="I9" i="599"/>
  <c r="G9" i="599"/>
  <c r="F9" i="599"/>
  <c r="J8" i="599"/>
  <c r="H8" i="599"/>
  <c r="I8" i="599"/>
  <c r="G8" i="599"/>
  <c r="F8" i="599"/>
  <c r="J7" i="599"/>
  <c r="H7" i="599"/>
  <c r="I7" i="599"/>
  <c r="G7" i="599"/>
  <c r="F7" i="599"/>
  <c r="H6" i="599"/>
  <c r="I6" i="599"/>
  <c r="G6" i="599"/>
  <c r="N33" i="592" l="1"/>
  <c r="R7" i="600"/>
  <c r="S7" i="600" s="1"/>
  <c r="T7" i="600" s="1"/>
  <c r="M35" i="592"/>
  <c r="R5" i="600"/>
  <c r="S5" i="600" s="1"/>
  <c r="T5" i="600" s="1"/>
  <c r="N7" i="599"/>
  <c r="N8" i="599" s="1"/>
  <c r="M7" i="599"/>
  <c r="G5" i="599"/>
  <c r="M10" i="599"/>
  <c r="M9" i="599"/>
  <c r="P17" i="601"/>
  <c r="N9" i="599" l="1"/>
  <c r="O9" i="599" s="1"/>
  <c r="M8" i="599"/>
  <c r="O8" i="599" s="1"/>
  <c r="O7" i="599"/>
  <c r="Q17" i="601"/>
  <c r="R17" i="601" s="1"/>
  <c r="P7" i="599" l="1"/>
  <c r="Q7" i="599" s="1"/>
  <c r="R7" i="599" s="1"/>
  <c r="P8" i="599"/>
  <c r="Q8" i="599" s="1"/>
  <c r="R8" i="599" s="1"/>
  <c r="S6" i="595" l="1"/>
  <c r="T6" i="595"/>
  <c r="U6" i="595"/>
  <c r="V6" i="595"/>
  <c r="R6" i="595"/>
  <c r="H23" i="595"/>
  <c r="I15" i="595"/>
  <c r="H15" i="595"/>
  <c r="L9" i="595"/>
  <c r="K9" i="595"/>
  <c r="J9" i="595"/>
  <c r="I9" i="595"/>
  <c r="H9" i="595"/>
  <c r="G9" i="595"/>
  <c r="L8" i="595"/>
  <c r="K8" i="595"/>
  <c r="J8" i="595"/>
  <c r="I8" i="595"/>
  <c r="H8" i="595"/>
  <c r="G8" i="595"/>
  <c r="L7" i="595"/>
  <c r="K7" i="595"/>
  <c r="J7" i="595"/>
  <c r="I7" i="595"/>
  <c r="H7" i="595"/>
  <c r="G7" i="595"/>
  <c r="L6" i="595"/>
  <c r="K6" i="595"/>
  <c r="J6" i="595"/>
  <c r="I6" i="595"/>
  <c r="H6" i="595"/>
  <c r="G6" i="595"/>
  <c r="L5" i="595"/>
  <c r="K5" i="595"/>
  <c r="J5" i="595"/>
  <c r="I5" i="595"/>
  <c r="H5" i="595"/>
  <c r="G5" i="595"/>
  <c r="I13" i="595" l="1"/>
  <c r="J23" i="595" s="1"/>
  <c r="H14" i="595"/>
  <c r="H13" i="595" s="1"/>
  <c r="J15" i="595"/>
  <c r="J17" i="594"/>
  <c r="I17" i="594"/>
  <c r="H17" i="594"/>
  <c r="G17" i="594"/>
  <c r="E17" i="594"/>
  <c r="D17" i="594"/>
  <c r="C17" i="594"/>
  <c r="B17" i="594"/>
  <c r="J16" i="594"/>
  <c r="I16" i="594"/>
  <c r="H16" i="594"/>
  <c r="G16" i="594"/>
  <c r="E16" i="594"/>
  <c r="D16" i="594"/>
  <c r="C16" i="594"/>
  <c r="B16" i="594"/>
  <c r="V10" i="595" l="1"/>
  <c r="R9" i="620"/>
  <c r="R10" i="620" s="1"/>
  <c r="X9" i="388"/>
  <c r="X10" i="388" s="1"/>
  <c r="S10" i="595"/>
  <c r="U10" i="595"/>
  <c r="T9" i="619"/>
  <c r="T10" i="619" s="1"/>
  <c r="T10" i="595"/>
  <c r="J22" i="597"/>
  <c r="M20" i="597"/>
  <c r="N16" i="597"/>
  <c r="J16" i="597"/>
  <c r="L14" i="597"/>
  <c r="K14" i="597"/>
  <c r="L15" i="597"/>
  <c r="L20" i="597"/>
  <c r="M21" i="597"/>
  <c r="L23" i="597"/>
  <c r="M15" i="597"/>
  <c r="J7" i="597"/>
  <c r="N22" i="597"/>
  <c r="K20" i="597"/>
  <c r="R10" i="595"/>
  <c r="L6" i="597"/>
  <c r="I14" i="595"/>
  <c r="I20" i="595" s="1"/>
  <c r="J13" i="595"/>
  <c r="I23" i="595" s="1"/>
  <c r="M22" i="597" l="1"/>
  <c r="J14" i="597"/>
  <c r="J21" i="597"/>
  <c r="J8" i="597"/>
  <c r="L7" i="597"/>
  <c r="M9" i="597"/>
  <c r="K8" i="597"/>
  <c r="L17" i="597"/>
  <c r="J15" i="597"/>
  <c r="L22" i="597"/>
  <c r="J9" i="597"/>
  <c r="L13" i="597"/>
  <c r="M8" i="597"/>
  <c r="L24" i="597"/>
  <c r="J23" i="597"/>
  <c r="L21" i="597"/>
  <c r="M6" i="597"/>
  <c r="M17" i="597"/>
  <c r="K6" i="597"/>
  <c r="M14" i="597"/>
  <c r="M13" i="597"/>
  <c r="N14" i="597"/>
  <c r="N10" i="597"/>
  <c r="R10" i="597" s="1"/>
  <c r="L10" i="597"/>
  <c r="K7" i="597"/>
  <c r="M7" i="597"/>
  <c r="K15" i="597"/>
  <c r="K23" i="597"/>
  <c r="M23" i="597"/>
  <c r="L9" i="597"/>
  <c r="K13" i="597"/>
  <c r="N23" i="597"/>
  <c r="M16" i="597"/>
  <c r="K10" i="597"/>
  <c r="N7" i="597"/>
  <c r="K21" i="597"/>
  <c r="M10" i="597"/>
  <c r="L16" i="597"/>
  <c r="N8" i="597"/>
  <c r="N15" i="597"/>
  <c r="K16" i="597"/>
  <c r="N9" i="597"/>
  <c r="K17" i="597"/>
  <c r="K24" i="597"/>
  <c r="N24" i="597"/>
  <c r="S10" i="597" s="1"/>
  <c r="M24" i="597"/>
  <c r="K22" i="597"/>
  <c r="K9" i="597"/>
  <c r="N21" i="597"/>
  <c r="N17" i="597"/>
  <c r="L8" i="597"/>
  <c r="M13" i="595"/>
  <c r="J14" i="595"/>
  <c r="K13" i="595" s="1"/>
  <c r="L13" i="595" s="1"/>
  <c r="Q10" i="597" l="1"/>
  <c r="Q9" i="597"/>
  <c r="R7" i="597"/>
  <c r="R8" i="597" s="1"/>
  <c r="R9" i="597" s="1"/>
  <c r="K5" i="597"/>
  <c r="Q7" i="597"/>
  <c r="M6" i="595"/>
  <c r="N6" i="595" s="1"/>
  <c r="O13" i="595"/>
  <c r="M7" i="595"/>
  <c r="O7" i="595" s="1"/>
  <c r="M9" i="595"/>
  <c r="N9" i="595" s="1"/>
  <c r="N13" i="595"/>
  <c r="M5" i="595"/>
  <c r="O5" i="595" s="1"/>
  <c r="H19" i="595"/>
  <c r="M8" i="595"/>
  <c r="O8" i="595" s="1"/>
  <c r="H20" i="595"/>
  <c r="M20" i="595" s="1"/>
  <c r="O6" i="595"/>
  <c r="S9" i="597" l="1"/>
  <c r="S7" i="597"/>
  <c r="Q8" i="597"/>
  <c r="S8" i="597" s="1"/>
  <c r="N7" i="595"/>
  <c r="L20" i="595"/>
  <c r="O9" i="595"/>
  <c r="N5" i="595"/>
  <c r="I19" i="595"/>
  <c r="N8" i="595"/>
  <c r="L24" i="592"/>
  <c r="Q11" i="592" s="1"/>
  <c r="I24" i="592"/>
  <c r="J24" i="592"/>
  <c r="K24" i="592"/>
  <c r="H24" i="592"/>
  <c r="L23" i="592"/>
  <c r="I23" i="592"/>
  <c r="J23" i="592"/>
  <c r="K23" i="592"/>
  <c r="H23" i="592"/>
  <c r="G23" i="592"/>
  <c r="L22" i="592"/>
  <c r="I22" i="592"/>
  <c r="J22" i="592"/>
  <c r="K22" i="592"/>
  <c r="H22" i="592"/>
  <c r="G22" i="592"/>
  <c r="L21" i="592"/>
  <c r="I21" i="592"/>
  <c r="J21" i="592"/>
  <c r="K21" i="592"/>
  <c r="H21" i="592"/>
  <c r="G21" i="592"/>
  <c r="I20" i="592"/>
  <c r="J20" i="592"/>
  <c r="K20" i="592"/>
  <c r="H20" i="592"/>
  <c r="L17" i="592"/>
  <c r="I17" i="592"/>
  <c r="J17" i="592"/>
  <c r="K17" i="592"/>
  <c r="H17" i="592"/>
  <c r="L16" i="592"/>
  <c r="I16" i="592"/>
  <c r="J16" i="592"/>
  <c r="K16" i="592"/>
  <c r="H16" i="592"/>
  <c r="G16" i="592"/>
  <c r="L15" i="592"/>
  <c r="I15" i="592"/>
  <c r="J15" i="592"/>
  <c r="K15" i="592"/>
  <c r="H15" i="592"/>
  <c r="G15" i="592"/>
  <c r="L14" i="592"/>
  <c r="I14" i="592"/>
  <c r="J14" i="592"/>
  <c r="K14" i="592"/>
  <c r="H14" i="592"/>
  <c r="G14" i="592"/>
  <c r="I13" i="592"/>
  <c r="J13" i="592"/>
  <c r="K13" i="592"/>
  <c r="H13" i="592"/>
  <c r="L10" i="592"/>
  <c r="P11" i="592" s="1"/>
  <c r="P21" i="592" s="1"/>
  <c r="I10" i="592"/>
  <c r="J10" i="592"/>
  <c r="K10" i="592"/>
  <c r="H10" i="592"/>
  <c r="L9" i="592"/>
  <c r="I9" i="592"/>
  <c r="J9" i="592"/>
  <c r="K9" i="592"/>
  <c r="H9" i="592"/>
  <c r="G9" i="592"/>
  <c r="L8" i="592"/>
  <c r="I8" i="592"/>
  <c r="J8" i="592"/>
  <c r="K8" i="592"/>
  <c r="H8" i="592"/>
  <c r="G8" i="592"/>
  <c r="L7" i="592"/>
  <c r="I7" i="592"/>
  <c r="J7" i="592"/>
  <c r="K7" i="592"/>
  <c r="H7" i="592"/>
  <c r="G7" i="592"/>
  <c r="I6" i="592"/>
  <c r="J6" i="592"/>
  <c r="K6" i="592"/>
  <c r="H6" i="592"/>
  <c r="AE10" i="592"/>
  <c r="AF10" i="592"/>
  <c r="AG10" i="592"/>
  <c r="T8" i="597" l="1"/>
  <c r="U8" i="597" s="1"/>
  <c r="V8" i="597" s="1"/>
  <c r="T7" i="597"/>
  <c r="U7" i="597" s="1"/>
  <c r="V7" i="597" s="1"/>
  <c r="L19" i="595"/>
  <c r="M19" i="595"/>
  <c r="L23" i="595"/>
  <c r="K23" i="595"/>
  <c r="H5" i="592"/>
  <c r="O8" i="592"/>
  <c r="O18" i="592" s="1"/>
  <c r="O10" i="592"/>
  <c r="O20" i="592" s="1"/>
  <c r="O7" i="592"/>
  <c r="O17" i="592" s="1"/>
  <c r="P7" i="592"/>
  <c r="P17" i="592" s="1"/>
  <c r="P8" i="592"/>
  <c r="P18" i="592" s="1"/>
  <c r="O11" i="592"/>
  <c r="O21" i="592" s="1"/>
  <c r="Q21" i="592" s="1"/>
  <c r="Q18" i="592" l="1"/>
  <c r="Q17" i="592"/>
  <c r="Q8" i="592"/>
  <c r="P9" i="592"/>
  <c r="P19" i="592" s="1"/>
  <c r="Q7" i="592"/>
  <c r="O9" i="592"/>
  <c r="O19" i="592" s="1"/>
  <c r="Q19" i="592" l="1"/>
  <c r="R17" i="592" s="1"/>
  <c r="P10" i="592"/>
  <c r="Q9" i="592"/>
  <c r="R18" i="592" l="1"/>
  <c r="Q10" i="592"/>
  <c r="R7" i="592" s="1"/>
  <c r="S7" i="592" s="1"/>
  <c r="T7" i="592" s="1"/>
  <c r="P20" i="592"/>
  <c r="Q20" i="592" s="1"/>
  <c r="R19" i="592" s="1"/>
  <c r="S19" i="592" s="1"/>
  <c r="T19" i="592" s="1"/>
  <c r="S18" i="592" l="1"/>
  <c r="T18" i="592" s="1"/>
  <c r="R9" i="592"/>
  <c r="S9" i="592" s="1"/>
  <c r="T9" i="592" s="1"/>
  <c r="R8" i="592"/>
  <c r="S8" i="592" s="1"/>
  <c r="T8" i="592" s="1"/>
  <c r="S17" i="592"/>
  <c r="T17" i="592" s="1"/>
  <c r="AD10" i="592"/>
  <c r="AC10" i="592"/>
  <c r="AB10" i="592"/>
  <c r="AA10" i="592"/>
  <c r="Z10" i="592"/>
  <c r="Y10" i="592"/>
  <c r="X10" i="592"/>
  <c r="W10" i="592"/>
  <c r="V10" i="592"/>
  <c r="O9" i="591"/>
  <c r="O8" i="591"/>
  <c r="O7" i="591"/>
  <c r="C15" i="591"/>
  <c r="I15" i="591"/>
  <c r="D15" i="591"/>
  <c r="H15" i="591"/>
  <c r="G15" i="591"/>
  <c r="B15" i="591"/>
  <c r="E15" i="591"/>
  <c r="F15" i="591"/>
  <c r="A15" i="591"/>
  <c r="N24" i="590"/>
  <c r="S14" i="590" s="1"/>
  <c r="J24" i="590"/>
  <c r="K24" i="590"/>
  <c r="L24" i="590"/>
  <c r="M24" i="590"/>
  <c r="I24" i="590"/>
  <c r="N23" i="590"/>
  <c r="J23" i="590"/>
  <c r="K23" i="590"/>
  <c r="L23" i="590"/>
  <c r="M23" i="590"/>
  <c r="I23" i="590"/>
  <c r="H23" i="590"/>
  <c r="N22" i="590"/>
  <c r="J22" i="590"/>
  <c r="K22" i="590"/>
  <c r="L22" i="590"/>
  <c r="M22" i="590"/>
  <c r="I22" i="590"/>
  <c r="H22" i="590"/>
  <c r="N21" i="590"/>
  <c r="J21" i="590"/>
  <c r="K21" i="590"/>
  <c r="L21" i="590"/>
  <c r="M21" i="590"/>
  <c r="I21" i="590"/>
  <c r="H21" i="590"/>
  <c r="J20" i="590"/>
  <c r="K20" i="590"/>
  <c r="L20" i="590"/>
  <c r="M20" i="590"/>
  <c r="I20" i="590"/>
  <c r="N17" i="590"/>
  <c r="J17" i="590"/>
  <c r="K17" i="590"/>
  <c r="L17" i="590"/>
  <c r="M17" i="590"/>
  <c r="I17" i="590"/>
  <c r="N16" i="590"/>
  <c r="J16" i="590"/>
  <c r="K16" i="590"/>
  <c r="L16" i="590"/>
  <c r="M16" i="590"/>
  <c r="I16" i="590"/>
  <c r="H16" i="590"/>
  <c r="N15" i="590"/>
  <c r="J15" i="590"/>
  <c r="K15" i="590"/>
  <c r="L15" i="590"/>
  <c r="M15" i="590"/>
  <c r="I15" i="590"/>
  <c r="H15" i="590"/>
  <c r="N14" i="590"/>
  <c r="J14" i="590"/>
  <c r="K14" i="590"/>
  <c r="L14" i="590"/>
  <c r="M14" i="590"/>
  <c r="I14" i="590"/>
  <c r="H14" i="590"/>
  <c r="J13" i="590"/>
  <c r="K13" i="590"/>
  <c r="L13" i="590"/>
  <c r="M13" i="590"/>
  <c r="I13" i="590"/>
  <c r="N10" i="590"/>
  <c r="R14" i="590" s="1"/>
  <c r="J10" i="590"/>
  <c r="K10" i="590"/>
  <c r="L10" i="590"/>
  <c r="M10" i="590"/>
  <c r="I10" i="590"/>
  <c r="R7" i="590" s="1"/>
  <c r="N9" i="590"/>
  <c r="J9" i="590"/>
  <c r="K9" i="590"/>
  <c r="L9" i="590"/>
  <c r="M9" i="590"/>
  <c r="I9" i="590"/>
  <c r="H9" i="590"/>
  <c r="N8" i="590"/>
  <c r="J8" i="590"/>
  <c r="K8" i="590"/>
  <c r="L8" i="590"/>
  <c r="M8" i="590"/>
  <c r="I8" i="590"/>
  <c r="H8" i="590"/>
  <c r="N7" i="590"/>
  <c r="J7" i="590"/>
  <c r="K7" i="590"/>
  <c r="L7" i="590"/>
  <c r="M7" i="590"/>
  <c r="I7" i="590"/>
  <c r="H7" i="590"/>
  <c r="J6" i="590"/>
  <c r="K6" i="590"/>
  <c r="L6" i="590"/>
  <c r="M6" i="590"/>
  <c r="I6" i="590"/>
  <c r="G6" i="589"/>
  <c r="H6" i="589"/>
  <c r="I6" i="589"/>
  <c r="J6" i="589"/>
  <c r="K6" i="589"/>
  <c r="H7" i="589"/>
  <c r="I7" i="589"/>
  <c r="J7" i="589"/>
  <c r="K7" i="589"/>
  <c r="H8" i="589"/>
  <c r="I8" i="589"/>
  <c r="J8" i="589"/>
  <c r="K8" i="589"/>
  <c r="H9" i="589"/>
  <c r="I9" i="589"/>
  <c r="J9" i="589"/>
  <c r="K9" i="589"/>
  <c r="H10" i="589"/>
  <c r="I10" i="589"/>
  <c r="J10" i="589"/>
  <c r="K10" i="589"/>
  <c r="H11" i="589"/>
  <c r="I11" i="589"/>
  <c r="J11" i="589"/>
  <c r="K11" i="589"/>
  <c r="H12" i="589"/>
  <c r="I12" i="589"/>
  <c r="J12" i="589"/>
  <c r="K12" i="589"/>
  <c r="H13" i="589"/>
  <c r="I13" i="589"/>
  <c r="J13" i="589"/>
  <c r="K13" i="589"/>
  <c r="H14" i="589"/>
  <c r="I14" i="589"/>
  <c r="J14" i="589"/>
  <c r="K14" i="589"/>
  <c r="H15" i="589"/>
  <c r="I15" i="589"/>
  <c r="J15" i="589"/>
  <c r="K15" i="589"/>
  <c r="H16" i="589"/>
  <c r="I16" i="589"/>
  <c r="J16" i="589"/>
  <c r="K16" i="589"/>
  <c r="H17" i="589"/>
  <c r="I17" i="589"/>
  <c r="J17" i="589"/>
  <c r="K17" i="589"/>
  <c r="H18" i="589"/>
  <c r="I18" i="589"/>
  <c r="J18" i="589"/>
  <c r="K18" i="589"/>
  <c r="H19" i="589"/>
  <c r="I19" i="589"/>
  <c r="J19" i="589"/>
  <c r="K19" i="589"/>
  <c r="H20" i="589"/>
  <c r="I20" i="589"/>
  <c r="J20" i="589"/>
  <c r="K20" i="589"/>
  <c r="H5" i="589"/>
  <c r="I5" i="589"/>
  <c r="J5" i="589"/>
  <c r="K5" i="589"/>
  <c r="G5" i="589"/>
  <c r="A5" i="589"/>
  <c r="A6" i="589" s="1"/>
  <c r="A7" i="589" s="1"/>
  <c r="A8" i="589" s="1"/>
  <c r="A9" i="589" s="1"/>
  <c r="A10" i="589" s="1"/>
  <c r="A11" i="589" s="1"/>
  <c r="A12" i="589" s="1"/>
  <c r="A13" i="589" s="1"/>
  <c r="A14" i="589" s="1"/>
  <c r="A15" i="589" s="1"/>
  <c r="A16" i="589" s="1"/>
  <c r="A17" i="589" s="1"/>
  <c r="A18" i="589" s="1"/>
  <c r="G20" i="589" s="1"/>
  <c r="Q8" i="590" l="1"/>
  <c r="K22" i="589"/>
  <c r="L20" i="589"/>
  <c r="L19" i="589"/>
  <c r="G13" i="589"/>
  <c r="L10" i="589"/>
  <c r="L18" i="589"/>
  <c r="L13" i="589"/>
  <c r="L12" i="589"/>
  <c r="L11" i="589"/>
  <c r="I22" i="589"/>
  <c r="L14" i="589"/>
  <c r="L9" i="589"/>
  <c r="G9" i="589"/>
  <c r="L8" i="589"/>
  <c r="L7" i="589"/>
  <c r="P5" i="589"/>
  <c r="R8" i="590"/>
  <c r="R11" i="590"/>
  <c r="L17" i="589"/>
  <c r="G17" i="589"/>
  <c r="L16" i="589"/>
  <c r="L15" i="589"/>
  <c r="J21" i="589"/>
  <c r="R10" i="590"/>
  <c r="Q14" i="590"/>
  <c r="G18" i="589"/>
  <c r="G14" i="589"/>
  <c r="G10" i="589"/>
  <c r="H21" i="589"/>
  <c r="I21" i="589"/>
  <c r="J22" i="589"/>
  <c r="Q13" i="591"/>
  <c r="L6" i="589"/>
  <c r="H22" i="589"/>
  <c r="G16" i="589"/>
  <c r="G12" i="589"/>
  <c r="G8" i="589"/>
  <c r="K21" i="589"/>
  <c r="P6" i="589"/>
  <c r="O8" i="589"/>
  <c r="I5" i="590"/>
  <c r="Q11" i="590"/>
  <c r="G19" i="589"/>
  <c r="G15" i="589"/>
  <c r="G11" i="589"/>
  <c r="G7" i="589"/>
  <c r="R9" i="590" l="1"/>
  <c r="V8" i="590" s="1"/>
  <c r="S8" i="590"/>
  <c r="R12" i="590"/>
  <c r="P8" i="589"/>
  <c r="P7" i="589" s="1"/>
  <c r="T5" i="589" s="1"/>
  <c r="O6" i="589"/>
  <c r="Q6" i="589" s="1"/>
  <c r="Q9" i="590"/>
  <c r="Q10" i="590"/>
  <c r="P17" i="589"/>
  <c r="O5" i="589"/>
  <c r="Q5" i="589" s="1"/>
  <c r="P12" i="589"/>
  <c r="Q25" i="590"/>
  <c r="Q19" i="590"/>
  <c r="S11" i="590"/>
  <c r="L22" i="589"/>
  <c r="L21" i="589"/>
  <c r="P15" i="591"/>
  <c r="R7" i="591"/>
  <c r="T7" i="591"/>
  <c r="Q7" i="591"/>
  <c r="P7" i="591"/>
  <c r="Q15" i="591"/>
  <c r="Q14" i="591" s="1"/>
  <c r="U13" i="591" s="1"/>
  <c r="S7" i="591"/>
  <c r="R9" i="591"/>
  <c r="Q9" i="591"/>
  <c r="T9" i="591"/>
  <c r="P9" i="591"/>
  <c r="S9" i="591"/>
  <c r="T8" i="591"/>
  <c r="P8" i="591"/>
  <c r="S8" i="591"/>
  <c r="R8" i="591"/>
  <c r="Q8" i="591"/>
  <c r="R19" i="590" l="1"/>
  <c r="S19" i="590" s="1"/>
  <c r="R25" i="590"/>
  <c r="S25" i="590" s="1"/>
  <c r="R26" i="590"/>
  <c r="P18" i="589"/>
  <c r="T17" i="589" s="1"/>
  <c r="R13" i="590"/>
  <c r="V12" i="590" s="1"/>
  <c r="P13" i="589"/>
  <c r="T12" i="589" s="1"/>
  <c r="T6" i="589"/>
  <c r="R20" i="590"/>
  <c r="O12" i="589"/>
  <c r="Q12" i="589" s="1"/>
  <c r="O17" i="589"/>
  <c r="Q17" i="589" s="1"/>
  <c r="P14" i="591"/>
  <c r="R14" i="591" s="1"/>
  <c r="V13" i="591" s="1"/>
  <c r="O7" i="589"/>
  <c r="S9" i="590"/>
  <c r="T8" i="590" s="1"/>
  <c r="U8" i="590" s="1"/>
  <c r="Q13" i="590"/>
  <c r="Q12" i="590" s="1"/>
  <c r="R15" i="591"/>
  <c r="V11" i="590" l="1"/>
  <c r="R21" i="590"/>
  <c r="R27" i="590"/>
  <c r="P13" i="591"/>
  <c r="R13" i="591" s="1"/>
  <c r="S13" i="591" s="1"/>
  <c r="T13" i="591" s="1"/>
  <c r="U7" i="591"/>
  <c r="W7" i="591" s="1"/>
  <c r="W13" i="591"/>
  <c r="U9" i="591"/>
  <c r="V9" i="591" s="1"/>
  <c r="U8" i="591"/>
  <c r="V8" i="591" s="1"/>
  <c r="S12" i="590"/>
  <c r="Q26" i="590"/>
  <c r="S26" i="590" s="1"/>
  <c r="Q20" i="590"/>
  <c r="S20" i="590" s="1"/>
  <c r="Q27" i="590"/>
  <c r="Q21" i="590"/>
  <c r="S13" i="590"/>
  <c r="T11" i="590" s="1"/>
  <c r="U11" i="590" s="1"/>
  <c r="Q7" i="589"/>
  <c r="O18" i="589"/>
  <c r="Q18" i="589" s="1"/>
  <c r="R17" i="589" s="1"/>
  <c r="S17" i="589" s="1"/>
  <c r="O13" i="589"/>
  <c r="Q13" i="589" s="1"/>
  <c r="R12" i="589" s="1"/>
  <c r="S12" i="589" s="1"/>
  <c r="V20" i="590" l="1"/>
  <c r="V26" i="590"/>
  <c r="S21" i="590"/>
  <c r="T20" i="590" s="1"/>
  <c r="S27" i="590"/>
  <c r="T25" i="590" s="1"/>
  <c r="V7" i="591"/>
  <c r="W8" i="591"/>
  <c r="W9" i="591"/>
  <c r="R6" i="589"/>
  <c r="S6" i="589" s="1"/>
  <c r="R5" i="589"/>
  <c r="S5" i="589" s="1"/>
  <c r="T12" i="590"/>
  <c r="U12" i="590" s="1"/>
  <c r="T19" i="590" l="1"/>
  <c r="T26" i="590"/>
  <c r="T10" i="517" l="1"/>
  <c r="J22" i="518" l="1"/>
  <c r="I22" i="518"/>
  <c r="H22" i="518"/>
  <c r="G22" i="518"/>
  <c r="M5" i="517" l="1"/>
  <c r="J22" i="516"/>
  <c r="I22" i="516"/>
  <c r="H22" i="516"/>
  <c r="G22" i="516"/>
  <c r="R7" i="516"/>
  <c r="Q7" i="516"/>
  <c r="AK39" i="508" l="1" a="1"/>
  <c r="AK41" i="508" s="1"/>
  <c r="AK39" i="508" l="1"/>
  <c r="AK40" i="508"/>
  <c r="AA10" i="514"/>
  <c r="U5" i="530" l="1"/>
  <c r="V5" i="530"/>
  <c r="W5" i="530"/>
  <c r="T5" i="530"/>
  <c r="E25" i="530"/>
  <c r="D25" i="530"/>
  <c r="C25" i="530"/>
  <c r="B25" i="530"/>
  <c r="E24" i="530"/>
  <c r="D24" i="530"/>
  <c r="C24" i="530"/>
  <c r="B24" i="530"/>
  <c r="A5" i="530"/>
  <c r="A6" i="530" s="1"/>
  <c r="A7" i="530" s="1"/>
  <c r="A8" i="530" s="1"/>
  <c r="A9" i="530" s="1"/>
  <c r="A10" i="530" s="1"/>
  <c r="A11" i="530" s="1"/>
  <c r="A12" i="530" s="1"/>
  <c r="A13" i="530" s="1"/>
  <c r="A14" i="530" s="1"/>
  <c r="A15" i="530" s="1"/>
  <c r="A16" i="530" s="1"/>
  <c r="A17" i="530" s="1"/>
  <c r="A18" i="530" s="1"/>
  <c r="A19" i="530" s="1"/>
  <c r="A20" i="530" s="1"/>
  <c r="A21" i="530" s="1"/>
  <c r="A22" i="530" s="1"/>
  <c r="A23" i="530" s="1"/>
  <c r="Y20" i="530" l="1" a="1"/>
  <c r="Y20" i="530" s="1"/>
  <c r="S7" i="529"/>
  <c r="U5" i="529" s="1"/>
  <c r="S5" i="529"/>
  <c r="U10" i="529"/>
  <c r="T10" i="529"/>
  <c r="S10" i="529"/>
  <c r="R10" i="529"/>
  <c r="U7" i="529"/>
  <c r="T7" i="529"/>
  <c r="U6" i="529" s="1"/>
  <c r="T6" i="529"/>
  <c r="S6" i="529"/>
  <c r="T5" i="529" s="1"/>
  <c r="R7" i="529"/>
  <c r="U4" i="529" s="1"/>
  <c r="R6" i="529"/>
  <c r="T4" i="529" s="1"/>
  <c r="R5" i="529"/>
  <c r="S4" i="529" s="1"/>
  <c r="R4" i="529"/>
  <c r="L4" i="529"/>
  <c r="M4" i="529"/>
  <c r="N4" i="529"/>
  <c r="O4" i="529"/>
  <c r="L5" i="529"/>
  <c r="M5" i="529"/>
  <c r="N5" i="529"/>
  <c r="O5" i="529"/>
  <c r="L6" i="529"/>
  <c r="M6" i="529"/>
  <c r="N6" i="529"/>
  <c r="O6" i="529"/>
  <c r="L7" i="529"/>
  <c r="M7" i="529"/>
  <c r="N7" i="529"/>
  <c r="O7" i="529"/>
  <c r="L8" i="529"/>
  <c r="M8" i="529"/>
  <c r="N8" i="529"/>
  <c r="O8" i="529"/>
  <c r="L9" i="529"/>
  <c r="M9" i="529"/>
  <c r="N9" i="529"/>
  <c r="O9" i="529"/>
  <c r="L10" i="529"/>
  <c r="M10" i="529"/>
  <c r="N10" i="529"/>
  <c r="O10" i="529"/>
  <c r="L11" i="529"/>
  <c r="M11" i="529"/>
  <c r="N11" i="529"/>
  <c r="O11" i="529"/>
  <c r="L12" i="529"/>
  <c r="M12" i="529"/>
  <c r="N12" i="529"/>
  <c r="O12" i="529"/>
  <c r="L13" i="529"/>
  <c r="M13" i="529"/>
  <c r="N13" i="529"/>
  <c r="O13" i="529"/>
  <c r="L14" i="529"/>
  <c r="M14" i="529"/>
  <c r="N14" i="529"/>
  <c r="O14" i="529"/>
  <c r="L15" i="529"/>
  <c r="M15" i="529"/>
  <c r="N15" i="529"/>
  <c r="O15" i="529"/>
  <c r="L16" i="529"/>
  <c r="M16" i="529"/>
  <c r="N16" i="529"/>
  <c r="O16" i="529"/>
  <c r="L17" i="529"/>
  <c r="M17" i="529"/>
  <c r="N17" i="529"/>
  <c r="O17" i="529"/>
  <c r="L18" i="529"/>
  <c r="M18" i="529"/>
  <c r="N18" i="529"/>
  <c r="O18" i="529"/>
  <c r="L19" i="529"/>
  <c r="M19" i="529"/>
  <c r="N19" i="529"/>
  <c r="O19" i="529"/>
  <c r="L20" i="529"/>
  <c r="M20" i="529"/>
  <c r="N20" i="529"/>
  <c r="O20" i="529"/>
  <c r="L21" i="529"/>
  <c r="M21" i="529"/>
  <c r="N21" i="529"/>
  <c r="O21" i="529"/>
  <c r="L22" i="529"/>
  <c r="M22" i="529"/>
  <c r="N22" i="529"/>
  <c r="O22" i="529"/>
  <c r="L23" i="529"/>
  <c r="M23" i="529"/>
  <c r="N23" i="529"/>
  <c r="O23" i="529"/>
  <c r="M3" i="529"/>
  <c r="N3" i="529"/>
  <c r="O3" i="529"/>
  <c r="L3" i="529"/>
  <c r="L4" i="528"/>
  <c r="M4" i="528"/>
  <c r="N4" i="528"/>
  <c r="O4" i="528"/>
  <c r="L5" i="528"/>
  <c r="M5" i="528"/>
  <c r="N5" i="528"/>
  <c r="O5" i="528"/>
  <c r="L6" i="528"/>
  <c r="M6" i="528"/>
  <c r="N6" i="528"/>
  <c r="O6" i="528"/>
  <c r="L7" i="528"/>
  <c r="M7" i="528"/>
  <c r="N7" i="528"/>
  <c r="O7" i="528"/>
  <c r="L8" i="528"/>
  <c r="M8" i="528"/>
  <c r="N8" i="528"/>
  <c r="O8" i="528"/>
  <c r="L9" i="528"/>
  <c r="M9" i="528"/>
  <c r="N9" i="528"/>
  <c r="O9" i="528"/>
  <c r="L10" i="528"/>
  <c r="M10" i="528"/>
  <c r="N10" i="528"/>
  <c r="O10" i="528"/>
  <c r="L11" i="528"/>
  <c r="M11" i="528"/>
  <c r="N11" i="528"/>
  <c r="O11" i="528"/>
  <c r="L12" i="528"/>
  <c r="M12" i="528"/>
  <c r="N12" i="528"/>
  <c r="O12" i="528"/>
  <c r="L13" i="528"/>
  <c r="M13" i="528"/>
  <c r="N13" i="528"/>
  <c r="O13" i="528"/>
  <c r="L14" i="528"/>
  <c r="M14" i="528"/>
  <c r="N14" i="528"/>
  <c r="O14" i="528"/>
  <c r="L15" i="528"/>
  <c r="M15" i="528"/>
  <c r="N15" i="528"/>
  <c r="O15" i="528"/>
  <c r="L16" i="528"/>
  <c r="M16" i="528"/>
  <c r="N16" i="528"/>
  <c r="O16" i="528"/>
  <c r="L17" i="528"/>
  <c r="M17" i="528"/>
  <c r="N17" i="528"/>
  <c r="O17" i="528"/>
  <c r="L18" i="528"/>
  <c r="M18" i="528"/>
  <c r="N18" i="528"/>
  <c r="O18" i="528"/>
  <c r="L19" i="528"/>
  <c r="M19" i="528"/>
  <c r="N19" i="528"/>
  <c r="O19" i="528"/>
  <c r="L20" i="528"/>
  <c r="M20" i="528"/>
  <c r="N20" i="528"/>
  <c r="O20" i="528"/>
  <c r="L21" i="528"/>
  <c r="M21" i="528"/>
  <c r="N21" i="528"/>
  <c r="O21" i="528"/>
  <c r="L22" i="528"/>
  <c r="M22" i="528"/>
  <c r="N22" i="528"/>
  <c r="O22" i="528"/>
  <c r="L23" i="528"/>
  <c r="M23" i="528"/>
  <c r="N23" i="528"/>
  <c r="O23" i="528"/>
  <c r="M3" i="528"/>
  <c r="N3" i="528"/>
  <c r="O3" i="528"/>
  <c r="L3" i="528"/>
  <c r="Y21" i="530" l="1"/>
  <c r="Y22" i="530"/>
  <c r="AE16" i="529"/>
  <c r="T19" i="529"/>
  <c r="U19" i="529"/>
  <c r="S19" i="529"/>
  <c r="Y6" i="528" a="1"/>
  <c r="Y6" i="528" s="1"/>
  <c r="AD14" i="528"/>
  <c r="Y6" i="529" a="1"/>
  <c r="Y6" i="529" s="1"/>
  <c r="R19" i="529"/>
  <c r="AE16" i="528"/>
  <c r="AD14" i="529"/>
  <c r="AD10" i="529"/>
  <c r="AD16" i="529" s="1"/>
  <c r="S19" i="528"/>
  <c r="S10" i="528" s="1"/>
  <c r="T19" i="528"/>
  <c r="T10" i="528" s="1"/>
  <c r="Z6" i="529" a="1"/>
  <c r="Z6" i="529" s="1"/>
  <c r="R19" i="528"/>
  <c r="R10" i="528" s="1"/>
  <c r="U19" i="528"/>
  <c r="U10" i="528" s="1"/>
  <c r="AD10" i="528"/>
  <c r="AD16" i="528" s="1"/>
  <c r="U16" i="527"/>
  <c r="J22" i="527"/>
  <c r="I22" i="527"/>
  <c r="H22" i="527"/>
  <c r="G22" i="527"/>
  <c r="S20" i="527" a="1"/>
  <c r="S22" i="527" s="1"/>
  <c r="J19" i="527"/>
  <c r="I19" i="527"/>
  <c r="H19" i="527"/>
  <c r="G19" i="527"/>
  <c r="T14" i="527"/>
  <c r="M13" i="527"/>
  <c r="M12" i="527"/>
  <c r="M11" i="527"/>
  <c r="M10" i="527"/>
  <c r="J10" i="527"/>
  <c r="I10" i="527"/>
  <c r="H10" i="527"/>
  <c r="G10" i="527"/>
  <c r="M9" i="527"/>
  <c r="M8" i="527"/>
  <c r="M7" i="527"/>
  <c r="J7" i="527"/>
  <c r="I7" i="527"/>
  <c r="J6" i="527" s="1"/>
  <c r="H7" i="527"/>
  <c r="J5" i="527" s="1"/>
  <c r="G7" i="527"/>
  <c r="J4" i="527" s="1"/>
  <c r="O6" i="527" a="1"/>
  <c r="O8" i="527" s="1"/>
  <c r="M6" i="527"/>
  <c r="I6" i="527"/>
  <c r="H6" i="527"/>
  <c r="I5" i="527" s="1"/>
  <c r="G6" i="527"/>
  <c r="I4" i="527" s="1"/>
  <c r="M5" i="527"/>
  <c r="H5" i="527"/>
  <c r="G5" i="527"/>
  <c r="H4" i="527" s="1"/>
  <c r="M4" i="527"/>
  <c r="G4" i="527"/>
  <c r="J22" i="517"/>
  <c r="I22" i="517"/>
  <c r="H22" i="517"/>
  <c r="G22" i="517"/>
  <c r="S20" i="517" a="1"/>
  <c r="S21" i="517" s="1"/>
  <c r="U16" i="517"/>
  <c r="T14" i="517"/>
  <c r="T16" i="517"/>
  <c r="P6" i="517" a="1"/>
  <c r="P8" i="517" s="1"/>
  <c r="H22" i="522"/>
  <c r="I22" i="522"/>
  <c r="J22" i="522"/>
  <c r="G22" i="522"/>
  <c r="J7" i="522"/>
  <c r="I7" i="522"/>
  <c r="J6" i="522" s="1"/>
  <c r="H7" i="522"/>
  <c r="J5" i="522" s="1"/>
  <c r="G7" i="522"/>
  <c r="J4" i="522" s="1"/>
  <c r="I6" i="522"/>
  <c r="H6" i="522"/>
  <c r="I5" i="522" s="1"/>
  <c r="G6" i="522"/>
  <c r="I4" i="522" s="1"/>
  <c r="H5" i="522"/>
  <c r="G5" i="522"/>
  <c r="H4" i="522" s="1"/>
  <c r="G4" i="522"/>
  <c r="AA20" i="522" a="1"/>
  <c r="AA20" i="522" s="1"/>
  <c r="S20" i="522" a="1"/>
  <c r="S20" i="522" s="1"/>
  <c r="J19" i="522"/>
  <c r="I19" i="522"/>
  <c r="H19" i="522"/>
  <c r="G19" i="522"/>
  <c r="AC16" i="522"/>
  <c r="U16" i="522"/>
  <c r="AB14" i="522"/>
  <c r="T14" i="522"/>
  <c r="M13" i="522"/>
  <c r="M12" i="522"/>
  <c r="M11" i="522"/>
  <c r="AB10" i="522"/>
  <c r="AB16" i="522" s="1"/>
  <c r="T10" i="522"/>
  <c r="T16" i="522" s="1"/>
  <c r="M10" i="522"/>
  <c r="J10" i="522"/>
  <c r="I10" i="522"/>
  <c r="H10" i="522"/>
  <c r="G10" i="522"/>
  <c r="M9" i="522"/>
  <c r="M8" i="522"/>
  <c r="M7" i="522"/>
  <c r="P6" i="522" a="1"/>
  <c r="P8" i="522" s="1"/>
  <c r="M6" i="522"/>
  <c r="M5" i="522"/>
  <c r="M4" i="522"/>
  <c r="AD15" i="528" l="1"/>
  <c r="Y8" i="528"/>
  <c r="AD15" i="529"/>
  <c r="Y7" i="528"/>
  <c r="O19" i="522" a="1"/>
  <c r="Y7" i="529"/>
  <c r="Y8" i="529"/>
  <c r="S21" i="522"/>
  <c r="S22" i="522"/>
  <c r="Z8" i="529"/>
  <c r="Z7" i="529"/>
  <c r="R4" i="528"/>
  <c r="AB15" i="522"/>
  <c r="P7" i="522"/>
  <c r="T15" i="522"/>
  <c r="O6" i="527"/>
  <c r="K22" i="527"/>
  <c r="T10" i="527" s="1"/>
  <c r="T16" i="527" s="1"/>
  <c r="T15" i="527" s="1"/>
  <c r="P6" i="527" a="1"/>
  <c r="P8" i="527" s="1"/>
  <c r="T22" i="527" s="1"/>
  <c r="O7" i="527"/>
  <c r="S20" i="527"/>
  <c r="S21" i="527"/>
  <c r="T15" i="517"/>
  <c r="P6" i="517"/>
  <c r="P7" i="517"/>
  <c r="S22" i="517"/>
  <c r="S20" i="517"/>
  <c r="Q6" i="522" a="1"/>
  <c r="AA21" i="522"/>
  <c r="P6" i="522"/>
  <c r="AA22" i="522"/>
  <c r="AC19" i="528" l="1" a="1"/>
  <c r="AC19" i="528" s="1"/>
  <c r="Z5" i="529" a="1"/>
  <c r="Z5" i="529" s="1"/>
  <c r="AD19" i="529" s="1"/>
  <c r="P6" i="527"/>
  <c r="T20" i="527" s="1"/>
  <c r="AC19" i="529" a="1"/>
  <c r="Q19" i="522"/>
  <c r="Q20" i="522"/>
  <c r="O19" i="522"/>
  <c r="P19" i="522"/>
  <c r="P21" i="522"/>
  <c r="Q21" i="522"/>
  <c r="O20" i="522"/>
  <c r="P20" i="522"/>
  <c r="O21" i="522"/>
  <c r="AD20" i="529" a="1"/>
  <c r="AD20" i="529" s="1"/>
  <c r="P7" i="527"/>
  <c r="T21" i="527" s="1"/>
  <c r="Q8" i="522"/>
  <c r="T22" i="522" s="1"/>
  <c r="Q7" i="522"/>
  <c r="T21" i="522" s="1"/>
  <c r="Q6" i="522"/>
  <c r="AC21" i="528" l="1"/>
  <c r="AC20" i="528"/>
  <c r="AC22" i="528"/>
  <c r="AD22" i="529"/>
  <c r="AC19" i="529"/>
  <c r="AC22" i="529"/>
  <c r="AC21" i="529"/>
  <c r="AC20" i="529"/>
  <c r="Q5" i="522"/>
  <c r="T19" i="522" s="1"/>
  <c r="AD21" i="529"/>
  <c r="P5" i="527"/>
  <c r="T19" i="527" s="1"/>
  <c r="T20" i="522"/>
  <c r="P3" i="511" l="1"/>
  <c r="Q3" i="511"/>
  <c r="R3" i="511"/>
  <c r="O3" i="511"/>
  <c r="T18" i="511" l="1" a="1"/>
  <c r="T18" i="511" s="1"/>
  <c r="T20" i="511" l="1"/>
  <c r="T19" i="511"/>
  <c r="M13" i="517" l="1"/>
  <c r="M12" i="517"/>
  <c r="M11" i="517"/>
  <c r="M10" i="517"/>
  <c r="M9" i="517"/>
  <c r="M8" i="517"/>
  <c r="M7" i="517"/>
  <c r="M6" i="517"/>
  <c r="M4" i="517"/>
  <c r="J19" i="517"/>
  <c r="I19" i="517"/>
  <c r="H19" i="517"/>
  <c r="G19" i="517"/>
  <c r="J10" i="517"/>
  <c r="I10" i="517"/>
  <c r="H10" i="517"/>
  <c r="G10" i="517"/>
  <c r="J7" i="517"/>
  <c r="I7" i="517"/>
  <c r="J6" i="517" s="1"/>
  <c r="H7" i="517"/>
  <c r="J5" i="517" s="1"/>
  <c r="G7" i="517"/>
  <c r="J4" i="517" s="1"/>
  <c r="I6" i="517"/>
  <c r="H6" i="517"/>
  <c r="I5" i="517" s="1"/>
  <c r="G6" i="517"/>
  <c r="I4" i="517" s="1"/>
  <c r="H5" i="517"/>
  <c r="G5" i="517"/>
  <c r="H4" i="517" s="1"/>
  <c r="G4" i="517"/>
  <c r="J19" i="516"/>
  <c r="I19" i="516"/>
  <c r="H19" i="516"/>
  <c r="G19" i="516"/>
  <c r="A5" i="515"/>
  <c r="A6" i="515" s="1"/>
  <c r="A7" i="515" s="1"/>
  <c r="A8" i="515" s="1"/>
  <c r="A9" i="515" s="1"/>
  <c r="A10" i="515" s="1"/>
  <c r="A11" i="515" s="1"/>
  <c r="A12" i="515" s="1"/>
  <c r="A13" i="515" s="1"/>
  <c r="A14" i="515" s="1"/>
  <c r="A15" i="515" s="1"/>
  <c r="A16" i="515" s="1"/>
  <c r="A17" i="515" s="1"/>
  <c r="A18" i="515" s="1"/>
  <c r="A19" i="515" s="1"/>
  <c r="A20" i="515" s="1"/>
  <c r="A21" i="515" s="1"/>
  <c r="A22" i="515" s="1"/>
  <c r="A23" i="515" s="1"/>
  <c r="AA11" i="514" a="1"/>
  <c r="AA11" i="514" s="1"/>
  <c r="AA12" i="514" a="1"/>
  <c r="AA12" i="514" s="1"/>
  <c r="AA13" i="514" a="1"/>
  <c r="AA13" i="514" s="1"/>
  <c r="L14" i="516" l="1" a="1"/>
  <c r="Q6" i="517" a="1"/>
  <c r="G4" i="514"/>
  <c r="AD4" i="514" s="1"/>
  <c r="G5" i="514"/>
  <c r="AD5" i="514" s="1"/>
  <c r="G6" i="514"/>
  <c r="AD6" i="514" s="1"/>
  <c r="G7" i="514"/>
  <c r="AD7" i="514" s="1"/>
  <c r="G8" i="514"/>
  <c r="AD8" i="514" s="1"/>
  <c r="G9" i="514"/>
  <c r="AD9" i="514" s="1"/>
  <c r="G10" i="514"/>
  <c r="AD10" i="514" s="1"/>
  <c r="G11" i="514"/>
  <c r="AD11" i="514" s="1"/>
  <c r="G12" i="514"/>
  <c r="AD12" i="514" s="1"/>
  <c r="G13" i="514"/>
  <c r="AD13" i="514" s="1"/>
  <c r="G14" i="514"/>
  <c r="AD14" i="514" s="1"/>
  <c r="G15" i="514"/>
  <c r="AD15" i="514" s="1"/>
  <c r="G16" i="514"/>
  <c r="AD16" i="514" s="1"/>
  <c r="G17" i="514"/>
  <c r="AD17" i="514" s="1"/>
  <c r="G18" i="514"/>
  <c r="AD18" i="514" s="1"/>
  <c r="G19" i="514"/>
  <c r="AD19" i="514" s="1"/>
  <c r="G20" i="514"/>
  <c r="AD20" i="514" s="1"/>
  <c r="G21" i="514"/>
  <c r="AD21" i="514" s="1"/>
  <c r="G22" i="514"/>
  <c r="AD22" i="514" s="1"/>
  <c r="G23" i="514"/>
  <c r="AD23" i="514" s="1"/>
  <c r="H3" i="514"/>
  <c r="AE3" i="514" s="1"/>
  <c r="I3" i="514"/>
  <c r="AF3" i="514" s="1"/>
  <c r="J3" i="514"/>
  <c r="AG3" i="514" s="1"/>
  <c r="K3" i="514"/>
  <c r="AH3" i="514" s="1"/>
  <c r="G3" i="514"/>
  <c r="AD3" i="514" s="1"/>
  <c r="E25" i="514"/>
  <c r="D25" i="514"/>
  <c r="C25" i="514"/>
  <c r="B25" i="514"/>
  <c r="E24" i="514"/>
  <c r="D24" i="514"/>
  <c r="C24" i="514"/>
  <c r="B24" i="514"/>
  <c r="A5" i="514"/>
  <c r="A6" i="514" s="1"/>
  <c r="A7" i="514" s="1"/>
  <c r="A8" i="514" s="1"/>
  <c r="A9" i="514" s="1"/>
  <c r="A10" i="514" s="1"/>
  <c r="A11" i="514" s="1"/>
  <c r="A12" i="514" s="1"/>
  <c r="A13" i="514" s="1"/>
  <c r="A14" i="514" s="1"/>
  <c r="A15" i="514" s="1"/>
  <c r="A16" i="514" s="1"/>
  <c r="A17" i="514" s="1"/>
  <c r="A18" i="514" s="1"/>
  <c r="A19" i="514" s="1"/>
  <c r="A20" i="514" s="1"/>
  <c r="A21" i="514" s="1"/>
  <c r="A22" i="514" s="1"/>
  <c r="A23" i="514" s="1"/>
  <c r="L15" i="516" l="1"/>
  <c r="H10" i="516" s="1"/>
  <c r="L14" i="516"/>
  <c r="G10" i="516" s="1"/>
  <c r="Q9" i="516" s="1"/>
  <c r="L17" i="516"/>
  <c r="J10" i="516" s="1"/>
  <c r="L16" i="516"/>
  <c r="I10" i="516" s="1"/>
  <c r="M20" i="514" a="1"/>
  <c r="M20" i="514" s="1"/>
  <c r="Q8" i="517"/>
  <c r="T22" i="517" s="1"/>
  <c r="Q7" i="517"/>
  <c r="T21" i="517" s="1"/>
  <c r="Q6" i="517"/>
  <c r="R9" i="516" l="1"/>
  <c r="M21" i="514"/>
  <c r="M22" i="514"/>
  <c r="Q5" i="517"/>
  <c r="T19" i="517" s="1"/>
  <c r="T20" i="517"/>
  <c r="E25" i="511"/>
  <c r="D25" i="511"/>
  <c r="C25" i="511"/>
  <c r="B25" i="511"/>
  <c r="E24" i="511"/>
  <c r="D24" i="511"/>
  <c r="C24" i="511"/>
  <c r="B24" i="511"/>
  <c r="A5" i="511"/>
  <c r="A6" i="511" s="1"/>
  <c r="A7" i="511" s="1"/>
  <c r="A8" i="511" s="1"/>
  <c r="A9" i="511" s="1"/>
  <c r="A10" i="511" s="1"/>
  <c r="A11" i="511" s="1"/>
  <c r="A12" i="511" s="1"/>
  <c r="A13" i="511" s="1"/>
  <c r="A14" i="511" s="1"/>
  <c r="A15" i="511" s="1"/>
  <c r="A16" i="511" s="1"/>
  <c r="A17" i="511" s="1"/>
  <c r="A18" i="511" s="1"/>
  <c r="A19" i="511" s="1"/>
  <c r="A20" i="511" s="1"/>
  <c r="A21" i="511" s="1"/>
  <c r="A22" i="511" s="1"/>
  <c r="A23" i="511" s="1"/>
  <c r="E26" i="510" l="1"/>
  <c r="D26" i="510"/>
  <c r="C26" i="510"/>
  <c r="B26" i="510"/>
  <c r="E25" i="510"/>
  <c r="D25" i="510"/>
  <c r="C25" i="510"/>
  <c r="B25" i="510"/>
  <c r="Y5" i="510"/>
  <c r="Y6" i="510" s="1"/>
  <c r="Y7" i="510" s="1"/>
  <c r="Y8" i="510" s="1"/>
  <c r="Y9" i="510" s="1"/>
  <c r="Y10" i="510" s="1"/>
  <c r="Y11" i="510" s="1"/>
  <c r="Y12" i="510" s="1"/>
  <c r="Y13" i="510" s="1"/>
  <c r="Y14" i="510" s="1"/>
  <c r="Y15" i="510" s="1"/>
  <c r="Y16" i="510" s="1"/>
  <c r="Y17" i="510" s="1"/>
  <c r="Y18" i="510" s="1"/>
  <c r="Y19" i="510" s="1"/>
  <c r="Y20" i="510" s="1"/>
  <c r="Y21" i="510" s="1"/>
  <c r="Y22" i="510" s="1"/>
  <c r="Y23" i="510" s="1"/>
  <c r="S5" i="510"/>
  <c r="S6" i="510" s="1"/>
  <c r="S7" i="510" s="1"/>
  <c r="S8" i="510" s="1"/>
  <c r="S9" i="510" s="1"/>
  <c r="S10" i="510" s="1"/>
  <c r="S11" i="510" s="1"/>
  <c r="S12" i="510" s="1"/>
  <c r="S13" i="510" s="1"/>
  <c r="S14" i="510" s="1"/>
  <c r="S15" i="510" s="1"/>
  <c r="S16" i="510" s="1"/>
  <c r="S17" i="510" s="1"/>
  <c r="S18" i="510" s="1"/>
  <c r="S19" i="510" s="1"/>
  <c r="S20" i="510" s="1"/>
  <c r="S21" i="510" s="1"/>
  <c r="S22" i="510" s="1"/>
  <c r="S23" i="510" s="1"/>
  <c r="M5" i="510"/>
  <c r="M6" i="510" s="1"/>
  <c r="M7" i="510" s="1"/>
  <c r="M8" i="510" s="1"/>
  <c r="M9" i="510" s="1"/>
  <c r="M10" i="510" s="1"/>
  <c r="M11" i="510" s="1"/>
  <c r="M12" i="510" s="1"/>
  <c r="M13" i="510" s="1"/>
  <c r="M14" i="510" s="1"/>
  <c r="M15" i="510" s="1"/>
  <c r="M16" i="510" s="1"/>
  <c r="M17" i="510" s="1"/>
  <c r="M18" i="510" s="1"/>
  <c r="M19" i="510" s="1"/>
  <c r="M20" i="510" s="1"/>
  <c r="M21" i="510" s="1"/>
  <c r="M22" i="510" s="1"/>
  <c r="M23" i="510" s="1"/>
  <c r="G5" i="510"/>
  <c r="G6" i="510" s="1"/>
  <c r="G7" i="510" s="1"/>
  <c r="G8" i="510" s="1"/>
  <c r="G9" i="510" s="1"/>
  <c r="G10" i="510" s="1"/>
  <c r="G11" i="510" s="1"/>
  <c r="G12" i="510" s="1"/>
  <c r="G13" i="510" s="1"/>
  <c r="G14" i="510" s="1"/>
  <c r="G15" i="510" s="1"/>
  <c r="G16" i="510" s="1"/>
  <c r="G17" i="510" s="1"/>
  <c r="G18" i="510" s="1"/>
  <c r="G19" i="510" s="1"/>
  <c r="G20" i="510" s="1"/>
  <c r="G21" i="510" s="1"/>
  <c r="G22" i="510" s="1"/>
  <c r="G23" i="510" s="1"/>
  <c r="A5" i="510"/>
  <c r="A6" i="510" s="1"/>
  <c r="A7" i="510" s="1"/>
  <c r="A8" i="510" s="1"/>
  <c r="A9" i="510" s="1"/>
  <c r="A10" i="510" s="1"/>
  <c r="A11" i="510" s="1"/>
  <c r="A12" i="510" s="1"/>
  <c r="A13" i="510" s="1"/>
  <c r="A14" i="510" s="1"/>
  <c r="A15" i="510" s="1"/>
  <c r="A16" i="510" s="1"/>
  <c r="A17" i="510" s="1"/>
  <c r="A18" i="510" s="1"/>
  <c r="A19" i="510" s="1"/>
  <c r="A20" i="510" s="1"/>
  <c r="A21" i="510" s="1"/>
  <c r="A22" i="510" s="1"/>
  <c r="A23" i="510" s="1"/>
  <c r="I19" i="518" l="1"/>
  <c r="G19" i="518"/>
  <c r="J19" i="518"/>
  <c r="H19" i="518"/>
  <c r="A4" i="509"/>
  <c r="B4" i="509"/>
  <c r="C4" i="509"/>
  <c r="D4" i="509"/>
  <c r="E4" i="509"/>
  <c r="B5" i="509"/>
  <c r="C5" i="509"/>
  <c r="D5" i="509"/>
  <c r="E5" i="509"/>
  <c r="B6" i="509"/>
  <c r="C6" i="509"/>
  <c r="D6" i="509"/>
  <c r="E6" i="509"/>
  <c r="B7" i="509"/>
  <c r="C7" i="509"/>
  <c r="D7" i="509"/>
  <c r="E7" i="509"/>
  <c r="B8" i="509"/>
  <c r="C8" i="509"/>
  <c r="D8" i="509"/>
  <c r="E8" i="509"/>
  <c r="B9" i="509"/>
  <c r="C9" i="509"/>
  <c r="D9" i="509"/>
  <c r="E9" i="509"/>
  <c r="B10" i="509"/>
  <c r="C10" i="509"/>
  <c r="D10" i="509"/>
  <c r="E10" i="509"/>
  <c r="B11" i="509"/>
  <c r="C11" i="509"/>
  <c r="D11" i="509"/>
  <c r="E11" i="509"/>
  <c r="B12" i="509"/>
  <c r="C12" i="509"/>
  <c r="D12" i="509"/>
  <c r="E12" i="509"/>
  <c r="B13" i="509"/>
  <c r="C13" i="509"/>
  <c r="D13" i="509"/>
  <c r="E13" i="509"/>
  <c r="B14" i="509"/>
  <c r="C14" i="509"/>
  <c r="D14" i="509"/>
  <c r="E14" i="509"/>
  <c r="B15" i="509"/>
  <c r="C15" i="509"/>
  <c r="D15" i="509"/>
  <c r="E15" i="509"/>
  <c r="B16" i="509"/>
  <c r="C16" i="509"/>
  <c r="D16" i="509"/>
  <c r="E16" i="509"/>
  <c r="B17" i="509"/>
  <c r="C17" i="509"/>
  <c r="D17" i="509"/>
  <c r="E17" i="509"/>
  <c r="B18" i="509"/>
  <c r="C18" i="509"/>
  <c r="D18" i="509"/>
  <c r="E18" i="509"/>
  <c r="B19" i="509"/>
  <c r="C19" i="509"/>
  <c r="D19" i="509"/>
  <c r="E19" i="509"/>
  <c r="B20" i="509"/>
  <c r="C20" i="509"/>
  <c r="D20" i="509"/>
  <c r="E20" i="509"/>
  <c r="B21" i="509"/>
  <c r="C21" i="509"/>
  <c r="D21" i="509"/>
  <c r="E21" i="509"/>
  <c r="B22" i="509"/>
  <c r="C22" i="509"/>
  <c r="D22" i="509"/>
  <c r="E22" i="509"/>
  <c r="B23" i="509"/>
  <c r="C23" i="509"/>
  <c r="D23" i="509"/>
  <c r="E23" i="509"/>
  <c r="B3" i="509"/>
  <c r="C3" i="509"/>
  <c r="D3" i="509"/>
  <c r="E3" i="509"/>
  <c r="A3" i="509"/>
  <c r="G5" i="509"/>
  <c r="G6" i="509" s="1"/>
  <c r="G7" i="509" s="1"/>
  <c r="G8" i="509" s="1"/>
  <c r="G9" i="509" s="1"/>
  <c r="G10" i="509" s="1"/>
  <c r="G11" i="509" s="1"/>
  <c r="G12" i="509" s="1"/>
  <c r="G13" i="509" s="1"/>
  <c r="G14" i="509" s="1"/>
  <c r="G15" i="509" s="1"/>
  <c r="G16" i="509" s="1"/>
  <c r="G17" i="509" s="1"/>
  <c r="G18" i="509" s="1"/>
  <c r="G19" i="509" s="1"/>
  <c r="G20" i="509" s="1"/>
  <c r="G21" i="509" s="1"/>
  <c r="G22" i="509" s="1"/>
  <c r="G23" i="509" s="1"/>
  <c r="Y5" i="508"/>
  <c r="Y6" i="508" s="1"/>
  <c r="Y7" i="508" s="1"/>
  <c r="Y8" i="508" s="1"/>
  <c r="Y9" i="508" s="1"/>
  <c r="Y10" i="508" s="1"/>
  <c r="Y11" i="508" s="1"/>
  <c r="Y12" i="508" s="1"/>
  <c r="Y13" i="508" s="1"/>
  <c r="Y14" i="508" s="1"/>
  <c r="Y15" i="508" s="1"/>
  <c r="Y16" i="508" s="1"/>
  <c r="Y17" i="508" s="1"/>
  <c r="Y18" i="508" s="1"/>
  <c r="Y19" i="508" s="1"/>
  <c r="Y20" i="508" s="1"/>
  <c r="Y21" i="508" s="1"/>
  <c r="Y22" i="508" s="1"/>
  <c r="Y23" i="508" s="1"/>
  <c r="S5" i="508"/>
  <c r="S6" i="508" s="1"/>
  <c r="S7" i="508" s="1"/>
  <c r="S8" i="508" s="1"/>
  <c r="S9" i="508" s="1"/>
  <c r="S10" i="508" s="1"/>
  <c r="S11" i="508" s="1"/>
  <c r="S12" i="508" s="1"/>
  <c r="S13" i="508" s="1"/>
  <c r="S14" i="508" s="1"/>
  <c r="S15" i="508" s="1"/>
  <c r="S16" i="508" s="1"/>
  <c r="S17" i="508" s="1"/>
  <c r="S18" i="508" s="1"/>
  <c r="S19" i="508" s="1"/>
  <c r="S20" i="508" s="1"/>
  <c r="S21" i="508" s="1"/>
  <c r="S22" i="508" s="1"/>
  <c r="S23" i="508" s="1"/>
  <c r="M5" i="508"/>
  <c r="M6" i="508" s="1"/>
  <c r="M7" i="508" s="1"/>
  <c r="M8" i="508" s="1"/>
  <c r="M9" i="508" s="1"/>
  <c r="M10" i="508" s="1"/>
  <c r="M11" i="508" s="1"/>
  <c r="M12" i="508" s="1"/>
  <c r="M13" i="508" s="1"/>
  <c r="M14" i="508" s="1"/>
  <c r="M15" i="508" s="1"/>
  <c r="M16" i="508" s="1"/>
  <c r="M17" i="508" s="1"/>
  <c r="M18" i="508" s="1"/>
  <c r="M19" i="508" s="1"/>
  <c r="M20" i="508" s="1"/>
  <c r="M21" i="508" s="1"/>
  <c r="M22" i="508" s="1"/>
  <c r="M23" i="508" s="1"/>
  <c r="E26" i="508"/>
  <c r="D26" i="508"/>
  <c r="C26" i="508"/>
  <c r="B26" i="508"/>
  <c r="E25" i="508"/>
  <c r="D25" i="508"/>
  <c r="C25" i="508"/>
  <c r="B25" i="508"/>
  <c r="G5" i="508"/>
  <c r="G6" i="508" s="1"/>
  <c r="G7" i="508" s="1"/>
  <c r="G8" i="508" s="1"/>
  <c r="G9" i="508" s="1"/>
  <c r="G10" i="508" s="1"/>
  <c r="G11" i="508" s="1"/>
  <c r="G12" i="508" s="1"/>
  <c r="G13" i="508" s="1"/>
  <c r="G14" i="508" s="1"/>
  <c r="G15" i="508" s="1"/>
  <c r="G16" i="508" s="1"/>
  <c r="G17" i="508" s="1"/>
  <c r="G18" i="508" s="1"/>
  <c r="G19" i="508" s="1"/>
  <c r="G20" i="508" s="1"/>
  <c r="G21" i="508" s="1"/>
  <c r="G22" i="508" s="1"/>
  <c r="G23" i="508" s="1"/>
  <c r="A5" i="508"/>
  <c r="A6" i="508" s="1"/>
  <c r="A7" i="508" s="1"/>
  <c r="A8" i="508" s="1"/>
  <c r="A9" i="508" s="1"/>
  <c r="A10" i="508" s="1"/>
  <c r="A11" i="508" s="1"/>
  <c r="A12" i="508" s="1"/>
  <c r="A13" i="508" s="1"/>
  <c r="A14" i="508" s="1"/>
  <c r="A15" i="508" s="1"/>
  <c r="A16" i="508" s="1"/>
  <c r="A17" i="508" s="1"/>
  <c r="A18" i="508" s="1"/>
  <c r="A19" i="508" s="1"/>
  <c r="A20" i="508" s="1"/>
  <c r="A21" i="508" s="1"/>
  <c r="A22" i="508" s="1"/>
  <c r="A23" i="508" s="1"/>
  <c r="B24" i="509" l="1"/>
  <c r="B25" i="509"/>
  <c r="L14" i="518" a="1"/>
  <c r="E24" i="509"/>
  <c r="D25" i="509"/>
  <c r="C25" i="509"/>
  <c r="E25" i="509"/>
  <c r="C24" i="509"/>
  <c r="D24" i="509"/>
  <c r="M5" i="507"/>
  <c r="M6" i="507" s="1"/>
  <c r="M7" i="507" s="1"/>
  <c r="M8" i="507" s="1"/>
  <c r="M9" i="507" s="1"/>
  <c r="M10" i="507" s="1"/>
  <c r="M11" i="507" s="1"/>
  <c r="M12" i="507" s="1"/>
  <c r="M13" i="507" s="1"/>
  <c r="M14" i="507" s="1"/>
  <c r="M15" i="507" s="1"/>
  <c r="M16" i="507" s="1"/>
  <c r="M17" i="507" s="1"/>
  <c r="M18" i="507" s="1"/>
  <c r="M19" i="507" s="1"/>
  <c r="M20" i="507" s="1"/>
  <c r="M21" i="507" s="1"/>
  <c r="M22" i="507" s="1"/>
  <c r="M23" i="507" s="1"/>
  <c r="G5" i="507"/>
  <c r="G6" i="507" s="1"/>
  <c r="G7" i="507" s="1"/>
  <c r="G8" i="507" s="1"/>
  <c r="G9" i="507" s="1"/>
  <c r="G10" i="507" s="1"/>
  <c r="G11" i="507" s="1"/>
  <c r="G12" i="507" s="1"/>
  <c r="G13" i="507" s="1"/>
  <c r="G14" i="507" s="1"/>
  <c r="G15" i="507" s="1"/>
  <c r="G16" i="507" s="1"/>
  <c r="G17" i="507" s="1"/>
  <c r="G18" i="507" s="1"/>
  <c r="G19" i="507" s="1"/>
  <c r="G20" i="507" s="1"/>
  <c r="G21" i="507" s="1"/>
  <c r="G22" i="507" s="1"/>
  <c r="G23" i="507" s="1"/>
  <c r="E25" i="507"/>
  <c r="D25" i="507"/>
  <c r="C25" i="507"/>
  <c r="B25" i="507"/>
  <c r="E24" i="507"/>
  <c r="D24" i="507"/>
  <c r="C24" i="507"/>
  <c r="B24" i="507"/>
  <c r="A5" i="507"/>
  <c r="E25" i="506"/>
  <c r="D25" i="506"/>
  <c r="C25" i="506"/>
  <c r="B25" i="506"/>
  <c r="E24" i="506"/>
  <c r="D24" i="506"/>
  <c r="C24" i="506"/>
  <c r="B24" i="506"/>
  <c r="L16" i="518" l="1"/>
  <c r="I10" i="518" s="1"/>
  <c r="L17" i="518"/>
  <c r="J10" i="518" s="1"/>
  <c r="L14" i="518"/>
  <c r="G10" i="518" s="1"/>
  <c r="L15" i="518"/>
  <c r="H10" i="518" s="1"/>
  <c r="A6" i="507"/>
  <c r="A5" i="509"/>
  <c r="G5" i="505"/>
  <c r="G6" i="505" s="1"/>
  <c r="G7" i="505" s="1"/>
  <c r="G8" i="505" s="1"/>
  <c r="G9" i="505" s="1"/>
  <c r="G10" i="505" s="1"/>
  <c r="G11" i="505" s="1"/>
  <c r="G12" i="505" s="1"/>
  <c r="G13" i="505" s="1"/>
  <c r="G14" i="505" s="1"/>
  <c r="G15" i="505" s="1"/>
  <c r="G16" i="505" s="1"/>
  <c r="G17" i="505" s="1"/>
  <c r="G18" i="505" s="1"/>
  <c r="G19" i="505" s="1"/>
  <c r="G20" i="505" s="1"/>
  <c r="G21" i="505" s="1"/>
  <c r="G22" i="505" s="1"/>
  <c r="G23" i="505" s="1"/>
  <c r="A7" i="507" l="1"/>
  <c r="A6" i="509"/>
  <c r="M5" i="505"/>
  <c r="M6" i="505" s="1"/>
  <c r="M7" i="505" s="1"/>
  <c r="M8" i="505" s="1"/>
  <c r="M9" i="505" s="1"/>
  <c r="M10" i="505" s="1"/>
  <c r="M11" i="505" s="1"/>
  <c r="M12" i="505" s="1"/>
  <c r="M13" i="505" s="1"/>
  <c r="M14" i="505" s="1"/>
  <c r="M15" i="505" s="1"/>
  <c r="M16" i="505" s="1"/>
  <c r="M17" i="505" s="1"/>
  <c r="M18" i="505" s="1"/>
  <c r="M19" i="505" s="1"/>
  <c r="M20" i="505" s="1"/>
  <c r="M21" i="505" s="1"/>
  <c r="M22" i="505" s="1"/>
  <c r="M23" i="505" s="1"/>
  <c r="E25" i="505"/>
  <c r="D25" i="505"/>
  <c r="C25" i="505"/>
  <c r="B25" i="505"/>
  <c r="E24" i="505"/>
  <c r="D24" i="505"/>
  <c r="C24" i="505"/>
  <c r="B24" i="505"/>
  <c r="A5" i="505"/>
  <c r="A6" i="505" s="1"/>
  <c r="A7" i="505" s="1"/>
  <c r="A8" i="505" s="1"/>
  <c r="A9" i="505" s="1"/>
  <c r="A10" i="505" s="1"/>
  <c r="A11" i="505" s="1"/>
  <c r="A12" i="505" s="1"/>
  <c r="A13" i="505" s="1"/>
  <c r="A14" i="505" s="1"/>
  <c r="A15" i="505" s="1"/>
  <c r="A16" i="505" s="1"/>
  <c r="A17" i="505" s="1"/>
  <c r="A18" i="505" s="1"/>
  <c r="A19" i="505" s="1"/>
  <c r="A20" i="505" s="1"/>
  <c r="A21" i="505" s="1"/>
  <c r="A22" i="505" s="1"/>
  <c r="A23" i="505" s="1"/>
  <c r="C24" i="504"/>
  <c r="D24" i="504"/>
  <c r="E24" i="504"/>
  <c r="C25" i="504"/>
  <c r="D25" i="504"/>
  <c r="E25" i="504"/>
  <c r="B25" i="504"/>
  <c r="B24" i="504"/>
  <c r="A5" i="504"/>
  <c r="A6" i="504" s="1"/>
  <c r="A7" i="504" s="1"/>
  <c r="A8" i="504" s="1"/>
  <c r="A9" i="504" s="1"/>
  <c r="A10" i="504" s="1"/>
  <c r="A11" i="504" s="1"/>
  <c r="A12" i="504" s="1"/>
  <c r="A13" i="504" s="1"/>
  <c r="A14" i="504" s="1"/>
  <c r="A15" i="504" s="1"/>
  <c r="A16" i="504" s="1"/>
  <c r="A17" i="504" s="1"/>
  <c r="A18" i="504" s="1"/>
  <c r="A19" i="504" s="1"/>
  <c r="A20" i="504" s="1"/>
  <c r="A21" i="504" s="1"/>
  <c r="A22" i="504" s="1"/>
  <c r="A23" i="504" s="1"/>
  <c r="A8" i="507" l="1"/>
  <c r="A7" i="509"/>
  <c r="A9" i="507" l="1"/>
  <c r="A8" i="509"/>
  <c r="B20" i="502"/>
  <c r="C19" i="502"/>
  <c r="B19" i="502"/>
  <c r="C18" i="502"/>
  <c r="B18" i="502"/>
  <c r="F17" i="502"/>
  <c r="J17" i="502" s="1"/>
  <c r="F16" i="502"/>
  <c r="J16" i="502" s="1"/>
  <c r="F15" i="502"/>
  <c r="J15" i="502" s="1"/>
  <c r="F14" i="502"/>
  <c r="J14" i="502" s="1"/>
  <c r="F13" i="502"/>
  <c r="J13" i="502" s="1"/>
  <c r="G12" i="502"/>
  <c r="K12" i="502" s="1"/>
  <c r="M12" i="502" s="1"/>
  <c r="F12" i="502"/>
  <c r="J12" i="502" s="1"/>
  <c r="G11" i="502"/>
  <c r="K11" i="502" s="1"/>
  <c r="M11" i="502" s="1"/>
  <c r="F11" i="502"/>
  <c r="J11" i="502" s="1"/>
  <c r="G10" i="502"/>
  <c r="K10" i="502" s="1"/>
  <c r="M10" i="502" s="1"/>
  <c r="F10" i="502"/>
  <c r="J10" i="502" s="1"/>
  <c r="G9" i="502"/>
  <c r="K9" i="502" s="1"/>
  <c r="M9" i="502" s="1"/>
  <c r="F9" i="502"/>
  <c r="J9" i="502" s="1"/>
  <c r="G8" i="502"/>
  <c r="K8" i="502" s="1"/>
  <c r="M8" i="502" s="1"/>
  <c r="F8" i="502"/>
  <c r="J8" i="502" s="1"/>
  <c r="I7" i="502"/>
  <c r="I8" i="502" s="1"/>
  <c r="I9" i="502" s="1"/>
  <c r="I10" i="502" s="1"/>
  <c r="I11" i="502" s="1"/>
  <c r="I12" i="502" s="1"/>
  <c r="I13" i="502" s="1"/>
  <c r="I14" i="502" s="1"/>
  <c r="I15" i="502" s="1"/>
  <c r="I16" i="502" s="1"/>
  <c r="I17" i="502" s="1"/>
  <c r="G7" i="502"/>
  <c r="K7" i="502" s="1"/>
  <c r="M7" i="502" s="1"/>
  <c r="F7" i="502"/>
  <c r="J7" i="502" s="1"/>
  <c r="E7" i="502"/>
  <c r="E8" i="502" s="1"/>
  <c r="E9" i="502" s="1"/>
  <c r="E10" i="502" s="1"/>
  <c r="E11" i="502" s="1"/>
  <c r="E12" i="502" s="1"/>
  <c r="E13" i="502" s="1"/>
  <c r="E14" i="502" s="1"/>
  <c r="E15" i="502" s="1"/>
  <c r="E16" i="502" s="1"/>
  <c r="E17" i="502" s="1"/>
  <c r="A7" i="502"/>
  <c r="A8" i="502" s="1"/>
  <c r="A9" i="502" s="1"/>
  <c r="A10" i="502" s="1"/>
  <c r="A11" i="502" s="1"/>
  <c r="A12" i="502" s="1"/>
  <c r="A13" i="502" s="1"/>
  <c r="A14" i="502" s="1"/>
  <c r="A15" i="502" s="1"/>
  <c r="A16" i="502" s="1"/>
  <c r="A17" i="502" s="1"/>
  <c r="G6" i="502"/>
  <c r="K6" i="502" s="1"/>
  <c r="F6" i="502"/>
  <c r="B20" i="499"/>
  <c r="B20" i="501"/>
  <c r="C19" i="501"/>
  <c r="B19" i="501"/>
  <c r="C18" i="501"/>
  <c r="B18" i="501"/>
  <c r="F17" i="501"/>
  <c r="J17" i="501" s="1"/>
  <c r="F16" i="501"/>
  <c r="J16" i="501" s="1"/>
  <c r="F15" i="501"/>
  <c r="J15" i="501" s="1"/>
  <c r="F14" i="501"/>
  <c r="J14" i="501" s="1"/>
  <c r="F13" i="501"/>
  <c r="J13" i="501" s="1"/>
  <c r="G12" i="501"/>
  <c r="K12" i="501" s="1"/>
  <c r="F12" i="501"/>
  <c r="J12" i="501" s="1"/>
  <c r="G11" i="501"/>
  <c r="K11" i="501" s="1"/>
  <c r="F11" i="501"/>
  <c r="J11" i="501" s="1"/>
  <c r="G10" i="501"/>
  <c r="K10" i="501" s="1"/>
  <c r="F10" i="501"/>
  <c r="J10" i="501" s="1"/>
  <c r="G9" i="501"/>
  <c r="K9" i="501" s="1"/>
  <c r="F9" i="501"/>
  <c r="J9" i="501" s="1"/>
  <c r="G8" i="501"/>
  <c r="K8" i="501" s="1"/>
  <c r="F8" i="501"/>
  <c r="J8" i="501" s="1"/>
  <c r="I7" i="501"/>
  <c r="I8" i="501" s="1"/>
  <c r="I9" i="501" s="1"/>
  <c r="I10" i="501" s="1"/>
  <c r="I11" i="501" s="1"/>
  <c r="I12" i="501" s="1"/>
  <c r="I13" i="501" s="1"/>
  <c r="I14" i="501" s="1"/>
  <c r="I15" i="501" s="1"/>
  <c r="I16" i="501" s="1"/>
  <c r="I17" i="501" s="1"/>
  <c r="G7" i="501"/>
  <c r="K7" i="501" s="1"/>
  <c r="F7" i="501"/>
  <c r="E7" i="501"/>
  <c r="E8" i="501" s="1"/>
  <c r="E9" i="501" s="1"/>
  <c r="E10" i="501" s="1"/>
  <c r="E11" i="501" s="1"/>
  <c r="E12" i="501" s="1"/>
  <c r="E13" i="501" s="1"/>
  <c r="E14" i="501" s="1"/>
  <c r="E15" i="501" s="1"/>
  <c r="E16" i="501" s="1"/>
  <c r="E17" i="501" s="1"/>
  <c r="A7" i="501"/>
  <c r="A8" i="501" s="1"/>
  <c r="A9" i="501" s="1"/>
  <c r="A10" i="501" s="1"/>
  <c r="A11" i="501" s="1"/>
  <c r="A12" i="501" s="1"/>
  <c r="A13" i="501" s="1"/>
  <c r="A14" i="501" s="1"/>
  <c r="A15" i="501" s="1"/>
  <c r="A16" i="501" s="1"/>
  <c r="A17" i="501" s="1"/>
  <c r="G6" i="501"/>
  <c r="F6" i="501"/>
  <c r="J6" i="501" s="1"/>
  <c r="I7" i="500"/>
  <c r="I8" i="500" s="1"/>
  <c r="I9" i="500" s="1"/>
  <c r="I10" i="500" s="1"/>
  <c r="I11" i="500" s="1"/>
  <c r="I12" i="500" s="1"/>
  <c r="I13" i="500" s="1"/>
  <c r="I14" i="500" s="1"/>
  <c r="I15" i="500" s="1"/>
  <c r="I16" i="500" s="1"/>
  <c r="I17" i="500" s="1"/>
  <c r="C19" i="500"/>
  <c r="B19" i="500"/>
  <c r="C18" i="500"/>
  <c r="B18" i="500"/>
  <c r="F17" i="500"/>
  <c r="J17" i="500" s="1"/>
  <c r="F16" i="500"/>
  <c r="J16" i="500" s="1"/>
  <c r="F15" i="500"/>
  <c r="J15" i="500" s="1"/>
  <c r="F14" i="500"/>
  <c r="F13" i="500"/>
  <c r="J13" i="500" s="1"/>
  <c r="G12" i="500"/>
  <c r="K12" i="500" s="1"/>
  <c r="F12" i="500"/>
  <c r="J12" i="500" s="1"/>
  <c r="G11" i="500"/>
  <c r="K11" i="500" s="1"/>
  <c r="F11" i="500"/>
  <c r="J11" i="500" s="1"/>
  <c r="G10" i="500"/>
  <c r="K10" i="500" s="1"/>
  <c r="F10" i="500"/>
  <c r="J10" i="500" s="1"/>
  <c r="G9" i="500"/>
  <c r="K9" i="500" s="1"/>
  <c r="F9" i="500"/>
  <c r="J9" i="500" s="1"/>
  <c r="G8" i="500"/>
  <c r="F8" i="500"/>
  <c r="J8" i="500" s="1"/>
  <c r="G7" i="500"/>
  <c r="K7" i="500" s="1"/>
  <c r="F7" i="500"/>
  <c r="J7" i="500" s="1"/>
  <c r="E7" i="500"/>
  <c r="E8" i="500" s="1"/>
  <c r="E9" i="500" s="1"/>
  <c r="E10" i="500" s="1"/>
  <c r="E11" i="500" s="1"/>
  <c r="E12" i="500" s="1"/>
  <c r="E13" i="500" s="1"/>
  <c r="E14" i="500" s="1"/>
  <c r="E15" i="500" s="1"/>
  <c r="E16" i="500" s="1"/>
  <c r="E17" i="500" s="1"/>
  <c r="A7" i="500"/>
  <c r="A8" i="500" s="1"/>
  <c r="A9" i="500" s="1"/>
  <c r="A10" i="500" s="1"/>
  <c r="A11" i="500" s="1"/>
  <c r="A12" i="500" s="1"/>
  <c r="A13" i="500" s="1"/>
  <c r="A14" i="500" s="1"/>
  <c r="A15" i="500" s="1"/>
  <c r="A16" i="500" s="1"/>
  <c r="A17" i="500" s="1"/>
  <c r="G6" i="500"/>
  <c r="F6" i="500"/>
  <c r="J6" i="500" s="1"/>
  <c r="Q20" i="499" a="1"/>
  <c r="Q20" i="499" s="1"/>
  <c r="I20" i="499" a="1"/>
  <c r="I20" i="499" s="1"/>
  <c r="K16" i="499"/>
  <c r="J14" i="499"/>
  <c r="J10" i="499"/>
  <c r="J16" i="499" s="1"/>
  <c r="F7" i="499"/>
  <c r="G7" i="499"/>
  <c r="F8" i="499"/>
  <c r="G8" i="499"/>
  <c r="F9" i="499"/>
  <c r="G9" i="499"/>
  <c r="F10" i="499"/>
  <c r="G10" i="499"/>
  <c r="F11" i="499"/>
  <c r="G11" i="499"/>
  <c r="F12" i="499"/>
  <c r="G12" i="499"/>
  <c r="F13" i="499"/>
  <c r="F14" i="499"/>
  <c r="F15" i="499"/>
  <c r="F16" i="499"/>
  <c r="F17" i="499"/>
  <c r="G6" i="499"/>
  <c r="F6" i="499"/>
  <c r="C19" i="499"/>
  <c r="B19" i="499"/>
  <c r="C18" i="499"/>
  <c r="B18" i="499"/>
  <c r="E7" i="499"/>
  <c r="E8" i="499" s="1"/>
  <c r="E9" i="499" s="1"/>
  <c r="E10" i="499" s="1"/>
  <c r="E11" i="499" s="1"/>
  <c r="E12" i="499" s="1"/>
  <c r="E13" i="499" s="1"/>
  <c r="E14" i="499" s="1"/>
  <c r="A7" i="499"/>
  <c r="A8" i="499" s="1"/>
  <c r="A9" i="499" s="1"/>
  <c r="A10" i="499" s="1"/>
  <c r="A11" i="499" s="1"/>
  <c r="A12" i="499" s="1"/>
  <c r="A13" i="499" s="1"/>
  <c r="A14" i="499" s="1"/>
  <c r="R14" i="499" l="1"/>
  <c r="G19" i="500"/>
  <c r="F18" i="501"/>
  <c r="F20" i="499"/>
  <c r="K6" i="500"/>
  <c r="G18" i="500"/>
  <c r="K13" i="500" s="1"/>
  <c r="K14" i="500" s="1"/>
  <c r="K15" i="500" s="1"/>
  <c r="K16" i="500" s="1"/>
  <c r="K17" i="500" s="1"/>
  <c r="K13" i="501" a="1"/>
  <c r="K17" i="501" s="1"/>
  <c r="F18" i="502"/>
  <c r="F19" i="500"/>
  <c r="K8" i="500"/>
  <c r="J14" i="500"/>
  <c r="J18" i="500" s="1"/>
  <c r="F19" i="501"/>
  <c r="J7" i="501"/>
  <c r="J19" i="501" s="1"/>
  <c r="K13" i="502" a="1"/>
  <c r="K15" i="502" s="1"/>
  <c r="M6" i="502"/>
  <c r="A10" i="507"/>
  <c r="A9" i="509"/>
  <c r="F19" i="502"/>
  <c r="J6" i="502"/>
  <c r="G19" i="502"/>
  <c r="F20" i="502"/>
  <c r="G18" i="502"/>
  <c r="F20" i="501"/>
  <c r="G18" i="501"/>
  <c r="S16" i="499"/>
  <c r="G19" i="501"/>
  <c r="K6" i="501"/>
  <c r="F18" i="500"/>
  <c r="J15" i="499"/>
  <c r="R10" i="499"/>
  <c r="R16" i="499" s="1"/>
  <c r="E15" i="499"/>
  <c r="E16" i="499" s="1"/>
  <c r="E17" i="499" s="1"/>
  <c r="F18" i="499"/>
  <c r="F19" i="499"/>
  <c r="A15" i="499"/>
  <c r="A16" i="499" s="1"/>
  <c r="A17" i="499" s="1"/>
  <c r="G18" i="499"/>
  <c r="R15" i="499" l="1"/>
  <c r="K19" i="500"/>
  <c r="K15" i="501"/>
  <c r="J18" i="501"/>
  <c r="K17" i="502"/>
  <c r="K18" i="500"/>
  <c r="K16" i="502"/>
  <c r="K14" i="501"/>
  <c r="K16" i="501"/>
  <c r="K13" i="502"/>
  <c r="K13" i="501"/>
  <c r="J19" i="500"/>
  <c r="K14" i="502"/>
  <c r="A11" i="507"/>
  <c r="A10" i="509"/>
  <c r="J19" i="502"/>
  <c r="J18" i="502"/>
  <c r="G19" i="499"/>
  <c r="K19" i="501" l="1"/>
  <c r="J20" i="501"/>
  <c r="K18" i="501"/>
  <c r="K19" i="502"/>
  <c r="A12" i="507"/>
  <c r="A11" i="509"/>
  <c r="K20" i="502"/>
  <c r="K18" i="502"/>
  <c r="A13" i="507" l="1"/>
  <c r="A12" i="509"/>
  <c r="A14" i="507" l="1"/>
  <c r="A13" i="509"/>
  <c r="A15" i="507" l="1"/>
  <c r="A14" i="509"/>
  <c r="A16" i="507" l="1"/>
  <c r="A15" i="509"/>
  <c r="U7" i="528" l="1"/>
  <c r="R6" i="528"/>
  <c r="T4" i="528" s="1"/>
  <c r="S5" i="528"/>
  <c r="T7" i="528"/>
  <c r="U6" i="528" s="1"/>
  <c r="R5" i="528"/>
  <c r="S4" i="528" s="1"/>
  <c r="S6" i="528"/>
  <c r="T5" i="528" s="1"/>
  <c r="R7" i="528"/>
  <c r="U4" i="528" s="1"/>
  <c r="S7" i="528"/>
  <c r="U5" i="528" s="1"/>
  <c r="T6" i="528"/>
  <c r="L5" i="516"/>
  <c r="G5" i="516" s="1"/>
  <c r="H4" i="516" s="1"/>
  <c r="L13" i="516"/>
  <c r="L12" i="516"/>
  <c r="I7" i="516" s="1"/>
  <c r="J6" i="516" s="1"/>
  <c r="L11" i="516"/>
  <c r="M11" i="516" s="1"/>
  <c r="L10" i="516"/>
  <c r="H7" i="516" s="1"/>
  <c r="J5" i="516" s="1"/>
  <c r="L9" i="516"/>
  <c r="H6" i="516" s="1"/>
  <c r="I5" i="516" s="1"/>
  <c r="L6" i="516"/>
  <c r="G6" i="516" s="1"/>
  <c r="I4" i="516" s="1"/>
  <c r="L7" i="516"/>
  <c r="G7" i="516" s="1"/>
  <c r="L8" i="516"/>
  <c r="H5" i="516" s="1"/>
  <c r="L4" i="516"/>
  <c r="G4" i="516" s="1"/>
  <c r="Q11" i="516" s="1"/>
  <c r="G16" i="515"/>
  <c r="G14" i="515"/>
  <c r="G13" i="515"/>
  <c r="G15" i="515"/>
  <c r="J20" i="514"/>
  <c r="AG20" i="514" s="1"/>
  <c r="J21" i="514"/>
  <c r="AG21" i="514" s="1"/>
  <c r="I19" i="514"/>
  <c r="AF19" i="514" s="1"/>
  <c r="I4" i="514"/>
  <c r="J7" i="514"/>
  <c r="AG7" i="514" s="1"/>
  <c r="K8" i="514"/>
  <c r="AH8" i="514" s="1"/>
  <c r="J10" i="514"/>
  <c r="AG10" i="514" s="1"/>
  <c r="J8" i="514"/>
  <c r="AG8" i="514" s="1"/>
  <c r="I9" i="514"/>
  <c r="AF9" i="514" s="1"/>
  <c r="I8" i="514"/>
  <c r="AF8" i="514" s="1"/>
  <c r="J4" i="514"/>
  <c r="AG4" i="514" s="1"/>
  <c r="H12" i="514"/>
  <c r="AE12" i="514" s="1"/>
  <c r="I23" i="514"/>
  <c r="AF23" i="514" s="1"/>
  <c r="J13" i="514"/>
  <c r="AG13" i="514" s="1"/>
  <c r="H23" i="514"/>
  <c r="AE23" i="514" s="1"/>
  <c r="H21" i="514"/>
  <c r="AE21" i="514" s="1"/>
  <c r="K10" i="514"/>
  <c r="AH10" i="514" s="1"/>
  <c r="I15" i="514"/>
  <c r="AF15" i="514" s="1"/>
  <c r="J12" i="514"/>
  <c r="AG12" i="514" s="1"/>
  <c r="H7" i="514"/>
  <c r="AE7" i="514" s="1"/>
  <c r="H9" i="514"/>
  <c r="AE9" i="514" s="1"/>
  <c r="J6" i="514"/>
  <c r="AG6" i="514" s="1"/>
  <c r="J17" i="514"/>
  <c r="AG17" i="514" s="1"/>
  <c r="H4" i="514"/>
  <c r="AE4" i="514" s="1"/>
  <c r="I21" i="514"/>
  <c r="AF21" i="514" s="1"/>
  <c r="J23" i="514"/>
  <c r="AG23" i="514" s="1"/>
  <c r="I18" i="514"/>
  <c r="AF18" i="514" s="1"/>
  <c r="I13" i="514"/>
  <c r="AF13" i="514" s="1"/>
  <c r="I11" i="514"/>
  <c r="AF11" i="514" s="1"/>
  <c r="I22" i="514"/>
  <c r="AF22" i="514" s="1"/>
  <c r="K7" i="514"/>
  <c r="AH7" i="514" s="1"/>
  <c r="I20" i="514"/>
  <c r="AF20" i="514" s="1"/>
  <c r="K18" i="514"/>
  <c r="AH18" i="514" s="1"/>
  <c r="K22" i="514"/>
  <c r="AH22" i="514" s="1"/>
  <c r="H17" i="514"/>
  <c r="H8" i="514"/>
  <c r="AE8" i="514" s="1"/>
  <c r="I5" i="514"/>
  <c r="AF5" i="514" s="1"/>
  <c r="H19" i="514"/>
  <c r="AE19" i="514" s="1"/>
  <c r="K21" i="514"/>
  <c r="AH21" i="514" s="1"/>
  <c r="I6" i="514"/>
  <c r="AF6" i="514" s="1"/>
  <c r="H5" i="514"/>
  <c r="AE5" i="514" s="1"/>
  <c r="I17" i="514"/>
  <c r="AF17" i="514" s="1"/>
  <c r="K9" i="514"/>
  <c r="AH9" i="514" s="1"/>
  <c r="H16" i="514"/>
  <c r="AE16" i="514" s="1"/>
  <c r="K13" i="514"/>
  <c r="AH13" i="514" s="1"/>
  <c r="H14" i="514"/>
  <c r="J11" i="514"/>
  <c r="AG11" i="514" s="1"/>
  <c r="I16" i="514"/>
  <c r="AF16" i="514" s="1"/>
  <c r="J18" i="514"/>
  <c r="AG18" i="514" s="1"/>
  <c r="J9" i="514"/>
  <c r="AG9" i="514" s="1"/>
  <c r="H20" i="514"/>
  <c r="AE20" i="514" s="1"/>
  <c r="K19" i="514"/>
  <c r="AH19" i="514" s="1"/>
  <c r="K4" i="514"/>
  <c r="AH4" i="514" s="1"/>
  <c r="H15" i="514"/>
  <c r="AE15" i="514" s="1"/>
  <c r="J5" i="514"/>
  <c r="AG5" i="514" s="1"/>
  <c r="I7" i="514"/>
  <c r="AF7" i="514" s="1"/>
  <c r="K16" i="514"/>
  <c r="AH16" i="514" s="1"/>
  <c r="H18" i="514"/>
  <c r="K17" i="514"/>
  <c r="AH17" i="514" s="1"/>
  <c r="J14" i="514"/>
  <c r="AG14" i="514" s="1"/>
  <c r="K12" i="514"/>
  <c r="AH12" i="514" s="1"/>
  <c r="K20" i="514"/>
  <c r="AH20" i="514" s="1"/>
  <c r="J15" i="514"/>
  <c r="AG15" i="514" s="1"/>
  <c r="H10" i="514"/>
  <c r="AE10" i="514" s="1"/>
  <c r="H6" i="514"/>
  <c r="K14" i="514"/>
  <c r="AH14" i="514" s="1"/>
  <c r="J19" i="514"/>
  <c r="AG19" i="514" s="1"/>
  <c r="I10" i="514"/>
  <c r="AF10" i="514" s="1"/>
  <c r="H11" i="514"/>
  <c r="AE11" i="514" s="1"/>
  <c r="K5" i="514"/>
  <c r="AH5" i="514" s="1"/>
  <c r="K11" i="514"/>
  <c r="AH11" i="514" s="1"/>
  <c r="K6" i="514"/>
  <c r="AH6" i="514" s="1"/>
  <c r="I14" i="514"/>
  <c r="AF14" i="514" s="1"/>
  <c r="H22" i="514"/>
  <c r="AE22" i="514" s="1"/>
  <c r="H13" i="514"/>
  <c r="J22" i="514"/>
  <c r="AG22" i="514" s="1"/>
  <c r="K15" i="514"/>
  <c r="AH15" i="514" s="1"/>
  <c r="K23" i="514"/>
  <c r="J16" i="514"/>
  <c r="AG16" i="514" s="1"/>
  <c r="I12" i="514"/>
  <c r="AF12" i="514" s="1"/>
  <c r="AB16" i="508"/>
  <c r="AC22" i="508"/>
  <c r="AC6" i="508"/>
  <c r="AB8" i="508"/>
  <c r="AA20" i="508"/>
  <c r="AC8" i="508"/>
  <c r="AA19" i="508"/>
  <c r="Z11" i="508"/>
  <c r="AA9" i="508"/>
  <c r="AB4" i="508"/>
  <c r="AC4" i="508"/>
  <c r="AC11" i="508"/>
  <c r="AC16" i="508"/>
  <c r="AA17" i="508"/>
  <c r="AA8" i="508"/>
  <c r="AB17" i="508"/>
  <c r="AB23" i="508"/>
  <c r="AB15" i="508"/>
  <c r="Z5" i="508"/>
  <c r="Z17" i="508"/>
  <c r="AB13" i="508"/>
  <c r="AB21" i="508"/>
  <c r="AA21" i="508"/>
  <c r="AA23" i="508"/>
  <c r="AC21" i="508"/>
  <c r="AB22" i="508"/>
  <c r="AA7" i="508"/>
  <c r="AB14" i="508"/>
  <c r="AA12" i="508"/>
  <c r="Z18" i="508"/>
  <c r="Z21" i="508"/>
  <c r="AB11" i="508"/>
  <c r="AC19" i="508"/>
  <c r="AB7" i="508"/>
  <c r="AA14" i="508"/>
  <c r="Z12" i="508"/>
  <c r="Z9" i="508"/>
  <c r="AC13" i="508"/>
  <c r="AA16" i="508"/>
  <c r="AA18" i="508"/>
  <c r="AC14" i="508"/>
  <c r="Z10" i="508"/>
  <c r="AC18" i="508"/>
  <c r="Z16" i="508"/>
  <c r="AA15" i="508"/>
  <c r="AB12" i="508"/>
  <c r="AC5" i="508"/>
  <c r="Z20" i="508"/>
  <c r="AA11" i="508"/>
  <c r="AB18" i="508"/>
  <c r="Z19" i="508"/>
  <c r="AC17" i="508"/>
  <c r="AC20" i="508"/>
  <c r="AA6" i="508"/>
  <c r="AA22" i="508"/>
  <c r="AA5" i="508"/>
  <c r="AA4" i="508"/>
  <c r="AB6" i="508"/>
  <c r="AC10" i="508"/>
  <c r="AA10" i="508"/>
  <c r="AB10" i="508"/>
  <c r="AB5" i="508"/>
  <c r="Z7" i="508"/>
  <c r="AB20" i="508"/>
  <c r="AB19" i="508"/>
  <c r="AB9" i="508"/>
  <c r="Z15" i="508"/>
  <c r="AC15" i="508"/>
  <c r="AA13" i="508"/>
  <c r="Z22" i="508"/>
  <c r="Z13" i="508"/>
  <c r="Z23" i="508"/>
  <c r="AC7" i="508"/>
  <c r="Z6" i="508"/>
  <c r="Z8" i="508"/>
  <c r="Z14" i="508"/>
  <c r="AC23" i="508"/>
  <c r="AC12" i="508"/>
  <c r="AC9" i="508"/>
  <c r="E24" i="522"/>
  <c r="N13" i="508"/>
  <c r="O10" i="508"/>
  <c r="N6" i="508"/>
  <c r="Q20" i="508"/>
  <c r="Q22" i="508"/>
  <c r="P6" i="508"/>
  <c r="O5" i="508"/>
  <c r="N10" i="508"/>
  <c r="P13" i="508"/>
  <c r="P8" i="508"/>
  <c r="N19" i="508"/>
  <c r="Q17" i="508"/>
  <c r="N14" i="508"/>
  <c r="Q15" i="508"/>
  <c r="P15" i="508"/>
  <c r="N9" i="508"/>
  <c r="P14" i="508"/>
  <c r="O18" i="508"/>
  <c r="Q8" i="508"/>
  <c r="O21" i="508"/>
  <c r="Q13" i="508"/>
  <c r="P22" i="508"/>
  <c r="Q14" i="508"/>
  <c r="O9" i="508"/>
  <c r="N11" i="508"/>
  <c r="P18" i="508"/>
  <c r="N8" i="508"/>
  <c r="O17" i="508"/>
  <c r="Q5" i="508"/>
  <c r="P12" i="508"/>
  <c r="N21" i="508"/>
  <c r="O7" i="508"/>
  <c r="O23" i="508"/>
  <c r="Q19" i="508"/>
  <c r="O14" i="508"/>
  <c r="P20" i="508"/>
  <c r="P19" i="508"/>
  <c r="Q12" i="508"/>
  <c r="P11" i="508"/>
  <c r="Q16" i="508"/>
  <c r="O13" i="508"/>
  <c r="N17" i="508"/>
  <c r="O20" i="508"/>
  <c r="P9" i="508"/>
  <c r="P21" i="508"/>
  <c r="Q9" i="508"/>
  <c r="N20" i="508"/>
  <c r="N16" i="508"/>
  <c r="O15" i="508"/>
  <c r="P7" i="508"/>
  <c r="O11" i="508"/>
  <c r="P17" i="508"/>
  <c r="O12" i="508"/>
  <c r="O19" i="508"/>
  <c r="N22" i="508"/>
  <c r="Q18" i="508"/>
  <c r="N15" i="508"/>
  <c r="N5" i="508"/>
  <c r="Q11" i="508"/>
  <c r="O16" i="508"/>
  <c r="Q10" i="508"/>
  <c r="O6" i="508"/>
  <c r="Q7" i="508"/>
  <c r="N12" i="508"/>
  <c r="N23" i="508"/>
  <c r="O4" i="508"/>
  <c r="Q6" i="508"/>
  <c r="Q4" i="508"/>
  <c r="Q21" i="508"/>
  <c r="N7" i="508"/>
  <c r="O8" i="508"/>
  <c r="N18" i="508"/>
  <c r="P4" i="508"/>
  <c r="P5" i="508"/>
  <c r="P16" i="508"/>
  <c r="P10" i="508"/>
  <c r="O22" i="508"/>
  <c r="Q23" i="508"/>
  <c r="P23" i="508"/>
  <c r="U5" i="508"/>
  <c r="U10" i="508"/>
  <c r="W14" i="508"/>
  <c r="V5" i="508"/>
  <c r="U12" i="508"/>
  <c r="V13" i="508"/>
  <c r="T9" i="508"/>
  <c r="W6" i="508"/>
  <c r="W15" i="508"/>
  <c r="U14" i="508"/>
  <c r="T6" i="508"/>
  <c r="T7" i="508"/>
  <c r="W10" i="508"/>
  <c r="W13" i="508"/>
  <c r="V21" i="508"/>
  <c r="V15" i="508"/>
  <c r="T16" i="508"/>
  <c r="U20" i="508"/>
  <c r="V20" i="508"/>
  <c r="W20" i="508"/>
  <c r="T17" i="508"/>
  <c r="V11" i="508"/>
  <c r="V19" i="508"/>
  <c r="V10" i="508"/>
  <c r="W23" i="508"/>
  <c r="V6" i="508"/>
  <c r="T12" i="508"/>
  <c r="T20" i="508"/>
  <c r="U17" i="508"/>
  <c r="U22" i="508"/>
  <c r="V9" i="508"/>
  <c r="T11" i="508"/>
  <c r="W11" i="508"/>
  <c r="U4" i="508"/>
  <c r="W9" i="508"/>
  <c r="V17" i="508"/>
  <c r="V8" i="508"/>
  <c r="V7" i="508"/>
  <c r="V4" i="508"/>
  <c r="V22" i="508"/>
  <c r="U18" i="508"/>
  <c r="U21" i="508"/>
  <c r="U16" i="508"/>
  <c r="V12" i="508"/>
  <c r="W4" i="508"/>
  <c r="W19" i="508"/>
  <c r="T8" i="508"/>
  <c r="U8" i="508"/>
  <c r="V14" i="508"/>
  <c r="V18" i="508"/>
  <c r="U7" i="508"/>
  <c r="W7" i="508"/>
  <c r="U15" i="508"/>
  <c r="T21" i="508"/>
  <c r="U9" i="508"/>
  <c r="V16" i="508"/>
  <c r="T23" i="508"/>
  <c r="T18" i="508"/>
  <c r="T19" i="508"/>
  <c r="U13" i="508"/>
  <c r="W12" i="508"/>
  <c r="T10" i="508"/>
  <c r="T15" i="508"/>
  <c r="T22" i="508"/>
  <c r="U11" i="508"/>
  <c r="U23" i="508"/>
  <c r="W21" i="508"/>
  <c r="T5" i="508"/>
  <c r="W18" i="508"/>
  <c r="U19" i="508"/>
  <c r="T14" i="508"/>
  <c r="W8" i="508"/>
  <c r="T13" i="508"/>
  <c r="W22" i="508"/>
  <c r="W17" i="508"/>
  <c r="W16" i="508"/>
  <c r="U6" i="508"/>
  <c r="W5" i="508"/>
  <c r="V23" i="508"/>
  <c r="L5" i="518"/>
  <c r="G5" i="518" s="1"/>
  <c r="H4" i="518" s="1"/>
  <c r="L8" i="518"/>
  <c r="M8" i="518" s="1"/>
  <c r="L11" i="518"/>
  <c r="M11" i="518" s="1"/>
  <c r="L7" i="518"/>
  <c r="G7" i="518" s="1"/>
  <c r="J4" i="518" s="1"/>
  <c r="L9" i="518"/>
  <c r="H6" i="518" s="1"/>
  <c r="I5" i="518" s="1"/>
  <c r="L12" i="518"/>
  <c r="I7" i="518" s="1"/>
  <c r="J6" i="518" s="1"/>
  <c r="L13" i="518"/>
  <c r="J7" i="518" s="1"/>
  <c r="L6" i="518"/>
  <c r="G6" i="518" s="1"/>
  <c r="I4" i="518" s="1"/>
  <c r="L10" i="518"/>
  <c r="H7" i="518" s="1"/>
  <c r="J5" i="518" s="1"/>
  <c r="L4" i="518"/>
  <c r="I14" i="508"/>
  <c r="K17" i="508"/>
  <c r="I12" i="508"/>
  <c r="K22" i="508"/>
  <c r="K14" i="508"/>
  <c r="I17" i="508"/>
  <c r="H5" i="508"/>
  <c r="J13" i="508"/>
  <c r="K15" i="508"/>
  <c r="J11" i="508"/>
  <c r="I22" i="508"/>
  <c r="K6" i="508"/>
  <c r="I4" i="508"/>
  <c r="I11" i="508"/>
  <c r="J14" i="508"/>
  <c r="K9" i="508"/>
  <c r="I18" i="508"/>
  <c r="K19" i="508"/>
  <c r="I7" i="508"/>
  <c r="H7" i="508"/>
  <c r="J4" i="508"/>
  <c r="J16" i="508"/>
  <c r="J18" i="508"/>
  <c r="J23" i="508"/>
  <c r="I6" i="508"/>
  <c r="I19" i="508"/>
  <c r="J19" i="508"/>
  <c r="I21" i="508"/>
  <c r="H21" i="508"/>
  <c r="J8" i="508"/>
  <c r="H16" i="508"/>
  <c r="J9" i="508"/>
  <c r="K8" i="508"/>
  <c r="H6" i="508"/>
  <c r="J21" i="508"/>
  <c r="H11" i="508"/>
  <c r="I13" i="508"/>
  <c r="H22" i="508"/>
  <c r="J20" i="508"/>
  <c r="J5" i="508"/>
  <c r="H9" i="508"/>
  <c r="K20" i="508"/>
  <c r="I23" i="508"/>
  <c r="H12" i="508"/>
  <c r="I8" i="508"/>
  <c r="H8" i="508"/>
  <c r="K12" i="508"/>
  <c r="H17" i="508"/>
  <c r="H10" i="508"/>
  <c r="J17" i="508"/>
  <c r="K5" i="508"/>
  <c r="I16" i="508"/>
  <c r="K16" i="508"/>
  <c r="K10" i="508"/>
  <c r="J6" i="508"/>
  <c r="J7" i="508"/>
  <c r="I10" i="508"/>
  <c r="I15" i="508"/>
  <c r="H15" i="508"/>
  <c r="J12" i="508"/>
  <c r="K11" i="508"/>
  <c r="K7" i="508"/>
  <c r="I20" i="508"/>
  <c r="H18" i="508"/>
  <c r="J15" i="508"/>
  <c r="K21" i="508"/>
  <c r="J10" i="508"/>
  <c r="H20" i="508"/>
  <c r="K4" i="508"/>
  <c r="K18" i="508"/>
  <c r="I5" i="508"/>
  <c r="J22" i="508"/>
  <c r="H4" i="508"/>
  <c r="H14" i="508"/>
  <c r="I9" i="508"/>
  <c r="H23" i="508"/>
  <c r="K13" i="508"/>
  <c r="K23" i="508"/>
  <c r="H13" i="508"/>
  <c r="H19" i="508"/>
  <c r="A17" i="507"/>
  <c r="A16" i="509"/>
  <c r="Z11" i="514" l="1"/>
  <c r="I6" i="518"/>
  <c r="M4" i="516"/>
  <c r="M5" i="516"/>
  <c r="P24" i="528"/>
  <c r="H4" i="509" a="1"/>
  <c r="J18" i="509" s="1"/>
  <c r="Z6" i="528" a="1"/>
  <c r="M7" i="518"/>
  <c r="AF22" i="522"/>
  <c r="Y12" i="528" a="1"/>
  <c r="AA14" i="528" s="1"/>
  <c r="AG21" i="522"/>
  <c r="W20" i="499"/>
  <c r="L20" i="499"/>
  <c r="M20" i="499" s="1"/>
  <c r="H24" i="506"/>
  <c r="AD21" i="522"/>
  <c r="AE21" i="522" s="1"/>
  <c r="AD7" i="529"/>
  <c r="AE14" i="529" s="1"/>
  <c r="AE15" i="529" s="1"/>
  <c r="AF15" i="529" s="1"/>
  <c r="AD9" i="529" s="1"/>
  <c r="J24" i="505"/>
  <c r="K24" i="505"/>
  <c r="V20" i="499"/>
  <c r="I6" i="516"/>
  <c r="M8" i="516"/>
  <c r="O20" i="499"/>
  <c r="P25" i="507"/>
  <c r="N25" i="506"/>
  <c r="N25" i="505"/>
  <c r="N24" i="507"/>
  <c r="M7" i="516"/>
  <c r="O16" i="514"/>
  <c r="M10" i="516"/>
  <c r="M13" i="518"/>
  <c r="M6" i="516"/>
  <c r="AF20" i="522"/>
  <c r="H25" i="507"/>
  <c r="M12" i="518"/>
  <c r="M6" i="518"/>
  <c r="Y12" i="529" a="1"/>
  <c r="AA12" i="529" s="1"/>
  <c r="P25" i="506"/>
  <c r="K25" i="505"/>
  <c r="T20" i="499"/>
  <c r="U20" i="499" s="1"/>
  <c r="P24" i="507"/>
  <c r="AF19" i="522"/>
  <c r="K24" i="514"/>
  <c r="J25" i="514"/>
  <c r="M9" i="516"/>
  <c r="M5" i="518"/>
  <c r="I25" i="507"/>
  <c r="AD19" i="522"/>
  <c r="AE19" i="522" s="1"/>
  <c r="P24" i="529"/>
  <c r="H24" i="507"/>
  <c r="T7" i="517"/>
  <c r="T6" i="517" s="1"/>
  <c r="O25" i="506"/>
  <c r="O12" i="522" a="1"/>
  <c r="P13" i="522" s="1"/>
  <c r="T7" i="522"/>
  <c r="U14" i="522" s="1"/>
  <c r="V14" i="522" s="1"/>
  <c r="Q24" i="507"/>
  <c r="P29" i="530"/>
  <c r="N10" i="514"/>
  <c r="N16" i="514" s="1"/>
  <c r="O12" i="527" a="1"/>
  <c r="O13" i="527" s="1"/>
  <c r="T7" i="527"/>
  <c r="T8" i="527" s="1"/>
  <c r="H25" i="514"/>
  <c r="AG19" i="522"/>
  <c r="J25" i="506"/>
  <c r="I25" i="506"/>
  <c r="H25" i="506"/>
  <c r="M12" i="516"/>
  <c r="E24" i="527"/>
  <c r="AF21" i="522"/>
  <c r="N20" i="499"/>
  <c r="E24" i="517"/>
  <c r="K25" i="507"/>
  <c r="I24" i="507"/>
  <c r="O12" i="517" a="1"/>
  <c r="Q12" i="517" s="1"/>
  <c r="P24" i="506"/>
  <c r="N24" i="506"/>
  <c r="Q24" i="506"/>
  <c r="J25" i="505"/>
  <c r="I24" i="505"/>
  <c r="H25" i="505"/>
  <c r="K27" i="511"/>
  <c r="W19" i="499"/>
  <c r="Q24" i="505"/>
  <c r="N24" i="505"/>
  <c r="O24" i="505"/>
  <c r="P24" i="505"/>
  <c r="N25" i="507"/>
  <c r="O24" i="507"/>
  <c r="L19" i="499"/>
  <c r="M19" i="499" s="1"/>
  <c r="AD22" i="522"/>
  <c r="AE22" i="522" s="1"/>
  <c r="K20" i="504"/>
  <c r="N14" i="514"/>
  <c r="K24" i="507"/>
  <c r="AG20" i="522"/>
  <c r="Q25" i="506"/>
  <c r="N19" i="499"/>
  <c r="O25" i="505"/>
  <c r="J24" i="507"/>
  <c r="I25" i="505"/>
  <c r="AD20" i="522"/>
  <c r="AE20" i="522" s="1"/>
  <c r="H24" i="505"/>
  <c r="P25" i="505"/>
  <c r="N4" i="508"/>
  <c r="AF4" i="514"/>
  <c r="AF24" i="514" s="1"/>
  <c r="J7" i="516"/>
  <c r="M13" i="516"/>
  <c r="H24" i="514"/>
  <c r="I24" i="514"/>
  <c r="K25" i="514"/>
  <c r="I24" i="506"/>
  <c r="Q25" i="505"/>
  <c r="V19" i="499"/>
  <c r="J25" i="507"/>
  <c r="T19" i="499"/>
  <c r="U19" i="499" s="1"/>
  <c r="K24" i="506"/>
  <c r="Q25" i="507"/>
  <c r="O25" i="507"/>
  <c r="O24" i="506"/>
  <c r="O19" i="499"/>
  <c r="M4" i="518"/>
  <c r="G4" i="518"/>
  <c r="T4" i="508"/>
  <c r="Z4" i="508"/>
  <c r="AH23" i="514"/>
  <c r="AH25" i="514" s="1"/>
  <c r="J24" i="514"/>
  <c r="I25" i="514"/>
  <c r="AG22" i="522"/>
  <c r="J24" i="506"/>
  <c r="M10" i="518"/>
  <c r="K25" i="506"/>
  <c r="H5" i="518"/>
  <c r="M9" i="518"/>
  <c r="Q12" i="516"/>
  <c r="J4" i="516"/>
  <c r="AB7" i="522"/>
  <c r="AC15" i="522"/>
  <c r="AD15" i="522" s="1"/>
  <c r="AB9" i="522" s="1"/>
  <c r="AD14" i="522"/>
  <c r="AG25" i="514"/>
  <c r="AG24" i="514"/>
  <c r="A18" i="507"/>
  <c r="A17" i="509"/>
  <c r="AE20" i="529" a="1"/>
  <c r="AE21" i="529" l="1"/>
  <c r="AE20" i="529"/>
  <c r="AE22" i="529"/>
  <c r="H11" i="509"/>
  <c r="Z10" i="514"/>
  <c r="I5" i="509"/>
  <c r="J23" i="509"/>
  <c r="J6" i="509"/>
  <c r="K23" i="509"/>
  <c r="H14" i="509"/>
  <c r="H10" i="509"/>
  <c r="J16" i="509"/>
  <c r="H21" i="509"/>
  <c r="H4" i="509"/>
  <c r="K13" i="509"/>
  <c r="I21" i="509"/>
  <c r="J8" i="509"/>
  <c r="J10" i="509"/>
  <c r="J9" i="509"/>
  <c r="K5" i="509"/>
  <c r="H17" i="509"/>
  <c r="J7" i="509"/>
  <c r="I14" i="509"/>
  <c r="K15" i="509"/>
  <c r="K10" i="509"/>
  <c r="I10" i="509"/>
  <c r="I6" i="509"/>
  <c r="H5" i="509"/>
  <c r="K14" i="509"/>
  <c r="J21" i="509"/>
  <c r="H18" i="509"/>
  <c r="J17" i="509"/>
  <c r="I11" i="509"/>
  <c r="J20" i="509"/>
  <c r="J12" i="509"/>
  <c r="I16" i="509"/>
  <c r="J4" i="509"/>
  <c r="K16" i="509"/>
  <c r="K22" i="509"/>
  <c r="I22" i="509"/>
  <c r="K9" i="509"/>
  <c r="H9" i="509"/>
  <c r="H20" i="509"/>
  <c r="H8" i="509"/>
  <c r="J5" i="509"/>
  <c r="K21" i="509"/>
  <c r="J13" i="509"/>
  <c r="K6" i="509"/>
  <c r="I13" i="509"/>
  <c r="I17" i="509"/>
  <c r="K18" i="509"/>
  <c r="K7" i="509"/>
  <c r="H19" i="509"/>
  <c r="Y13" i="528"/>
  <c r="AA12" i="528"/>
  <c r="T6" i="522"/>
  <c r="H16" i="509"/>
  <c r="I7" i="509"/>
  <c r="K17" i="509"/>
  <c r="H15" i="509"/>
  <c r="H7" i="509"/>
  <c r="H13" i="509"/>
  <c r="I19" i="509"/>
  <c r="K20" i="509"/>
  <c r="I8" i="509"/>
  <c r="I9" i="509"/>
  <c r="K11" i="509"/>
  <c r="J11" i="509"/>
  <c r="H12" i="509"/>
  <c r="I4" i="509"/>
  <c r="J22" i="509"/>
  <c r="H22" i="509"/>
  <c r="K12" i="509"/>
  <c r="I12" i="509"/>
  <c r="Z6" i="528"/>
  <c r="Z8" i="528"/>
  <c r="Z7" i="528"/>
  <c r="K8" i="509"/>
  <c r="K19" i="509"/>
  <c r="H23" i="509"/>
  <c r="K4" i="509"/>
  <c r="I20" i="509"/>
  <c r="J19" i="509"/>
  <c r="I23" i="509"/>
  <c r="H6" i="509"/>
  <c r="J15" i="509"/>
  <c r="I18" i="509"/>
  <c r="J14" i="509"/>
  <c r="I15" i="509"/>
  <c r="P22" i="514"/>
  <c r="Y14" i="528"/>
  <c r="Y12" i="528"/>
  <c r="AA13" i="528"/>
  <c r="Z12" i="528"/>
  <c r="Z14" i="528"/>
  <c r="Z13" i="528"/>
  <c r="P12" i="522"/>
  <c r="U14" i="527"/>
  <c r="V14" i="527" s="1"/>
  <c r="Q14" i="527"/>
  <c r="AD8" i="529"/>
  <c r="AA14" i="529"/>
  <c r="AD6" i="529"/>
  <c r="AF14" i="529"/>
  <c r="AG14" i="529" s="1"/>
  <c r="AH14" i="529" s="1"/>
  <c r="AI14" i="529" s="1"/>
  <c r="O12" i="522"/>
  <c r="Z12" i="529"/>
  <c r="P13" i="527"/>
  <c r="O13" i="522"/>
  <c r="P14" i="522"/>
  <c r="P21" i="514"/>
  <c r="Q12" i="522"/>
  <c r="O14" i="522"/>
  <c r="Y13" i="529"/>
  <c r="Y14" i="529"/>
  <c r="Q12" i="527"/>
  <c r="P12" i="527"/>
  <c r="Z13" i="529"/>
  <c r="AA13" i="529"/>
  <c r="Z14" i="529"/>
  <c r="P20" i="514"/>
  <c r="Q14" i="517"/>
  <c r="Y12" i="529"/>
  <c r="T8" i="522"/>
  <c r="P19" i="514"/>
  <c r="T6" i="527"/>
  <c r="U14" i="517"/>
  <c r="V14" i="517" s="1"/>
  <c r="Z12" i="514"/>
  <c r="O14" i="527"/>
  <c r="P14" i="527"/>
  <c r="O12" i="527"/>
  <c r="O13" i="517"/>
  <c r="Q13" i="527"/>
  <c r="T8" i="517"/>
  <c r="N15" i="514"/>
  <c r="AA5" i="514" s="1"/>
  <c r="Q14" i="522"/>
  <c r="Q13" i="522"/>
  <c r="O14" i="517"/>
  <c r="P13" i="517"/>
  <c r="AH24" i="514"/>
  <c r="O12" i="517"/>
  <c r="P14" i="517"/>
  <c r="Q13" i="517"/>
  <c r="P12" i="517"/>
  <c r="AA19" i="530"/>
  <c r="Z7" i="530"/>
  <c r="Z6" i="530" s="1"/>
  <c r="Z19" i="530"/>
  <c r="Z10" i="530"/>
  <c r="Z16" i="530" s="1"/>
  <c r="U5" i="511"/>
  <c r="U4" i="511" s="1"/>
  <c r="V17" i="511"/>
  <c r="U17" i="511"/>
  <c r="U8" i="511"/>
  <c r="U14" i="511" s="1"/>
  <c r="AF25" i="514"/>
  <c r="Z13" i="514"/>
  <c r="R11" i="516"/>
  <c r="Q3" i="516" a="1"/>
  <c r="Q3" i="516" s="1"/>
  <c r="R12" i="516"/>
  <c r="U15" i="522"/>
  <c r="V15" i="522" s="1"/>
  <c r="T9" i="522" s="1"/>
  <c r="AE14" i="522"/>
  <c r="AF14" i="522" s="1"/>
  <c r="AG14" i="522" s="1"/>
  <c r="AB8" i="522"/>
  <c r="AB6" i="522"/>
  <c r="A19" i="507"/>
  <c r="A18" i="509"/>
  <c r="U20" i="522" a="1"/>
  <c r="U21" i="522" l="1"/>
  <c r="U20" i="522"/>
  <c r="U22" i="522"/>
  <c r="AH22" i="529"/>
  <c r="AL38" i="508"/>
  <c r="AL26" i="508"/>
  <c r="AL25" i="508" s="1"/>
  <c r="Y21" i="522"/>
  <c r="Y22" i="522"/>
  <c r="AI20" i="529"/>
  <c r="AL29" i="508"/>
  <c r="AL35" i="508" s="1"/>
  <c r="AF21" i="529"/>
  <c r="AG21" i="529" s="1"/>
  <c r="AM38" i="508"/>
  <c r="Y20" i="522"/>
  <c r="AB19" i="530"/>
  <c r="W17" i="511"/>
  <c r="H25" i="509"/>
  <c r="I25" i="509"/>
  <c r="I24" i="509"/>
  <c r="J25" i="509"/>
  <c r="K25" i="509"/>
  <c r="K24" i="509"/>
  <c r="J24" i="509"/>
  <c r="AD20" i="528" a="1"/>
  <c r="Z5" i="528" a="1"/>
  <c r="Z5" i="528" s="1"/>
  <c r="AD19" i="528" s="1"/>
  <c r="AD7" i="528"/>
  <c r="H24" i="509"/>
  <c r="S19" i="514"/>
  <c r="U15" i="527"/>
  <c r="V15" i="527" s="1"/>
  <c r="T9" i="527" s="1"/>
  <c r="U15" i="517"/>
  <c r="V15" i="517" s="1"/>
  <c r="T9" i="517" s="1"/>
  <c r="V14" i="511"/>
  <c r="V12" i="511" s="1"/>
  <c r="V13" i="511" s="1"/>
  <c r="Z20" i="530" a="1"/>
  <c r="Z20" i="530" s="1"/>
  <c r="R21" i="514"/>
  <c r="R19" i="514"/>
  <c r="Q14" i="516" a="1"/>
  <c r="Q14" i="516" s="1"/>
  <c r="U18" i="511" a="1"/>
  <c r="U18" i="511" s="1"/>
  <c r="V18" i="511" a="1"/>
  <c r="V18" i="511" s="1"/>
  <c r="Z14" i="530"/>
  <c r="Z15" i="530" s="1"/>
  <c r="AD19" i="530" s="1"/>
  <c r="R22" i="514"/>
  <c r="Q20" i="514"/>
  <c r="Q21" i="514"/>
  <c r="S21" i="514"/>
  <c r="S20" i="514"/>
  <c r="Q19" i="514"/>
  <c r="R20" i="514"/>
  <c r="Q22" i="514"/>
  <c r="S22" i="514"/>
  <c r="U12" i="511"/>
  <c r="U6" i="511" s="1"/>
  <c r="AA20" i="530" a="1"/>
  <c r="AA20" i="530" s="1"/>
  <c r="E24" i="516"/>
  <c r="E24" i="518"/>
  <c r="AA16" i="530"/>
  <c r="AA14" i="530" s="1"/>
  <c r="W14" i="522"/>
  <c r="X14" i="522" s="1"/>
  <c r="Y14" i="522" s="1"/>
  <c r="A20" i="507"/>
  <c r="A19" i="509"/>
  <c r="U20" i="517" a="1"/>
  <c r="U20" i="527" a="1"/>
  <c r="U22" i="517" l="1"/>
  <c r="U21" i="517"/>
  <c r="U20" i="517"/>
  <c r="U22" i="527"/>
  <c r="X22" i="527" s="1"/>
  <c r="U21" i="527"/>
  <c r="U20" i="527"/>
  <c r="Y20" i="517"/>
  <c r="X22" i="517"/>
  <c r="V21" i="527"/>
  <c r="W21" i="527" s="1"/>
  <c r="X20" i="527"/>
  <c r="X21" i="517"/>
  <c r="AD20" i="528"/>
  <c r="AD21" i="528"/>
  <c r="AD22" i="528"/>
  <c r="AD8" i="528"/>
  <c r="AE14" i="528"/>
  <c r="AD6" i="528"/>
  <c r="Z21" i="530"/>
  <c r="Z8" i="530"/>
  <c r="W14" i="527"/>
  <c r="X14" i="527" s="1"/>
  <c r="Y14" i="527" s="1"/>
  <c r="W14" i="517"/>
  <c r="X14" i="517" s="1"/>
  <c r="Y14" i="517" s="1"/>
  <c r="U19" i="511"/>
  <c r="Z22" i="530"/>
  <c r="AB20" i="530"/>
  <c r="AC20" i="530" s="1"/>
  <c r="AH21" i="529"/>
  <c r="AM35" i="508"/>
  <c r="AM33" i="508" s="1"/>
  <c r="AM34" i="508" s="1"/>
  <c r="AI22" i="529"/>
  <c r="AA21" i="530"/>
  <c r="AA15" i="530"/>
  <c r="AB15" i="530" s="1"/>
  <c r="Z9" i="530" s="1"/>
  <c r="V19" i="511"/>
  <c r="AI21" i="529"/>
  <c r="V20" i="511"/>
  <c r="U20" i="511"/>
  <c r="AN38" i="508"/>
  <c r="AO38" i="508" s="1"/>
  <c r="AF22" i="529"/>
  <c r="AG22" i="529" s="1"/>
  <c r="AA22" i="530"/>
  <c r="W12" i="511"/>
  <c r="AH20" i="529"/>
  <c r="W18" i="511"/>
  <c r="AB14" i="530"/>
  <c r="AF20" i="529"/>
  <c r="AG20" i="529" s="1"/>
  <c r="U13" i="511"/>
  <c r="X17" i="511" s="1"/>
  <c r="AL33" i="508"/>
  <c r="AL34" i="508" s="1"/>
  <c r="AM39" i="508" a="1"/>
  <c r="AM41" i="508" s="1"/>
  <c r="AL39" i="508" a="1"/>
  <c r="AL40" i="508" s="1"/>
  <c r="X21" i="522"/>
  <c r="X20" i="522"/>
  <c r="V22" i="522"/>
  <c r="W22" i="522" s="1"/>
  <c r="X22" i="522"/>
  <c r="V20" i="522"/>
  <c r="W20" i="522" s="1"/>
  <c r="V21" i="522"/>
  <c r="W21" i="522" s="1"/>
  <c r="AD20" i="530"/>
  <c r="AC19" i="530"/>
  <c r="AE19" i="530"/>
  <c r="AE20" i="530"/>
  <c r="A21" i="507"/>
  <c r="A20" i="509"/>
  <c r="Y20" i="527" l="1"/>
  <c r="X21" i="527"/>
  <c r="V21" i="517"/>
  <c r="W21" i="517" s="1"/>
  <c r="AB21" i="530"/>
  <c r="AC21" i="530" s="1"/>
  <c r="V20" i="527"/>
  <c r="W20" i="527" s="1"/>
  <c r="Y22" i="517"/>
  <c r="AE15" i="528"/>
  <c r="AF15" i="528" s="1"/>
  <c r="AD9" i="528" s="1"/>
  <c r="AF14" i="528"/>
  <c r="Y22" i="527"/>
  <c r="V22" i="527"/>
  <c r="W22" i="527" s="1"/>
  <c r="V20" i="517"/>
  <c r="W20" i="517" s="1"/>
  <c r="V22" i="517"/>
  <c r="W22" i="517" s="1"/>
  <c r="W19" i="511"/>
  <c r="Y21" i="517"/>
  <c r="Y21" i="527"/>
  <c r="AE22" i="530"/>
  <c r="X20" i="517"/>
  <c r="W20" i="511"/>
  <c r="X20" i="511" s="1"/>
  <c r="W13" i="511"/>
  <c r="U7" i="511" s="1"/>
  <c r="AE21" i="530"/>
  <c r="AD21" i="530"/>
  <c r="Y18" i="511"/>
  <c r="Y19" i="511"/>
  <c r="Z19" i="511"/>
  <c r="X19" i="511"/>
  <c r="Z20" i="511"/>
  <c r="Z17" i="511"/>
  <c r="Y20" i="511"/>
  <c r="Y17" i="511"/>
  <c r="Z18" i="511"/>
  <c r="AD22" i="530"/>
  <c r="AM40" i="508"/>
  <c r="AP40" i="508" s="1"/>
  <c r="AB22" i="530"/>
  <c r="AC22" i="530" s="1"/>
  <c r="X18" i="511"/>
  <c r="AN33" i="508"/>
  <c r="AM39" i="508"/>
  <c r="AL27" i="508"/>
  <c r="AQ38" i="508"/>
  <c r="AP38" i="508"/>
  <c r="AN34" i="508"/>
  <c r="AL28" i="508" s="1"/>
  <c r="AL39" i="508"/>
  <c r="AL41" i="508"/>
  <c r="AQ41" i="508" s="1"/>
  <c r="AC14" i="530"/>
  <c r="AD14" i="530" s="1"/>
  <c r="AE14" i="530" s="1"/>
  <c r="A22" i="507"/>
  <c r="A21" i="509"/>
  <c r="AE20" i="528" a="1"/>
  <c r="AE21" i="528" l="1"/>
  <c r="AE20" i="528"/>
  <c r="AE22" i="528"/>
  <c r="AG14" i="528"/>
  <c r="AH14" i="528" s="1"/>
  <c r="AI14" i="528" s="1"/>
  <c r="X12" i="511"/>
  <c r="Y12" i="511" s="1"/>
  <c r="Z12" i="511" s="1"/>
  <c r="AP39" i="508"/>
  <c r="AN40" i="508"/>
  <c r="AO40" i="508" s="1"/>
  <c r="AQ40" i="508"/>
  <c r="AQ39" i="508"/>
  <c r="AN39" i="508"/>
  <c r="AO39" i="508" s="1"/>
  <c r="AO33" i="508"/>
  <c r="AP33" i="508" s="1"/>
  <c r="AQ33" i="508" s="1"/>
  <c r="AN41" i="508"/>
  <c r="AO41" i="508" s="1"/>
  <c r="AP41" i="508"/>
  <c r="A23" i="507"/>
  <c r="A23" i="509" s="1"/>
  <c r="A22" i="509"/>
  <c r="AF20" i="528" l="1"/>
  <c r="AG20" i="528" s="1"/>
  <c r="AI20" i="528"/>
  <c r="AH20" i="528"/>
  <c r="AI22" i="528"/>
  <c r="AH22" i="528"/>
  <c r="AF22" i="528"/>
  <c r="AG22" i="528" s="1"/>
  <c r="AH21" i="528"/>
  <c r="AF21" i="528"/>
  <c r="AG21" i="528" s="1"/>
  <c r="AI21" i="528"/>
  <c r="I41" i="479" l="1"/>
  <c r="I34" i="479" l="1"/>
  <c r="I33" i="479"/>
  <c r="I32" i="479"/>
  <c r="I35" i="479"/>
  <c r="U39" i="479"/>
  <c r="T39" i="479"/>
  <c r="S39" i="479"/>
  <c r="R39" i="479"/>
  <c r="Q39" i="479"/>
  <c r="U38" i="479"/>
  <c r="T38" i="479"/>
  <c r="S38" i="479"/>
  <c r="R38" i="479"/>
  <c r="Q38" i="479"/>
  <c r="U37" i="479"/>
  <c r="T37" i="479"/>
  <c r="S37" i="479"/>
  <c r="R37" i="479"/>
  <c r="Q37" i="479"/>
  <c r="U36" i="479"/>
  <c r="T36" i="479"/>
  <c r="S36" i="479"/>
  <c r="R36" i="479"/>
  <c r="Q36" i="479"/>
  <c r="U35" i="479"/>
  <c r="T35" i="479"/>
  <c r="S35" i="479"/>
  <c r="R35" i="479"/>
  <c r="Q35" i="479"/>
  <c r="U34" i="479"/>
  <c r="T34" i="479"/>
  <c r="S34" i="479"/>
  <c r="R34" i="479"/>
  <c r="Q34" i="479"/>
  <c r="U33" i="479"/>
  <c r="T33" i="479"/>
  <c r="S33" i="479"/>
  <c r="R33" i="479"/>
  <c r="Q33" i="479"/>
  <c r="U32" i="479"/>
  <c r="T32" i="479"/>
  <c r="S32" i="479"/>
  <c r="R32" i="479"/>
  <c r="Q32" i="479"/>
  <c r="U31" i="479"/>
  <c r="T31" i="479"/>
  <c r="S31" i="479"/>
  <c r="R31" i="479"/>
  <c r="Q31" i="479"/>
  <c r="P31" i="479"/>
  <c r="T30" i="479"/>
  <c r="S30" i="479"/>
  <c r="R30" i="479"/>
  <c r="Q30" i="479"/>
  <c r="U27" i="479"/>
  <c r="T27" i="479"/>
  <c r="S27" i="479"/>
  <c r="R27" i="479"/>
  <c r="Q27" i="479"/>
  <c r="U26" i="479"/>
  <c r="T26" i="479"/>
  <c r="S26" i="479"/>
  <c r="R26" i="479"/>
  <c r="Q26" i="479"/>
  <c r="U25" i="479"/>
  <c r="T25" i="479"/>
  <c r="S25" i="479"/>
  <c r="R25" i="479"/>
  <c r="Q25" i="479"/>
  <c r="U24" i="479"/>
  <c r="T24" i="479"/>
  <c r="S24" i="479"/>
  <c r="R24" i="479"/>
  <c r="Q24" i="479"/>
  <c r="U23" i="479"/>
  <c r="T23" i="479"/>
  <c r="S23" i="479"/>
  <c r="R23" i="479"/>
  <c r="Q23" i="479"/>
  <c r="U22" i="479"/>
  <c r="T22" i="479"/>
  <c r="S22" i="479"/>
  <c r="R22" i="479"/>
  <c r="Q22" i="479"/>
  <c r="U21" i="479"/>
  <c r="T21" i="479"/>
  <c r="S21" i="479"/>
  <c r="R21" i="479"/>
  <c r="Q21" i="479"/>
  <c r="U20" i="479"/>
  <c r="T20" i="479"/>
  <c r="S20" i="479"/>
  <c r="R20" i="479"/>
  <c r="Q20" i="479"/>
  <c r="U19" i="479"/>
  <c r="T19" i="479"/>
  <c r="S19" i="479"/>
  <c r="R19" i="479"/>
  <c r="Q19" i="479"/>
  <c r="P19" i="479"/>
  <c r="T18" i="479"/>
  <c r="S18" i="479"/>
  <c r="R18" i="479"/>
  <c r="Q18" i="479"/>
  <c r="U15" i="479"/>
  <c r="Y11" i="479" s="1"/>
  <c r="T15" i="479"/>
  <c r="S15" i="479"/>
  <c r="R15" i="479"/>
  <c r="Q15" i="479"/>
  <c r="U14" i="479"/>
  <c r="T14" i="479"/>
  <c r="S14" i="479"/>
  <c r="R14" i="479"/>
  <c r="Q14" i="479"/>
  <c r="U13" i="479"/>
  <c r="T13" i="479"/>
  <c r="S13" i="479"/>
  <c r="R13" i="479"/>
  <c r="Q13" i="479"/>
  <c r="U12" i="479"/>
  <c r="T12" i="479"/>
  <c r="S12" i="479"/>
  <c r="R12" i="479"/>
  <c r="Q12" i="479"/>
  <c r="Z11" i="479"/>
  <c r="U11" i="479"/>
  <c r="T11" i="479"/>
  <c r="S11" i="479"/>
  <c r="R11" i="479"/>
  <c r="Q11" i="479"/>
  <c r="U10" i="479"/>
  <c r="T10" i="479"/>
  <c r="S10" i="479"/>
  <c r="R10" i="479"/>
  <c r="Q10" i="479"/>
  <c r="U9" i="479"/>
  <c r="T9" i="479"/>
  <c r="S9" i="479"/>
  <c r="R9" i="479"/>
  <c r="Q9" i="479"/>
  <c r="U8" i="479"/>
  <c r="T8" i="479"/>
  <c r="S8" i="479"/>
  <c r="R8" i="479"/>
  <c r="Q8" i="479"/>
  <c r="U7" i="479"/>
  <c r="T7" i="479"/>
  <c r="S7" i="479"/>
  <c r="R7" i="479"/>
  <c r="Q7" i="479"/>
  <c r="P7" i="479"/>
  <c r="T6" i="479"/>
  <c r="S6" i="479"/>
  <c r="R6" i="479"/>
  <c r="Q6" i="479"/>
  <c r="A6" i="479"/>
  <c r="P32" i="479" s="1"/>
  <c r="X7" i="479" l="1"/>
  <c r="I37" i="479"/>
  <c r="X8" i="479"/>
  <c r="Y7" i="479"/>
  <c r="AB16" i="479" s="1"/>
  <c r="X11" i="479"/>
  <c r="I36" i="479"/>
  <c r="Y8" i="479"/>
  <c r="P8" i="479"/>
  <c r="A7" i="479"/>
  <c r="P20" i="479"/>
  <c r="I39" i="479" l="1"/>
  <c r="I43" i="479"/>
  <c r="Z7" i="479"/>
  <c r="I38" i="479"/>
  <c r="I42" i="479"/>
  <c r="X9" i="479"/>
  <c r="P21" i="479"/>
  <c r="P33" i="479"/>
  <c r="A8" i="479"/>
  <c r="P9" i="479"/>
  <c r="Y9" i="479"/>
  <c r="AB17" i="479"/>
  <c r="Z8" i="479"/>
  <c r="Z9" i="479" l="1"/>
  <c r="Y18" i="479" s="1"/>
  <c r="P34" i="479"/>
  <c r="A9" i="479"/>
  <c r="P22" i="479"/>
  <c r="P10" i="479"/>
  <c r="Y13" i="479" l="1"/>
  <c r="AB18" i="479" s="1"/>
  <c r="Y16" i="479"/>
  <c r="Y17" i="479"/>
  <c r="AA8" i="479"/>
  <c r="AB19" i="479" s="1"/>
  <c r="AA7" i="479"/>
  <c r="AB7" i="479" s="1"/>
  <c r="AC7" i="479" s="1"/>
  <c r="AB20" i="479"/>
  <c r="P11" i="479"/>
  <c r="A10" i="479"/>
  <c r="P23" i="479"/>
  <c r="P35" i="479"/>
  <c r="AB8" i="479" l="1"/>
  <c r="AC8" i="479" s="1"/>
  <c r="AB21" i="479"/>
  <c r="AB22" i="479" s="1"/>
  <c r="AB23" i="479" s="1"/>
  <c r="AB24" i="479" s="1"/>
  <c r="AB27" i="479" s="1"/>
  <c r="Y19" i="479"/>
  <c r="Y20" i="479" s="1"/>
  <c r="P36" i="479"/>
  <c r="A11" i="479"/>
  <c r="P12" i="479"/>
  <c r="P24" i="479"/>
  <c r="AB26" i="479" l="1"/>
  <c r="P25" i="479"/>
  <c r="P13" i="479"/>
  <c r="P37" i="479"/>
  <c r="A12" i="479"/>
  <c r="P38" i="479" l="1"/>
  <c r="P26" i="479"/>
  <c r="P14" i="479"/>
  <c r="L35" i="290" l="1"/>
  <c r="L33" i="290"/>
  <c r="L32" i="290"/>
  <c r="L36" i="290" l="1"/>
  <c r="F34" i="476" l="1"/>
  <c r="E34" i="476"/>
  <c r="D34" i="476"/>
  <c r="C34" i="476"/>
  <c r="G33" i="476"/>
  <c r="G32" i="476"/>
  <c r="G31" i="476"/>
  <c r="G30" i="476"/>
  <c r="G29" i="476"/>
  <c r="G28" i="476"/>
  <c r="G27" i="476"/>
  <c r="G26" i="476"/>
  <c r="L12" i="477"/>
  <c r="G34" i="476" l="1"/>
  <c r="D53" i="442" l="1"/>
  <c r="C53" i="442"/>
  <c r="AG7" i="475"/>
  <c r="AI7" i="475" s="1"/>
  <c r="AG6" i="475"/>
  <c r="AI5" i="475"/>
  <c r="AH5" i="475"/>
  <c r="AG5" i="475"/>
  <c r="F13" i="475"/>
  <c r="E13" i="475"/>
  <c r="D13" i="475"/>
  <c r="C13" i="475"/>
  <c r="N12" i="475"/>
  <c r="M12" i="475"/>
  <c r="K12" i="475"/>
  <c r="J12" i="475"/>
  <c r="I12" i="475"/>
  <c r="G12" i="475"/>
  <c r="N11" i="475"/>
  <c r="M11" i="475"/>
  <c r="L11" i="475"/>
  <c r="K11" i="475"/>
  <c r="J11" i="475"/>
  <c r="I11" i="475"/>
  <c r="G11" i="475"/>
  <c r="N10" i="475"/>
  <c r="M10" i="475"/>
  <c r="L10" i="475"/>
  <c r="K10" i="475"/>
  <c r="J10" i="475"/>
  <c r="I10" i="475"/>
  <c r="G10" i="475"/>
  <c r="N9" i="475"/>
  <c r="M9" i="475"/>
  <c r="L9" i="475"/>
  <c r="K9" i="475"/>
  <c r="J9" i="475"/>
  <c r="I9" i="475"/>
  <c r="G9" i="475"/>
  <c r="N8" i="475"/>
  <c r="M8" i="475"/>
  <c r="L8" i="475"/>
  <c r="K8" i="475"/>
  <c r="J8" i="475"/>
  <c r="I8" i="475"/>
  <c r="G8" i="475"/>
  <c r="N7" i="475"/>
  <c r="M7" i="475"/>
  <c r="L7" i="475"/>
  <c r="K7" i="475"/>
  <c r="J7" i="475"/>
  <c r="I7" i="475"/>
  <c r="G7" i="475"/>
  <c r="N6" i="475"/>
  <c r="M6" i="475"/>
  <c r="L6" i="475"/>
  <c r="K6" i="475"/>
  <c r="J6" i="475"/>
  <c r="I6" i="475"/>
  <c r="G6" i="475"/>
  <c r="N5" i="475"/>
  <c r="M5" i="475"/>
  <c r="L5" i="475"/>
  <c r="K5" i="475"/>
  <c r="J5" i="475"/>
  <c r="I5" i="475"/>
  <c r="G5" i="475"/>
  <c r="N4" i="475"/>
  <c r="Y4" i="475" s="1"/>
  <c r="AC4" i="475" s="1"/>
  <c r="M4" i="475"/>
  <c r="U4" i="475" s="1"/>
  <c r="L4" i="475"/>
  <c r="Q4" i="475" s="1"/>
  <c r="K4" i="475"/>
  <c r="P4" i="475" s="1"/>
  <c r="J4" i="475"/>
  <c r="I4" i="475"/>
  <c r="F13" i="476"/>
  <c r="E13" i="476"/>
  <c r="D13" i="476"/>
  <c r="C13" i="476"/>
  <c r="N12" i="476"/>
  <c r="M12" i="476"/>
  <c r="K12" i="476"/>
  <c r="J12" i="476"/>
  <c r="I12" i="476"/>
  <c r="G12" i="476"/>
  <c r="N11" i="476"/>
  <c r="M11" i="476"/>
  <c r="L11" i="476"/>
  <c r="K11" i="476"/>
  <c r="J11" i="476"/>
  <c r="I11" i="476"/>
  <c r="G11" i="476"/>
  <c r="N10" i="476"/>
  <c r="M10" i="476"/>
  <c r="L10" i="476"/>
  <c r="K10" i="476"/>
  <c r="J10" i="476"/>
  <c r="I10" i="476"/>
  <c r="G10" i="476"/>
  <c r="N9" i="476"/>
  <c r="M9" i="476"/>
  <c r="L9" i="476"/>
  <c r="K9" i="476"/>
  <c r="J9" i="476"/>
  <c r="I9" i="476"/>
  <c r="G9" i="476"/>
  <c r="N8" i="476"/>
  <c r="M8" i="476"/>
  <c r="L8" i="476"/>
  <c r="K8" i="476"/>
  <c r="J8" i="476"/>
  <c r="I8" i="476"/>
  <c r="G8" i="476"/>
  <c r="N7" i="476"/>
  <c r="M7" i="476"/>
  <c r="L7" i="476"/>
  <c r="K7" i="476"/>
  <c r="J7" i="476"/>
  <c r="I7" i="476"/>
  <c r="G7" i="476"/>
  <c r="N6" i="476"/>
  <c r="M6" i="476"/>
  <c r="L6" i="476"/>
  <c r="K6" i="476"/>
  <c r="J6" i="476"/>
  <c r="I6" i="476"/>
  <c r="G6" i="476"/>
  <c r="N5" i="476"/>
  <c r="M5" i="476"/>
  <c r="L5" i="476"/>
  <c r="K5" i="476"/>
  <c r="J5" i="476"/>
  <c r="I5" i="476"/>
  <c r="G5" i="476"/>
  <c r="N4" i="476"/>
  <c r="Y4" i="476" s="1"/>
  <c r="AC4" i="476" s="1"/>
  <c r="M4" i="476"/>
  <c r="L4" i="476"/>
  <c r="T4" i="476" s="1"/>
  <c r="K4" i="476"/>
  <c r="P4" i="476" s="1"/>
  <c r="J4" i="476"/>
  <c r="I4" i="476"/>
  <c r="R27" i="477"/>
  <c r="Q27" i="477"/>
  <c r="K27" i="477"/>
  <c r="J27" i="477"/>
  <c r="D27" i="477"/>
  <c r="R23" i="477"/>
  <c r="J23" i="477"/>
  <c r="C23" i="477"/>
  <c r="R22" i="477"/>
  <c r="J22" i="477"/>
  <c r="C22" i="477"/>
  <c r="R21" i="477"/>
  <c r="J21" i="477"/>
  <c r="C21" i="477"/>
  <c r="R20" i="477"/>
  <c r="J20" i="477"/>
  <c r="C20" i="477"/>
  <c r="R19" i="477"/>
  <c r="J19" i="477"/>
  <c r="C19" i="477"/>
  <c r="R18" i="477"/>
  <c r="J18" i="477"/>
  <c r="C18" i="477"/>
  <c r="R17" i="477"/>
  <c r="J17" i="477"/>
  <c r="C17" i="477"/>
  <c r="R16" i="477"/>
  <c r="J16" i="477"/>
  <c r="C16" i="477"/>
  <c r="C15" i="477"/>
  <c r="C27" i="477" s="1"/>
  <c r="F13" i="477"/>
  <c r="E13" i="477"/>
  <c r="D13" i="477"/>
  <c r="C13" i="477"/>
  <c r="N12" i="477"/>
  <c r="M12" i="477"/>
  <c r="K12" i="477"/>
  <c r="J12" i="477"/>
  <c r="I12" i="477"/>
  <c r="G12" i="477"/>
  <c r="N11" i="477"/>
  <c r="M11" i="477"/>
  <c r="L11" i="477"/>
  <c r="K11" i="477"/>
  <c r="J11" i="477"/>
  <c r="I11" i="477"/>
  <c r="G11" i="477"/>
  <c r="N10" i="477"/>
  <c r="M10" i="477"/>
  <c r="L10" i="477"/>
  <c r="K10" i="477"/>
  <c r="J10" i="477"/>
  <c r="I10" i="477"/>
  <c r="G10" i="477"/>
  <c r="N9" i="477"/>
  <c r="M9" i="477"/>
  <c r="L9" i="477"/>
  <c r="K9" i="477"/>
  <c r="J9" i="477"/>
  <c r="I9" i="477"/>
  <c r="G9" i="477"/>
  <c r="N8" i="477"/>
  <c r="M8" i="477"/>
  <c r="L8" i="477"/>
  <c r="K8" i="477"/>
  <c r="J8" i="477"/>
  <c r="I8" i="477"/>
  <c r="G8" i="477"/>
  <c r="N7" i="477"/>
  <c r="M7" i="477"/>
  <c r="L7" i="477"/>
  <c r="K7" i="477"/>
  <c r="J7" i="477"/>
  <c r="I7" i="477"/>
  <c r="G7" i="477"/>
  <c r="N6" i="477"/>
  <c r="M6" i="477"/>
  <c r="L6" i="477"/>
  <c r="K6" i="477"/>
  <c r="J6" i="477"/>
  <c r="I6" i="477"/>
  <c r="G6" i="477"/>
  <c r="N5" i="477"/>
  <c r="M5" i="477"/>
  <c r="L5" i="477"/>
  <c r="K5" i="477"/>
  <c r="J5" i="477"/>
  <c r="I5" i="477"/>
  <c r="G5" i="477"/>
  <c r="D16" i="477" s="1"/>
  <c r="N4" i="477"/>
  <c r="Y4" i="477" s="1"/>
  <c r="AC4" i="477" s="1"/>
  <c r="M4" i="477"/>
  <c r="X4" i="477" s="1"/>
  <c r="AB4" i="477" s="1"/>
  <c r="L4" i="477"/>
  <c r="K4" i="477"/>
  <c r="P4" i="477" s="1"/>
  <c r="J4" i="477"/>
  <c r="I4" i="477"/>
  <c r="AH6" i="475" l="1"/>
  <c r="K21" i="477"/>
  <c r="K18" i="477"/>
  <c r="K22" i="477"/>
  <c r="K23" i="477"/>
  <c r="O9" i="475"/>
  <c r="AE9" i="475" s="1"/>
  <c r="G13" i="475"/>
  <c r="L13" i="475"/>
  <c r="O12" i="475"/>
  <c r="AE12" i="475" s="1"/>
  <c r="O6" i="475"/>
  <c r="AE6" i="475" s="1"/>
  <c r="N13" i="475"/>
  <c r="O8" i="475"/>
  <c r="AE8" i="475" s="1"/>
  <c r="L13" i="477"/>
  <c r="O12" i="477"/>
  <c r="AE12" i="477" s="1"/>
  <c r="O7" i="475"/>
  <c r="AE7" i="475" s="1"/>
  <c r="M13" i="475"/>
  <c r="O11" i="475"/>
  <c r="AE11" i="475" s="1"/>
  <c r="D23" i="477"/>
  <c r="W4" i="475"/>
  <c r="AA4" i="475" s="1"/>
  <c r="O5" i="475"/>
  <c r="O10" i="475"/>
  <c r="AE10" i="475" s="1"/>
  <c r="S4" i="475"/>
  <c r="V4" i="475"/>
  <c r="Z4" i="475" s="1"/>
  <c r="V4" i="477"/>
  <c r="Z4" i="477" s="1"/>
  <c r="S4" i="477"/>
  <c r="E118" i="463"/>
  <c r="F118" i="463"/>
  <c r="M47" i="442"/>
  <c r="P12" i="475"/>
  <c r="S12" i="475" s="1"/>
  <c r="V12" i="475" s="1"/>
  <c r="P10" i="475"/>
  <c r="S10" i="475" s="1"/>
  <c r="V10" i="475" s="1"/>
  <c r="AH7" i="475"/>
  <c r="AI6" i="475"/>
  <c r="R11" i="475" s="1"/>
  <c r="U11" i="475" s="1"/>
  <c r="Y11" i="475" s="1"/>
  <c r="P6" i="475"/>
  <c r="S6" i="475" s="1"/>
  <c r="V6" i="475" s="1"/>
  <c r="P9" i="475"/>
  <c r="S9" i="475" s="1"/>
  <c r="V9" i="475" s="1"/>
  <c r="P5" i="475"/>
  <c r="S5" i="475" s="1"/>
  <c r="V5" i="475" s="1"/>
  <c r="P11" i="475"/>
  <c r="S11" i="475" s="1"/>
  <c r="V11" i="475" s="1"/>
  <c r="R4" i="475"/>
  <c r="T4" i="475"/>
  <c r="X4" i="475"/>
  <c r="AB4" i="475" s="1"/>
  <c r="P7" i="475"/>
  <c r="S7" i="475" s="1"/>
  <c r="V7" i="475" s="1"/>
  <c r="P8" i="475"/>
  <c r="S8" i="475" s="1"/>
  <c r="V8" i="475" s="1"/>
  <c r="K13" i="475"/>
  <c r="S4" i="476"/>
  <c r="N13" i="476"/>
  <c r="O10" i="476"/>
  <c r="AE10" i="476" s="1"/>
  <c r="V4" i="476"/>
  <c r="Z4" i="476" s="1"/>
  <c r="L13" i="476"/>
  <c r="O12" i="476"/>
  <c r="AE12" i="476" s="1"/>
  <c r="Q4" i="476"/>
  <c r="O11" i="476"/>
  <c r="AE11" i="476" s="1"/>
  <c r="M13" i="476"/>
  <c r="K13" i="476"/>
  <c r="O6" i="476"/>
  <c r="AE6" i="476" s="1"/>
  <c r="X4" i="476"/>
  <c r="AB4" i="476" s="1"/>
  <c r="R4" i="476"/>
  <c r="U4" i="476"/>
  <c r="O7" i="476"/>
  <c r="AE7" i="476" s="1"/>
  <c r="G13" i="476"/>
  <c r="W4" i="476"/>
  <c r="AA4" i="476" s="1"/>
  <c r="O5" i="476"/>
  <c r="O8" i="476"/>
  <c r="AE8" i="476" s="1"/>
  <c r="O9" i="476"/>
  <c r="AE9" i="476" s="1"/>
  <c r="Q23" i="477"/>
  <c r="Q22" i="477"/>
  <c r="D22" i="477"/>
  <c r="O10" i="477"/>
  <c r="AE10" i="477" s="1"/>
  <c r="O8" i="477"/>
  <c r="AE8" i="477" s="1"/>
  <c r="D18" i="477"/>
  <c r="K16" i="477"/>
  <c r="N13" i="477"/>
  <c r="T4" i="477"/>
  <c r="Q4" i="477"/>
  <c r="W4" i="477"/>
  <c r="AA4" i="477" s="1"/>
  <c r="M13" i="477"/>
  <c r="U4" i="477"/>
  <c r="D19" i="477"/>
  <c r="Q19" i="477"/>
  <c r="K19" i="477"/>
  <c r="O5" i="477"/>
  <c r="AE5" i="477" s="1"/>
  <c r="D17" i="477"/>
  <c r="Q17" i="477"/>
  <c r="K17" i="477"/>
  <c r="O9" i="477"/>
  <c r="AE9" i="477" s="1"/>
  <c r="G13" i="477"/>
  <c r="K13" i="477"/>
  <c r="R4" i="477"/>
  <c r="Q16" i="477"/>
  <c r="K20" i="477"/>
  <c r="D20" i="477"/>
  <c r="O11" i="477"/>
  <c r="AE11" i="477" s="1"/>
  <c r="Q20" i="477"/>
  <c r="O7" i="477"/>
  <c r="AE7" i="477" s="1"/>
  <c r="D21" i="477"/>
  <c r="Q21" i="477"/>
  <c r="O6" i="477"/>
  <c r="AE6" i="477" s="1"/>
  <c r="Q18" i="477"/>
  <c r="AI5" i="477" l="1"/>
  <c r="AG5" i="477"/>
  <c r="AH7" i="477"/>
  <c r="AH6" i="477"/>
  <c r="AL9" i="475"/>
  <c r="AI7" i="477"/>
  <c r="AI6" i="477"/>
  <c r="Q7" i="475"/>
  <c r="T7" i="475" s="1"/>
  <c r="W7" i="475" s="1"/>
  <c r="AA7" i="475" s="1"/>
  <c r="AG6" i="477"/>
  <c r="AG7" i="477"/>
  <c r="AH5" i="477"/>
  <c r="AE5" i="475"/>
  <c r="AE13" i="475" s="1"/>
  <c r="M45" i="442"/>
  <c r="M49" i="442"/>
  <c r="M43" i="442"/>
  <c r="Z12" i="475"/>
  <c r="Z11" i="475"/>
  <c r="AC11" i="475"/>
  <c r="Z6" i="475"/>
  <c r="Z9" i="475"/>
  <c r="O13" i="475"/>
  <c r="Z10" i="475"/>
  <c r="M44" i="442"/>
  <c r="L43" i="442"/>
  <c r="M46" i="442"/>
  <c r="L45" i="442"/>
  <c r="K51" i="442"/>
  <c r="M41" i="442"/>
  <c r="L44" i="442"/>
  <c r="J51" i="442"/>
  <c r="L46" i="442"/>
  <c r="I51" i="442"/>
  <c r="L47" i="442"/>
  <c r="L48" i="442"/>
  <c r="M48" i="442"/>
  <c r="L49" i="442"/>
  <c r="H51" i="442"/>
  <c r="L41" i="442"/>
  <c r="G51" i="442"/>
  <c r="L50" i="442"/>
  <c r="L42" i="442"/>
  <c r="M50" i="442"/>
  <c r="M42" i="442"/>
  <c r="Q8" i="475"/>
  <c r="T8" i="475" s="1"/>
  <c r="W8" i="475" s="1"/>
  <c r="AA8" i="475" s="1"/>
  <c r="R10" i="475"/>
  <c r="U10" i="475" s="1"/>
  <c r="Y10" i="475" s="1"/>
  <c r="AC10" i="475" s="1"/>
  <c r="Q12" i="475"/>
  <c r="T12" i="475" s="1"/>
  <c r="W12" i="475" s="1"/>
  <c r="AA12" i="475" s="1"/>
  <c r="Q9" i="475"/>
  <c r="T9" i="475" s="1"/>
  <c r="W9" i="475" s="1"/>
  <c r="AA9" i="475" s="1"/>
  <c r="Q5" i="475"/>
  <c r="T5" i="475" s="1"/>
  <c r="W5" i="475" s="1"/>
  <c r="AA5" i="475" s="1"/>
  <c r="R7" i="475"/>
  <c r="U7" i="475" s="1"/>
  <c r="R12" i="475"/>
  <c r="U12" i="475" s="1"/>
  <c r="Y12" i="475" s="1"/>
  <c r="AC12" i="475" s="1"/>
  <c r="R6" i="475"/>
  <c r="U6" i="475" s="1"/>
  <c r="Y6" i="475" s="1"/>
  <c r="AC6" i="475" s="1"/>
  <c r="R8" i="475"/>
  <c r="U8" i="475" s="1"/>
  <c r="Z5" i="475"/>
  <c r="Q11" i="475"/>
  <c r="T11" i="475" s="1"/>
  <c r="W11" i="475" s="1"/>
  <c r="AA11" i="475" s="1"/>
  <c r="Q10" i="475"/>
  <c r="T10" i="475" s="1"/>
  <c r="W10" i="475" s="1"/>
  <c r="AA10" i="475" s="1"/>
  <c r="Q6" i="475"/>
  <c r="T6" i="475" s="1"/>
  <c r="W6" i="475" s="1"/>
  <c r="AA6" i="475" s="1"/>
  <c r="R9" i="475"/>
  <c r="U9" i="475" s="1"/>
  <c r="R5" i="475"/>
  <c r="U5" i="475" s="1"/>
  <c r="Z8" i="475"/>
  <c r="Z7" i="475"/>
  <c r="AE5" i="476"/>
  <c r="AE13" i="476" s="1"/>
  <c r="O13" i="476"/>
  <c r="O13" i="477"/>
  <c r="AE13" i="477"/>
  <c r="X7" i="475" l="1"/>
  <c r="AB7" i="475" s="1"/>
  <c r="AL9" i="477"/>
  <c r="AL5" i="475"/>
  <c r="AL5" i="477"/>
  <c r="P5" i="477"/>
  <c r="S5" i="477" s="1"/>
  <c r="V5" i="477" s="1"/>
  <c r="M51" i="442"/>
  <c r="L51" i="442"/>
  <c r="X8" i="475"/>
  <c r="AB8" i="475" s="1"/>
  <c r="Y7" i="475"/>
  <c r="AC7" i="475" s="1"/>
  <c r="X12" i="475"/>
  <c r="AB12" i="475" s="1"/>
  <c r="X5" i="475"/>
  <c r="AB5" i="475" s="1"/>
  <c r="X9" i="475"/>
  <c r="AB9" i="475" s="1"/>
  <c r="Y8" i="475"/>
  <c r="AC8" i="475" s="1"/>
  <c r="X10" i="475"/>
  <c r="AB10" i="475" s="1"/>
  <c r="Y5" i="475"/>
  <c r="AC5" i="475" s="1"/>
  <c r="X11" i="475"/>
  <c r="AB11" i="475" s="1"/>
  <c r="X6" i="475"/>
  <c r="AB6" i="475" s="1"/>
  <c r="Y9" i="475"/>
  <c r="AC9" i="475" s="1"/>
  <c r="Z13" i="475"/>
  <c r="AA13" i="475"/>
  <c r="Q12" i="476"/>
  <c r="T12" i="476" s="1"/>
  <c r="Q10" i="476"/>
  <c r="T10" i="476" s="1"/>
  <c r="Q7" i="476"/>
  <c r="T7" i="476" s="1"/>
  <c r="Q11" i="476"/>
  <c r="T11" i="476" s="1"/>
  <c r="Q9" i="476"/>
  <c r="T9" i="476" s="1"/>
  <c r="Q6" i="476"/>
  <c r="T6" i="476" s="1"/>
  <c r="Q8" i="476"/>
  <c r="T8" i="476" s="1"/>
  <c r="Q5" i="476"/>
  <c r="T5" i="476" s="1"/>
  <c r="P11" i="476"/>
  <c r="S11" i="476" s="1"/>
  <c r="V11" i="476" s="1"/>
  <c r="P8" i="476"/>
  <c r="S8" i="476" s="1"/>
  <c r="V8" i="476" s="1"/>
  <c r="P6" i="476"/>
  <c r="S6" i="476" s="1"/>
  <c r="V6" i="476" s="1"/>
  <c r="P7" i="476"/>
  <c r="S7" i="476" s="1"/>
  <c r="V7" i="476" s="1"/>
  <c r="P12" i="476"/>
  <c r="S12" i="476" s="1"/>
  <c r="V12" i="476" s="1"/>
  <c r="P5" i="476"/>
  <c r="S5" i="476" s="1"/>
  <c r="V5" i="476" s="1"/>
  <c r="P9" i="476"/>
  <c r="S9" i="476" s="1"/>
  <c r="V9" i="476" s="1"/>
  <c r="P10" i="476"/>
  <c r="S10" i="476" s="1"/>
  <c r="V10" i="476" s="1"/>
  <c r="AL5" i="476"/>
  <c r="R9" i="476"/>
  <c r="U9" i="476" s="1"/>
  <c r="R7" i="476"/>
  <c r="U7" i="476" s="1"/>
  <c r="R6" i="476"/>
  <c r="U6" i="476" s="1"/>
  <c r="R5" i="476"/>
  <c r="U5" i="476" s="1"/>
  <c r="R11" i="476"/>
  <c r="U11" i="476" s="1"/>
  <c r="R12" i="476"/>
  <c r="U12" i="476" s="1"/>
  <c r="R10" i="476"/>
  <c r="U10" i="476" s="1"/>
  <c r="R8" i="476"/>
  <c r="U8" i="476" s="1"/>
  <c r="Q10" i="477"/>
  <c r="T10" i="477" s="1"/>
  <c r="Q12" i="477"/>
  <c r="T12" i="477" s="1"/>
  <c r="Q11" i="477"/>
  <c r="T11" i="477" s="1"/>
  <c r="Q9" i="477"/>
  <c r="T9" i="477" s="1"/>
  <c r="Q7" i="477"/>
  <c r="T7" i="477" s="1"/>
  <c r="Q6" i="477"/>
  <c r="T6" i="477" s="1"/>
  <c r="Q8" i="477"/>
  <c r="T8" i="477" s="1"/>
  <c r="Q5" i="477"/>
  <c r="T5" i="477" s="1"/>
  <c r="R9" i="477"/>
  <c r="U9" i="477" s="1"/>
  <c r="R7" i="477"/>
  <c r="U7" i="477" s="1"/>
  <c r="R6" i="477"/>
  <c r="U6" i="477" s="1"/>
  <c r="R5" i="477"/>
  <c r="U5" i="477" s="1"/>
  <c r="R10" i="477"/>
  <c r="U10" i="477" s="1"/>
  <c r="R8" i="477"/>
  <c r="U8" i="477" s="1"/>
  <c r="R11" i="477"/>
  <c r="U11" i="477" s="1"/>
  <c r="R12" i="477"/>
  <c r="U12" i="477" s="1"/>
  <c r="P12" i="477"/>
  <c r="S12" i="477" s="1"/>
  <c r="V12" i="477" s="1"/>
  <c r="P11" i="477"/>
  <c r="S11" i="477" s="1"/>
  <c r="V11" i="477" s="1"/>
  <c r="P7" i="477"/>
  <c r="S7" i="477" s="1"/>
  <c r="V7" i="477" s="1"/>
  <c r="P10" i="477"/>
  <c r="S10" i="477" s="1"/>
  <c r="V10" i="477" s="1"/>
  <c r="P9" i="477"/>
  <c r="S9" i="477" s="1"/>
  <c r="V9" i="477" s="1"/>
  <c r="P6" i="477"/>
  <c r="S6" i="477" s="1"/>
  <c r="V6" i="477" s="1"/>
  <c r="P8" i="477"/>
  <c r="S8" i="477" s="1"/>
  <c r="V8" i="477" s="1"/>
  <c r="W5" i="477" l="1"/>
  <c r="AA5" i="477" s="1"/>
  <c r="AD7" i="475"/>
  <c r="AD12" i="475"/>
  <c r="AD8" i="475"/>
  <c r="AD10" i="475"/>
  <c r="AC13" i="475"/>
  <c r="AD5" i="475"/>
  <c r="AB13" i="475"/>
  <c r="AD6" i="475"/>
  <c r="AD9" i="475"/>
  <c r="AD11" i="475"/>
  <c r="W8" i="476"/>
  <c r="AA8" i="476" s="1"/>
  <c r="W5" i="476"/>
  <c r="AA5" i="476" s="1"/>
  <c r="W11" i="476"/>
  <c r="AA11" i="476" s="1"/>
  <c r="Y10" i="476"/>
  <c r="AC10" i="476" s="1"/>
  <c r="X10" i="476"/>
  <c r="AB10" i="476" s="1"/>
  <c r="Y6" i="476"/>
  <c r="AC6" i="476" s="1"/>
  <c r="X6" i="476"/>
  <c r="AB6" i="476" s="1"/>
  <c r="Z10" i="476"/>
  <c r="Z7" i="476"/>
  <c r="Y12" i="476"/>
  <c r="AC12" i="476" s="1"/>
  <c r="X12" i="476"/>
  <c r="AB12" i="476" s="1"/>
  <c r="Y7" i="476"/>
  <c r="AC7" i="476" s="1"/>
  <c r="X7" i="476"/>
  <c r="AB7" i="476" s="1"/>
  <c r="Z9" i="476"/>
  <c r="Z6" i="476"/>
  <c r="W7" i="476"/>
  <c r="AA7" i="476" s="1"/>
  <c r="X11" i="476"/>
  <c r="AB11" i="476" s="1"/>
  <c r="Y11" i="476"/>
  <c r="AC11" i="476" s="1"/>
  <c r="Y9" i="476"/>
  <c r="AC9" i="476" s="1"/>
  <c r="X9" i="476"/>
  <c r="AB9" i="476" s="1"/>
  <c r="Z5" i="476"/>
  <c r="Z8" i="476"/>
  <c r="W6" i="476"/>
  <c r="AA6" i="476" s="1"/>
  <c r="W10" i="476"/>
  <c r="AA10" i="476" s="1"/>
  <c r="Y8" i="476"/>
  <c r="AC8" i="476" s="1"/>
  <c r="X8" i="476"/>
  <c r="AB8" i="476" s="1"/>
  <c r="Y5" i="476"/>
  <c r="AC5" i="476" s="1"/>
  <c r="X5" i="476"/>
  <c r="AB5" i="476" s="1"/>
  <c r="Z12" i="476"/>
  <c r="Z11" i="476"/>
  <c r="W9" i="476"/>
  <c r="AA9" i="476" s="1"/>
  <c r="W12" i="476"/>
  <c r="AA12" i="476" s="1"/>
  <c r="W8" i="477"/>
  <c r="AA8" i="477" s="1"/>
  <c r="W6" i="477"/>
  <c r="AA6" i="477" s="1"/>
  <c r="Z11" i="477"/>
  <c r="Y6" i="477"/>
  <c r="AC6" i="477" s="1"/>
  <c r="X6" i="477"/>
  <c r="AB6" i="477" s="1"/>
  <c r="Z9" i="477"/>
  <c r="Z12" i="477"/>
  <c r="Y7" i="477"/>
  <c r="AC7" i="477" s="1"/>
  <c r="X7" i="477"/>
  <c r="AB7" i="477" s="1"/>
  <c r="W12" i="477"/>
  <c r="AA12" i="477" s="1"/>
  <c r="Z8" i="477"/>
  <c r="Z10" i="477"/>
  <c r="Y10" i="477"/>
  <c r="AC10" i="477" s="1"/>
  <c r="X10" i="477"/>
  <c r="AB10" i="477" s="1"/>
  <c r="X9" i="477"/>
  <c r="AB9" i="477" s="1"/>
  <c r="Y9" i="477"/>
  <c r="AC9" i="477" s="1"/>
  <c r="W7" i="477"/>
  <c r="AA7" i="477" s="1"/>
  <c r="W10" i="477"/>
  <c r="AA10" i="477" s="1"/>
  <c r="Z5" i="477"/>
  <c r="X11" i="477"/>
  <c r="AB11" i="477" s="1"/>
  <c r="Y11" i="477"/>
  <c r="AC11" i="477" s="1"/>
  <c r="W11" i="477"/>
  <c r="AA11" i="477" s="1"/>
  <c r="Y8" i="477"/>
  <c r="AC8" i="477" s="1"/>
  <c r="X8" i="477"/>
  <c r="AB8" i="477" s="1"/>
  <c r="Z6" i="477"/>
  <c r="Z7" i="477"/>
  <c r="X12" i="477"/>
  <c r="AB12" i="477" s="1"/>
  <c r="Y12" i="477"/>
  <c r="AC12" i="477" s="1"/>
  <c r="X5" i="477"/>
  <c r="AB5" i="477" s="1"/>
  <c r="Y5" i="477"/>
  <c r="AC5" i="477" s="1"/>
  <c r="W9" i="477"/>
  <c r="AA9" i="477" s="1"/>
  <c r="AD13" i="475" l="1"/>
  <c r="AL6" i="475" s="1"/>
  <c r="AL8" i="475" s="1"/>
  <c r="AL10" i="475" s="1"/>
  <c r="AL12" i="475" s="1"/>
  <c r="AA13" i="476"/>
  <c r="AD6" i="476"/>
  <c r="AD10" i="476"/>
  <c r="AB13" i="476"/>
  <c r="AD5" i="476"/>
  <c r="AD7" i="476"/>
  <c r="AD11" i="476"/>
  <c r="AC13" i="476"/>
  <c r="Z13" i="476"/>
  <c r="AD9" i="476"/>
  <c r="AD12" i="476"/>
  <c r="AD8" i="476"/>
  <c r="AA13" i="477"/>
  <c r="AC13" i="477"/>
  <c r="AD7" i="477"/>
  <c r="AD12" i="477"/>
  <c r="AB13" i="477"/>
  <c r="AD5" i="477"/>
  <c r="AD8" i="477"/>
  <c r="AD6" i="477"/>
  <c r="Z13" i="477"/>
  <c r="AD10" i="477"/>
  <c r="AD9" i="477"/>
  <c r="AD11" i="477"/>
  <c r="AL15" i="475" l="1"/>
  <c r="AL16" i="475" s="1"/>
  <c r="AL14" i="475"/>
  <c r="AD13" i="476"/>
  <c r="AL6" i="476" s="1"/>
  <c r="AL15" i="476" s="1"/>
  <c r="AL16" i="476" s="1"/>
  <c r="AD13" i="477"/>
  <c r="AL6" i="477" s="1"/>
  <c r="AL14" i="477" l="1"/>
  <c r="AL15" i="477"/>
  <c r="AL16" i="477" s="1"/>
  <c r="AL14" i="476"/>
  <c r="AL8" i="476"/>
  <c r="AL10" i="476" s="1"/>
  <c r="AL12" i="476" s="1"/>
  <c r="AL8" i="477"/>
  <c r="AL10" i="477" l="1"/>
  <c r="AL12" i="477" s="1"/>
  <c r="E17" i="474"/>
  <c r="D17" i="474"/>
  <c r="C17" i="474"/>
  <c r="X7" i="468" l="1"/>
  <c r="Y7" i="468"/>
  <c r="X8" i="468"/>
  <c r="Y8" i="468"/>
  <c r="Y6" i="468"/>
  <c r="X6" i="468"/>
  <c r="D16" i="472" l="1"/>
  <c r="C16" i="472"/>
  <c r="I29" i="290"/>
  <c r="U39" i="290"/>
  <c r="Z11" i="290" s="1"/>
  <c r="R39" i="290"/>
  <c r="S39" i="290"/>
  <c r="T39" i="290"/>
  <c r="Q39" i="290"/>
  <c r="U38" i="290"/>
  <c r="R38" i="290"/>
  <c r="S38" i="290"/>
  <c r="T38" i="290"/>
  <c r="Q38" i="290"/>
  <c r="U37" i="290"/>
  <c r="R37" i="290"/>
  <c r="S37" i="290"/>
  <c r="T37" i="290"/>
  <c r="Q37" i="290"/>
  <c r="U36" i="290"/>
  <c r="R36" i="290"/>
  <c r="S36" i="290"/>
  <c r="T36" i="290"/>
  <c r="Q36" i="290"/>
  <c r="U35" i="290"/>
  <c r="R35" i="290"/>
  <c r="S35" i="290"/>
  <c r="T35" i="290"/>
  <c r="Q35" i="290"/>
  <c r="U34" i="290"/>
  <c r="R34" i="290"/>
  <c r="S34" i="290"/>
  <c r="T34" i="290"/>
  <c r="Q34" i="290"/>
  <c r="U33" i="290"/>
  <c r="R33" i="290"/>
  <c r="S33" i="290"/>
  <c r="T33" i="290"/>
  <c r="Q33" i="290"/>
  <c r="U32" i="290"/>
  <c r="R32" i="290"/>
  <c r="S32" i="290"/>
  <c r="T32" i="290"/>
  <c r="Q32" i="290"/>
  <c r="U31" i="290"/>
  <c r="R31" i="290"/>
  <c r="S31" i="290"/>
  <c r="T31" i="290"/>
  <c r="Q31" i="290"/>
  <c r="P31" i="290"/>
  <c r="R30" i="290"/>
  <c r="S30" i="290"/>
  <c r="T30" i="290"/>
  <c r="Q30" i="290"/>
  <c r="U27" i="290"/>
  <c r="R27" i="290"/>
  <c r="S27" i="290"/>
  <c r="T27" i="290"/>
  <c r="Q27" i="290"/>
  <c r="U26" i="290"/>
  <c r="R26" i="290"/>
  <c r="S26" i="290"/>
  <c r="T26" i="290"/>
  <c r="Q26" i="290"/>
  <c r="U25" i="290"/>
  <c r="R25" i="290"/>
  <c r="S25" i="290"/>
  <c r="T25" i="290"/>
  <c r="Q25" i="290"/>
  <c r="U24" i="290"/>
  <c r="R24" i="290"/>
  <c r="S24" i="290"/>
  <c r="T24" i="290"/>
  <c r="Q24" i="290"/>
  <c r="U23" i="290"/>
  <c r="R23" i="290"/>
  <c r="S23" i="290"/>
  <c r="T23" i="290"/>
  <c r="Q23" i="290"/>
  <c r="U22" i="290"/>
  <c r="R22" i="290"/>
  <c r="S22" i="290"/>
  <c r="T22" i="290"/>
  <c r="Q22" i="290"/>
  <c r="U21" i="290"/>
  <c r="R21" i="290"/>
  <c r="S21" i="290"/>
  <c r="T21" i="290"/>
  <c r="Q21" i="290"/>
  <c r="U20" i="290"/>
  <c r="R20" i="290"/>
  <c r="S20" i="290"/>
  <c r="T20" i="290"/>
  <c r="Q20" i="290"/>
  <c r="U19" i="290"/>
  <c r="R19" i="290"/>
  <c r="S19" i="290"/>
  <c r="T19" i="290"/>
  <c r="Q19" i="290"/>
  <c r="P19" i="290"/>
  <c r="R18" i="290"/>
  <c r="S18" i="290"/>
  <c r="T18" i="290"/>
  <c r="Q18" i="290"/>
  <c r="U15" i="290"/>
  <c r="Y11" i="290" s="1"/>
  <c r="R15" i="290"/>
  <c r="S15" i="290"/>
  <c r="T15" i="290"/>
  <c r="Q15" i="290"/>
  <c r="U14" i="290"/>
  <c r="R14" i="290"/>
  <c r="S14" i="290"/>
  <c r="T14" i="290"/>
  <c r="Q14" i="290"/>
  <c r="U13" i="290"/>
  <c r="R13" i="290"/>
  <c r="S13" i="290"/>
  <c r="T13" i="290"/>
  <c r="Q13" i="290"/>
  <c r="U12" i="290"/>
  <c r="R12" i="290"/>
  <c r="S12" i="290"/>
  <c r="T12" i="290"/>
  <c r="Q12" i="290"/>
  <c r="U11" i="290"/>
  <c r="R11" i="290"/>
  <c r="S11" i="290"/>
  <c r="T11" i="290"/>
  <c r="Q11" i="290"/>
  <c r="U10" i="290"/>
  <c r="R10" i="290"/>
  <c r="S10" i="290"/>
  <c r="T10" i="290"/>
  <c r="Q10" i="290"/>
  <c r="U9" i="290"/>
  <c r="R9" i="290"/>
  <c r="S9" i="290"/>
  <c r="T9" i="290"/>
  <c r="Q9" i="290"/>
  <c r="U8" i="290"/>
  <c r="R8" i="290"/>
  <c r="S8" i="290"/>
  <c r="T8" i="290"/>
  <c r="Q8" i="290"/>
  <c r="U7" i="290"/>
  <c r="R7" i="290"/>
  <c r="S7" i="290"/>
  <c r="T7" i="290"/>
  <c r="Q7" i="290"/>
  <c r="P7" i="290"/>
  <c r="R6" i="290"/>
  <c r="S6" i="290"/>
  <c r="T6" i="290"/>
  <c r="Q6" i="290"/>
  <c r="X8" i="290" l="1"/>
  <c r="X7" i="290"/>
  <c r="Y8" i="290"/>
  <c r="Y7" i="290"/>
  <c r="AB16" i="290" s="1"/>
  <c r="X11" i="290"/>
  <c r="L34" i="290"/>
  <c r="L37" i="290" s="1"/>
  <c r="L38" i="290" s="1"/>
  <c r="AI7" i="465"/>
  <c r="AH7" i="465"/>
  <c r="AH9" i="465"/>
  <c r="AH10" i="465"/>
  <c r="AH8" i="465"/>
  <c r="AI9" i="465"/>
  <c r="AI10" i="465"/>
  <c r="AI8" i="465"/>
  <c r="E17" i="471"/>
  <c r="D17" i="471"/>
  <c r="C17" i="471"/>
  <c r="K16" i="471"/>
  <c r="J16" i="471"/>
  <c r="I16" i="471"/>
  <c r="H16" i="471"/>
  <c r="G16" i="471"/>
  <c r="K15" i="471"/>
  <c r="J15" i="471"/>
  <c r="I15" i="471"/>
  <c r="H15" i="471"/>
  <c r="G15" i="471"/>
  <c r="K14" i="471"/>
  <c r="J14" i="471"/>
  <c r="I14" i="471"/>
  <c r="H14" i="471"/>
  <c r="G14" i="471"/>
  <c r="K13" i="471"/>
  <c r="J13" i="471"/>
  <c r="I13" i="471"/>
  <c r="H13" i="471"/>
  <c r="G13" i="471"/>
  <c r="K12" i="471"/>
  <c r="J12" i="471"/>
  <c r="I12" i="471"/>
  <c r="H12" i="471"/>
  <c r="G12" i="471"/>
  <c r="K11" i="471"/>
  <c r="J11" i="471"/>
  <c r="I11" i="471"/>
  <c r="H11" i="471"/>
  <c r="G11" i="471"/>
  <c r="K10" i="471"/>
  <c r="J10" i="471"/>
  <c r="I10" i="471"/>
  <c r="H10" i="471"/>
  <c r="G10" i="471"/>
  <c r="K9" i="471"/>
  <c r="J9" i="471"/>
  <c r="I9" i="471"/>
  <c r="H9" i="471"/>
  <c r="G9" i="471"/>
  <c r="K8" i="471"/>
  <c r="J8" i="471"/>
  <c r="I8" i="471"/>
  <c r="H8" i="471"/>
  <c r="G8" i="471"/>
  <c r="K7" i="471"/>
  <c r="J7" i="471"/>
  <c r="I7" i="471"/>
  <c r="H7" i="471"/>
  <c r="G7" i="471"/>
  <c r="K6" i="471"/>
  <c r="J6" i="471"/>
  <c r="I6" i="471"/>
  <c r="H6" i="471"/>
  <c r="G6" i="471"/>
  <c r="K5" i="471"/>
  <c r="J5" i="471"/>
  <c r="I5" i="471"/>
  <c r="H5" i="471"/>
  <c r="G5" i="471"/>
  <c r="K4" i="471"/>
  <c r="N4" i="471" s="1"/>
  <c r="J4" i="471"/>
  <c r="M4" i="471" s="1"/>
  <c r="I4" i="471"/>
  <c r="O4" i="471" s="1"/>
  <c r="R4" i="471" s="1"/>
  <c r="H4" i="471"/>
  <c r="G4" i="471"/>
  <c r="G17" i="467"/>
  <c r="G16" i="467"/>
  <c r="X10" i="468"/>
  <c r="X11" i="468"/>
  <c r="X12" i="468"/>
  <c r="X13" i="468"/>
  <c r="X14" i="468"/>
  <c r="X15" i="468"/>
  <c r="H30" i="468" a="1"/>
  <c r="H22" i="468" a="1"/>
  <c r="E17" i="468"/>
  <c r="D17" i="468"/>
  <c r="C17" i="468"/>
  <c r="K16" i="468"/>
  <c r="J16" i="468"/>
  <c r="I16" i="468"/>
  <c r="H16" i="468"/>
  <c r="G16" i="468"/>
  <c r="K15" i="468"/>
  <c r="J15" i="468"/>
  <c r="I15" i="468"/>
  <c r="H15" i="468"/>
  <c r="G15" i="468"/>
  <c r="K14" i="468"/>
  <c r="J14" i="468"/>
  <c r="I14" i="468"/>
  <c r="H14" i="468"/>
  <c r="G14" i="468"/>
  <c r="K13" i="468"/>
  <c r="J13" i="468"/>
  <c r="I13" i="468"/>
  <c r="H13" i="468"/>
  <c r="G13" i="468"/>
  <c r="K12" i="468"/>
  <c r="J12" i="468"/>
  <c r="I12" i="468"/>
  <c r="H12" i="468"/>
  <c r="G12" i="468"/>
  <c r="K11" i="468"/>
  <c r="J11" i="468"/>
  <c r="I11" i="468"/>
  <c r="H11" i="468"/>
  <c r="G11" i="468"/>
  <c r="K10" i="468"/>
  <c r="J10" i="468"/>
  <c r="I10" i="468"/>
  <c r="H10" i="468"/>
  <c r="G10" i="468"/>
  <c r="K9" i="468"/>
  <c r="J9" i="468"/>
  <c r="I9" i="468"/>
  <c r="H9" i="468"/>
  <c r="G9" i="468"/>
  <c r="K8" i="468"/>
  <c r="J8" i="468"/>
  <c r="I8" i="468"/>
  <c r="H8" i="468"/>
  <c r="G8" i="468"/>
  <c r="K7" i="468"/>
  <c r="J7" i="468"/>
  <c r="I7" i="468"/>
  <c r="H7" i="468"/>
  <c r="G7" i="468"/>
  <c r="K6" i="468"/>
  <c r="J6" i="468"/>
  <c r="I6" i="468"/>
  <c r="H6" i="468"/>
  <c r="G6" i="468"/>
  <c r="K5" i="468"/>
  <c r="J5" i="468"/>
  <c r="I5" i="468"/>
  <c r="H5" i="468"/>
  <c r="G5" i="468"/>
  <c r="K4" i="468"/>
  <c r="J4" i="468"/>
  <c r="I4" i="468"/>
  <c r="O4" i="468" s="1"/>
  <c r="R4" i="468" s="1"/>
  <c r="H4" i="468"/>
  <c r="G4" i="468"/>
  <c r="H29" i="466" a="1"/>
  <c r="H29" i="466" s="1"/>
  <c r="H22" i="466" a="1"/>
  <c r="H23" i="466" s="1"/>
  <c r="L23" i="466" s="1"/>
  <c r="AF8" i="466"/>
  <c r="AG8" i="466"/>
  <c r="AF9" i="466"/>
  <c r="AG9" i="466"/>
  <c r="AF10" i="466"/>
  <c r="AG10" i="466"/>
  <c r="AG7" i="466"/>
  <c r="AF7" i="466"/>
  <c r="E17" i="466"/>
  <c r="D17" i="466"/>
  <c r="C17" i="466"/>
  <c r="K16" i="466"/>
  <c r="J16" i="466"/>
  <c r="I16" i="466"/>
  <c r="H16" i="466"/>
  <c r="G16" i="466"/>
  <c r="K15" i="466"/>
  <c r="J15" i="466"/>
  <c r="I15" i="466"/>
  <c r="H15" i="466"/>
  <c r="G15" i="466"/>
  <c r="K14" i="466"/>
  <c r="J14" i="466"/>
  <c r="I14" i="466"/>
  <c r="H14" i="466"/>
  <c r="G14" i="466"/>
  <c r="K13" i="466"/>
  <c r="J13" i="466"/>
  <c r="I13" i="466"/>
  <c r="H13" i="466"/>
  <c r="G13" i="466"/>
  <c r="K12" i="466"/>
  <c r="J12" i="466"/>
  <c r="I12" i="466"/>
  <c r="H12" i="466"/>
  <c r="G12" i="466"/>
  <c r="K11" i="466"/>
  <c r="J11" i="466"/>
  <c r="I11" i="466"/>
  <c r="H11" i="466"/>
  <c r="G11" i="466"/>
  <c r="K10" i="466"/>
  <c r="J10" i="466"/>
  <c r="I10" i="466"/>
  <c r="H10" i="466"/>
  <c r="G10" i="466"/>
  <c r="K9" i="466"/>
  <c r="J9" i="466"/>
  <c r="I9" i="466"/>
  <c r="H9" i="466"/>
  <c r="G9" i="466"/>
  <c r="K8" i="466"/>
  <c r="J8" i="466"/>
  <c r="I8" i="466"/>
  <c r="H8" i="466"/>
  <c r="G8" i="466"/>
  <c r="K7" i="466"/>
  <c r="J7" i="466"/>
  <c r="I7" i="466"/>
  <c r="H7" i="466"/>
  <c r="G7" i="466"/>
  <c r="K6" i="466"/>
  <c r="J6" i="466"/>
  <c r="I6" i="466"/>
  <c r="H6" i="466"/>
  <c r="G6" i="466"/>
  <c r="K5" i="466"/>
  <c r="J5" i="466"/>
  <c r="I5" i="466"/>
  <c r="H5" i="466"/>
  <c r="G5" i="466"/>
  <c r="K4" i="466"/>
  <c r="J4" i="466"/>
  <c r="I4" i="466"/>
  <c r="O4" i="466" s="1"/>
  <c r="R4" i="466" s="1"/>
  <c r="H4" i="466"/>
  <c r="G4" i="466"/>
  <c r="D98" i="463"/>
  <c r="D99" i="463"/>
  <c r="D100" i="463"/>
  <c r="D97" i="463"/>
  <c r="L39" i="290" l="1"/>
  <c r="L42" i="290" s="1"/>
  <c r="L40" i="290"/>
  <c r="L43" i="290" s="1"/>
  <c r="AB17" i="290"/>
  <c r="L14" i="471"/>
  <c r="V14" i="471" s="1"/>
  <c r="Z7" i="290"/>
  <c r="Z8" i="290"/>
  <c r="L16" i="471"/>
  <c r="V16" i="471" s="1"/>
  <c r="X9" i="290"/>
  <c r="L13" i="468"/>
  <c r="V13" i="468" s="1"/>
  <c r="Q4" i="471"/>
  <c r="T4" i="471" s="1"/>
  <c r="L12" i="471"/>
  <c r="V12" i="471" s="1"/>
  <c r="Y9" i="290"/>
  <c r="K17" i="471"/>
  <c r="H22" i="466"/>
  <c r="L22" i="466" s="1"/>
  <c r="G31" i="471" a="1"/>
  <c r="AJ7" i="465"/>
  <c r="AK7" i="465" s="1"/>
  <c r="AJ9" i="465"/>
  <c r="AK9" i="465" s="1"/>
  <c r="AJ8" i="465"/>
  <c r="P4" i="471"/>
  <c r="S4" i="471" s="1"/>
  <c r="P4" i="468"/>
  <c r="S4" i="468" s="1"/>
  <c r="M4" i="468"/>
  <c r="Q4" i="468"/>
  <c r="T4" i="468" s="1"/>
  <c r="N4" i="468"/>
  <c r="Q4" i="466"/>
  <c r="T4" i="466" s="1"/>
  <c r="N4" i="466"/>
  <c r="P4" i="466"/>
  <c r="S4" i="466" s="1"/>
  <c r="M4" i="466"/>
  <c r="X15" i="471"/>
  <c r="X11" i="471"/>
  <c r="X14" i="471"/>
  <c r="X12" i="471"/>
  <c r="J17" i="471"/>
  <c r="L5" i="471"/>
  <c r="L10" i="471"/>
  <c r="V10" i="471" s="1"/>
  <c r="L6" i="471"/>
  <c r="V6" i="471" s="1"/>
  <c r="L7" i="471"/>
  <c r="V7" i="471" s="1"/>
  <c r="L8" i="471"/>
  <c r="V8" i="471" s="1"/>
  <c r="L9" i="471"/>
  <c r="V9" i="471" s="1"/>
  <c r="L11" i="471"/>
  <c r="V11" i="471" s="1"/>
  <c r="L13" i="471"/>
  <c r="V13" i="471" s="1"/>
  <c r="L15" i="471"/>
  <c r="V15" i="471" s="1"/>
  <c r="I17" i="471"/>
  <c r="G23" i="471" a="1"/>
  <c r="N13" i="466"/>
  <c r="N8" i="468"/>
  <c r="N12" i="468"/>
  <c r="L11" i="468"/>
  <c r="V11" i="468" s="1"/>
  <c r="L16" i="468"/>
  <c r="V16" i="468" s="1"/>
  <c r="G31" i="468" a="1"/>
  <c r="G31" i="468" s="1"/>
  <c r="N6" i="468"/>
  <c r="L12" i="468"/>
  <c r="V12" i="468" s="1"/>
  <c r="N11" i="468"/>
  <c r="K17" i="468"/>
  <c r="G23" i="468" a="1"/>
  <c r="G24" i="468" s="1"/>
  <c r="M8" i="468"/>
  <c r="M10" i="468"/>
  <c r="M16" i="468"/>
  <c r="L10" i="468"/>
  <c r="V10" i="468" s="1"/>
  <c r="N14" i="468"/>
  <c r="N15" i="468"/>
  <c r="G30" i="466" a="1"/>
  <c r="G30" i="466" s="1"/>
  <c r="M14" i="468"/>
  <c r="N5" i="468"/>
  <c r="M5" i="468"/>
  <c r="L7" i="468"/>
  <c r="V7" i="468" s="1"/>
  <c r="L9" i="468"/>
  <c r="V9" i="468" s="1"/>
  <c r="L15" i="468"/>
  <c r="V15" i="468" s="1"/>
  <c r="M6" i="468"/>
  <c r="L6" i="468"/>
  <c r="V6" i="468" s="1"/>
  <c r="M9" i="468"/>
  <c r="M15" i="468"/>
  <c r="H23" i="468"/>
  <c r="H24" i="468"/>
  <c r="I17" i="468"/>
  <c r="L5" i="468"/>
  <c r="J17" i="468"/>
  <c r="M7" i="468"/>
  <c r="N7" i="468"/>
  <c r="H22" i="468"/>
  <c r="M12" i="468"/>
  <c r="H31" i="468"/>
  <c r="H30" i="468"/>
  <c r="L8" i="468"/>
  <c r="V8" i="468" s="1"/>
  <c r="N9" i="468"/>
  <c r="M11" i="468"/>
  <c r="N13" i="468"/>
  <c r="M13" i="468"/>
  <c r="L14" i="468"/>
  <c r="V14" i="468" s="1"/>
  <c r="H32" i="468"/>
  <c r="N10" i="468"/>
  <c r="N16" i="468"/>
  <c r="G23" i="466" a="1"/>
  <c r="G23" i="466" s="1"/>
  <c r="M16" i="466"/>
  <c r="N5" i="466"/>
  <c r="M9" i="466"/>
  <c r="M13" i="466"/>
  <c r="L15" i="466"/>
  <c r="V15" i="466" s="1"/>
  <c r="H31" i="466"/>
  <c r="H30" i="466"/>
  <c r="L30" i="466" s="1"/>
  <c r="H24" i="466"/>
  <c r="L24" i="466" s="1"/>
  <c r="M6" i="466"/>
  <c r="M10" i="466"/>
  <c r="M14" i="466"/>
  <c r="M5" i="466"/>
  <c r="N7" i="466"/>
  <c r="M8" i="466"/>
  <c r="N11" i="466"/>
  <c r="M12" i="466"/>
  <c r="N15" i="466"/>
  <c r="N9" i="466"/>
  <c r="M15" i="466"/>
  <c r="M11" i="466"/>
  <c r="M7" i="466"/>
  <c r="N16" i="466"/>
  <c r="N14" i="466"/>
  <c r="N12" i="466"/>
  <c r="N10" i="466"/>
  <c r="N8" i="466"/>
  <c r="N6" i="466"/>
  <c r="I17" i="466"/>
  <c r="L13" i="466"/>
  <c r="V13" i="466" s="1"/>
  <c r="L16" i="466"/>
  <c r="V16" i="466" s="1"/>
  <c r="AH10" i="466"/>
  <c r="AI10" i="466" s="1"/>
  <c r="AH8" i="466"/>
  <c r="AI8" i="466" s="1"/>
  <c r="AH7" i="466"/>
  <c r="AJ7" i="466" s="1"/>
  <c r="AH9" i="466"/>
  <c r="AI9" i="466" s="1"/>
  <c r="L12" i="466"/>
  <c r="V12" i="466" s="1"/>
  <c r="J17" i="466"/>
  <c r="L14" i="466"/>
  <c r="V14" i="466" s="1"/>
  <c r="L5" i="466"/>
  <c r="V5" i="466" s="1"/>
  <c r="L6" i="466"/>
  <c r="V6" i="466" s="1"/>
  <c r="K17" i="466"/>
  <c r="L7" i="466"/>
  <c r="V7" i="466" s="1"/>
  <c r="L8" i="466"/>
  <c r="V8" i="466" s="1"/>
  <c r="L9" i="466"/>
  <c r="V9" i="466" s="1"/>
  <c r="L10" i="466"/>
  <c r="V10" i="466" s="1"/>
  <c r="L11" i="466"/>
  <c r="V11" i="466" s="1"/>
  <c r="O6" i="468" l="1"/>
  <c r="Q6" i="468" s="1"/>
  <c r="O14" i="468"/>
  <c r="Q14" i="468" s="1"/>
  <c r="T14" i="468" s="1"/>
  <c r="G31" i="466"/>
  <c r="Z9" i="290"/>
  <c r="AB20" i="290" s="1"/>
  <c r="H22" i="471" a="1"/>
  <c r="H22" i="471" s="1"/>
  <c r="L22" i="471" s="1"/>
  <c r="H30" i="471" a="1"/>
  <c r="H31" i="471" s="1"/>
  <c r="L31" i="471" s="1"/>
  <c r="O8" i="468"/>
  <c r="P8" i="468" s="1"/>
  <c r="S8" i="468" s="1"/>
  <c r="G32" i="468"/>
  <c r="G32" i="471"/>
  <c r="G31" i="471"/>
  <c r="AL7" i="465"/>
  <c r="AL8" i="465"/>
  <c r="AK8" i="465"/>
  <c r="AJ10" i="465"/>
  <c r="AK10" i="465" s="1"/>
  <c r="AL9" i="465"/>
  <c r="M10" i="471"/>
  <c r="M13" i="471"/>
  <c r="N16" i="471"/>
  <c r="N8" i="471"/>
  <c r="M7" i="471"/>
  <c r="M6" i="471"/>
  <c r="M14" i="471"/>
  <c r="N12" i="471"/>
  <c r="M5" i="471"/>
  <c r="M15" i="471"/>
  <c r="M12" i="471"/>
  <c r="M11" i="471"/>
  <c r="M8" i="471"/>
  <c r="N14" i="471"/>
  <c r="N11" i="471"/>
  <c r="N7" i="471"/>
  <c r="N15" i="471"/>
  <c r="N6" i="471"/>
  <c r="M16" i="471"/>
  <c r="N13" i="471"/>
  <c r="N9" i="471"/>
  <c r="M9" i="471"/>
  <c r="X10" i="471"/>
  <c r="N10" i="471"/>
  <c r="X13" i="471"/>
  <c r="N5" i="471"/>
  <c r="V5" i="471"/>
  <c r="V17" i="471" s="1"/>
  <c r="L17" i="471"/>
  <c r="G23" i="471"/>
  <c r="G24" i="471"/>
  <c r="O15" i="468"/>
  <c r="Q15" i="468" s="1"/>
  <c r="T15" i="468" s="1"/>
  <c r="O13" i="466"/>
  <c r="R13" i="466" s="1"/>
  <c r="G23" i="468"/>
  <c r="O5" i="468"/>
  <c r="R5" i="468" s="1"/>
  <c r="P14" i="468"/>
  <c r="S14" i="468" s="1"/>
  <c r="T6" i="468"/>
  <c r="O9" i="468"/>
  <c r="R9" i="468" s="1"/>
  <c r="V17" i="466"/>
  <c r="AJ10" i="466"/>
  <c r="L30" i="468"/>
  <c r="L24" i="468"/>
  <c r="L32" i="468"/>
  <c r="O11" i="468"/>
  <c r="L31" i="468"/>
  <c r="O12" i="468"/>
  <c r="P12" i="468" s="1"/>
  <c r="S12" i="468" s="1"/>
  <c r="L23" i="468"/>
  <c r="O7" i="468"/>
  <c r="Q7" i="468" s="1"/>
  <c r="T7" i="468" s="1"/>
  <c r="V5" i="468"/>
  <c r="L17" i="468"/>
  <c r="O16" i="468"/>
  <c r="Q16" i="468" s="1"/>
  <c r="T16" i="468" s="1"/>
  <c r="O13" i="468"/>
  <c r="Q13" i="468" s="1"/>
  <c r="T13" i="468" s="1"/>
  <c r="R6" i="468"/>
  <c r="P6" i="468"/>
  <c r="L22" i="468"/>
  <c r="O10" i="468"/>
  <c r="G24" i="466"/>
  <c r="AJ8" i="466"/>
  <c r="AI7" i="466"/>
  <c r="AJ9" i="466"/>
  <c r="L31" i="466"/>
  <c r="O14" i="466"/>
  <c r="L29" i="466"/>
  <c r="O8" i="466"/>
  <c r="O9" i="466"/>
  <c r="O11" i="466"/>
  <c r="O6" i="466"/>
  <c r="L17" i="466"/>
  <c r="AB4" i="466" s="1"/>
  <c r="O16" i="466"/>
  <c r="H6" i="463"/>
  <c r="R14" i="468" l="1"/>
  <c r="Q5" i="468"/>
  <c r="T5" i="468" s="1"/>
  <c r="R15" i="468"/>
  <c r="O14" i="471"/>
  <c r="P14" i="471" s="1"/>
  <c r="S14" i="471" s="1"/>
  <c r="H24" i="471"/>
  <c r="L24" i="471" s="1"/>
  <c r="H23" i="471"/>
  <c r="L23" i="471" s="1"/>
  <c r="AB29" i="290"/>
  <c r="R8" i="468"/>
  <c r="Q8" i="468"/>
  <c r="T8" i="468" s="1"/>
  <c r="H30" i="471"/>
  <c r="L30" i="471" s="1"/>
  <c r="Y18" i="290"/>
  <c r="Y16" i="290"/>
  <c r="Y17" i="290"/>
  <c r="Y13" i="290"/>
  <c r="AB18" i="290" s="1"/>
  <c r="AA8" i="290"/>
  <c r="AB8" i="290" s="1"/>
  <c r="AC8" i="290" s="1"/>
  <c r="AA7" i="290"/>
  <c r="AB7" i="290" s="1"/>
  <c r="AC7" i="290" s="1"/>
  <c r="H32" i="471"/>
  <c r="L32" i="471" s="1"/>
  <c r="V17" i="468"/>
  <c r="AB4" i="471"/>
  <c r="AL10" i="465"/>
  <c r="O13" i="471"/>
  <c r="O12" i="471"/>
  <c r="O16" i="471"/>
  <c r="O9" i="471"/>
  <c r="O6" i="471"/>
  <c r="O11" i="471"/>
  <c r="O15" i="471"/>
  <c r="O8" i="471"/>
  <c r="O10" i="471"/>
  <c r="O7" i="471"/>
  <c r="O5" i="471"/>
  <c r="P13" i="466"/>
  <c r="S13" i="466" s="1"/>
  <c r="Q13" i="466"/>
  <c r="T13" i="466" s="1"/>
  <c r="Q9" i="468"/>
  <c r="T9" i="468" s="1"/>
  <c r="P5" i="468"/>
  <c r="P15" i="468"/>
  <c r="S15" i="468" s="1"/>
  <c r="P9" i="468"/>
  <c r="S9" i="468" s="1"/>
  <c r="P7" i="468"/>
  <c r="S7" i="468" s="1"/>
  <c r="U14" i="468"/>
  <c r="P16" i="466"/>
  <c r="S16" i="466" s="1"/>
  <c r="P11" i="466"/>
  <c r="S11" i="466" s="1"/>
  <c r="Q14" i="466"/>
  <c r="T14" i="466" s="1"/>
  <c r="P8" i="466"/>
  <c r="S8" i="466" s="1"/>
  <c r="R11" i="468"/>
  <c r="Q11" i="468"/>
  <c r="T11" i="468" s="1"/>
  <c r="R10" i="468"/>
  <c r="P10" i="468"/>
  <c r="S10" i="468" s="1"/>
  <c r="S6" i="468"/>
  <c r="U6" i="468"/>
  <c r="Q10" i="468"/>
  <c r="T10" i="468" s="1"/>
  <c r="R13" i="468"/>
  <c r="R16" i="468"/>
  <c r="P16" i="468"/>
  <c r="S16" i="468" s="1"/>
  <c r="R7" i="468"/>
  <c r="R12" i="468"/>
  <c r="Q12" i="468"/>
  <c r="T12" i="468" s="1"/>
  <c r="P13" i="468"/>
  <c r="S13" i="468" s="1"/>
  <c r="P11" i="468"/>
  <c r="S11" i="468" s="1"/>
  <c r="P14" i="466"/>
  <c r="S14" i="466" s="1"/>
  <c r="Q6" i="466"/>
  <c r="T6" i="466" s="1"/>
  <c r="R6" i="466"/>
  <c r="R9" i="466"/>
  <c r="Q9" i="466"/>
  <c r="T9" i="466" s="1"/>
  <c r="O5" i="466"/>
  <c r="R16" i="466"/>
  <c r="P6" i="466"/>
  <c r="S6" i="466" s="1"/>
  <c r="P9" i="466"/>
  <c r="S9" i="466" s="1"/>
  <c r="R14" i="466"/>
  <c r="Q16" i="466"/>
  <c r="T16" i="466" s="1"/>
  <c r="O7" i="466"/>
  <c r="O12" i="466"/>
  <c r="O10" i="466"/>
  <c r="R11" i="466"/>
  <c r="Q11" i="466"/>
  <c r="T11" i="466" s="1"/>
  <c r="O15" i="466"/>
  <c r="R8" i="466"/>
  <c r="Q8" i="466"/>
  <c r="T8" i="466" s="1"/>
  <c r="E17" i="467"/>
  <c r="D17" i="467"/>
  <c r="C17" i="467"/>
  <c r="U5" i="468" l="1"/>
  <c r="R14" i="471"/>
  <c r="Q14" i="471"/>
  <c r="T14" i="471" s="1"/>
  <c r="S5" i="468"/>
  <c r="U8" i="468"/>
  <c r="Y19" i="290"/>
  <c r="Y20" i="290" s="1"/>
  <c r="AB19" i="290"/>
  <c r="AB21" i="290" s="1"/>
  <c r="AB22" i="290" s="1"/>
  <c r="Q7" i="471"/>
  <c r="T7" i="471" s="1"/>
  <c r="R11" i="471"/>
  <c r="P12" i="471"/>
  <c r="S12" i="471" s="1"/>
  <c r="Q10" i="471"/>
  <c r="T10" i="471" s="1"/>
  <c r="R6" i="471"/>
  <c r="P13" i="471"/>
  <c r="S13" i="471" s="1"/>
  <c r="R9" i="471"/>
  <c r="R16" i="471"/>
  <c r="U9" i="468"/>
  <c r="U7" i="468"/>
  <c r="T17" i="468"/>
  <c r="U13" i="466"/>
  <c r="R13" i="471"/>
  <c r="Q13" i="471"/>
  <c r="T13" i="471" s="1"/>
  <c r="Q12" i="471"/>
  <c r="T12" i="471" s="1"/>
  <c r="R12" i="471"/>
  <c r="P9" i="471"/>
  <c r="S9" i="471" s="1"/>
  <c r="Q16" i="471"/>
  <c r="T16" i="471" s="1"/>
  <c r="P16" i="471"/>
  <c r="S16" i="471" s="1"/>
  <c r="Q9" i="471"/>
  <c r="T9" i="471" s="1"/>
  <c r="P7" i="471"/>
  <c r="S7" i="471" s="1"/>
  <c r="R15" i="471"/>
  <c r="P15" i="471"/>
  <c r="P6" i="471"/>
  <c r="Q11" i="471"/>
  <c r="T11" i="471" s="1"/>
  <c r="Q15" i="471"/>
  <c r="T15" i="471" s="1"/>
  <c r="P11" i="471"/>
  <c r="Q6" i="471"/>
  <c r="T6" i="471" s="1"/>
  <c r="Q8" i="471"/>
  <c r="T8" i="471" s="1"/>
  <c r="R8" i="471"/>
  <c r="P8" i="471"/>
  <c r="R7" i="471"/>
  <c r="P5" i="471"/>
  <c r="S5" i="471" s="1"/>
  <c r="R5" i="471"/>
  <c r="R10" i="471"/>
  <c r="P10" i="471"/>
  <c r="Q5" i="471"/>
  <c r="T5" i="471" s="1"/>
  <c r="U15" i="468"/>
  <c r="U14" i="466"/>
  <c r="U6" i="466"/>
  <c r="U11" i="466"/>
  <c r="U9" i="466"/>
  <c r="P15" i="466"/>
  <c r="S15" i="466" s="1"/>
  <c r="U16" i="466"/>
  <c r="U8" i="466"/>
  <c r="U10" i="468"/>
  <c r="R17" i="468"/>
  <c r="U13" i="468"/>
  <c r="S17" i="468"/>
  <c r="U12" i="468"/>
  <c r="U16" i="468"/>
  <c r="U11" i="468"/>
  <c r="Q15" i="466"/>
  <c r="T15" i="466" s="1"/>
  <c r="R10" i="466"/>
  <c r="Q10" i="466"/>
  <c r="T10" i="466" s="1"/>
  <c r="R12" i="466"/>
  <c r="P12" i="466"/>
  <c r="S12" i="466" s="1"/>
  <c r="R7" i="466"/>
  <c r="P7" i="466"/>
  <c r="S7" i="466" s="1"/>
  <c r="R5" i="466"/>
  <c r="Q5" i="466"/>
  <c r="T5" i="466" s="1"/>
  <c r="P10" i="466"/>
  <c r="S10" i="466" s="1"/>
  <c r="Q12" i="466"/>
  <c r="T12" i="466" s="1"/>
  <c r="P5" i="466"/>
  <c r="S5" i="466" s="1"/>
  <c r="R15" i="466"/>
  <c r="Q7" i="466"/>
  <c r="T7" i="466" s="1"/>
  <c r="G6" i="465"/>
  <c r="H6" i="465"/>
  <c r="I6" i="465"/>
  <c r="J6" i="465"/>
  <c r="K6" i="465"/>
  <c r="G7" i="465"/>
  <c r="H7" i="465"/>
  <c r="I7" i="465"/>
  <c r="G8" i="465"/>
  <c r="H8" i="465"/>
  <c r="I8" i="465"/>
  <c r="G9" i="465"/>
  <c r="H9" i="465"/>
  <c r="I9" i="465"/>
  <c r="G10" i="465"/>
  <c r="H10" i="465"/>
  <c r="I10" i="465"/>
  <c r="G11" i="465"/>
  <c r="H11" i="465"/>
  <c r="I11" i="465"/>
  <c r="G12" i="465"/>
  <c r="H12" i="465"/>
  <c r="I12" i="465"/>
  <c r="G13" i="465"/>
  <c r="H13" i="465"/>
  <c r="I13" i="465"/>
  <c r="G14" i="465"/>
  <c r="H14" i="465"/>
  <c r="I14" i="465"/>
  <c r="G15" i="465"/>
  <c r="H15" i="465"/>
  <c r="I15" i="465"/>
  <c r="G16" i="465"/>
  <c r="H16" i="465"/>
  <c r="I16" i="465"/>
  <c r="J16" i="465"/>
  <c r="K16" i="465"/>
  <c r="H5" i="465"/>
  <c r="I5" i="465"/>
  <c r="J5" i="465"/>
  <c r="K5" i="465"/>
  <c r="G5" i="465"/>
  <c r="H4" i="465"/>
  <c r="I4" i="465"/>
  <c r="O4" i="465" s="1"/>
  <c r="R4" i="465" s="1"/>
  <c r="J4" i="465"/>
  <c r="K4" i="465"/>
  <c r="G4" i="465"/>
  <c r="E17" i="465"/>
  <c r="D17" i="465"/>
  <c r="C17" i="465"/>
  <c r="AB23" i="290" l="1"/>
  <c r="AB24" i="290"/>
  <c r="U14" i="471"/>
  <c r="U5" i="471"/>
  <c r="U8" i="471"/>
  <c r="U11" i="471"/>
  <c r="U15" i="471"/>
  <c r="U7" i="471"/>
  <c r="U10" i="471"/>
  <c r="U6" i="471"/>
  <c r="U13" i="471"/>
  <c r="U16" i="471"/>
  <c r="U9" i="471"/>
  <c r="U12" i="471"/>
  <c r="M12" i="465"/>
  <c r="N12" i="465"/>
  <c r="M6" i="465"/>
  <c r="N6" i="465"/>
  <c r="M15" i="465"/>
  <c r="N15" i="465"/>
  <c r="M11" i="465"/>
  <c r="N11" i="465"/>
  <c r="N9" i="465"/>
  <c r="M9" i="465"/>
  <c r="M16" i="465"/>
  <c r="N16" i="465"/>
  <c r="M14" i="465"/>
  <c r="N14" i="465"/>
  <c r="M10" i="465"/>
  <c r="N10" i="465"/>
  <c r="M8" i="465"/>
  <c r="N8" i="465"/>
  <c r="N13" i="465"/>
  <c r="M13" i="465"/>
  <c r="M7" i="465"/>
  <c r="N7" i="465"/>
  <c r="G23" i="465" a="1"/>
  <c r="G30" i="465" a="1"/>
  <c r="N5" i="465"/>
  <c r="M5" i="465"/>
  <c r="P4" i="465"/>
  <c r="S4" i="465" s="1"/>
  <c r="M4" i="465"/>
  <c r="Q4" i="465"/>
  <c r="T4" i="465" s="1"/>
  <c r="N4" i="465"/>
  <c r="S6" i="471"/>
  <c r="S15" i="471"/>
  <c r="S8" i="471"/>
  <c r="S11" i="471"/>
  <c r="T17" i="471"/>
  <c r="R17" i="471"/>
  <c r="S10" i="471"/>
  <c r="L11" i="465"/>
  <c r="V11" i="465" s="1"/>
  <c r="L15" i="465"/>
  <c r="V15" i="465" s="1"/>
  <c r="L7" i="465"/>
  <c r="V7" i="465" s="1"/>
  <c r="U5" i="466"/>
  <c r="U12" i="466"/>
  <c r="U7" i="466"/>
  <c r="U15" i="466"/>
  <c r="U10" i="466"/>
  <c r="L14" i="465"/>
  <c r="V14" i="465" s="1"/>
  <c r="L10" i="465"/>
  <c r="V10" i="465" s="1"/>
  <c r="L5" i="465"/>
  <c r="V5" i="465" s="1"/>
  <c r="L13" i="465"/>
  <c r="V13" i="465" s="1"/>
  <c r="L9" i="465"/>
  <c r="V9" i="465" s="1"/>
  <c r="U17" i="468"/>
  <c r="L6" i="465"/>
  <c r="V6" i="465" s="1"/>
  <c r="L16" i="465"/>
  <c r="V16" i="465" s="1"/>
  <c r="L12" i="465"/>
  <c r="V12" i="465" s="1"/>
  <c r="L8" i="465"/>
  <c r="V8" i="465" s="1"/>
  <c r="S17" i="466"/>
  <c r="T17" i="466"/>
  <c r="R17" i="466"/>
  <c r="J17" i="465"/>
  <c r="I17" i="465"/>
  <c r="K17" i="465"/>
  <c r="AB27" i="290" l="1"/>
  <c r="AB31" i="290" s="1"/>
  <c r="AB26" i="290"/>
  <c r="AB30" i="290" s="1"/>
  <c r="G30" i="465"/>
  <c r="G31" i="465"/>
  <c r="O5" i="465"/>
  <c r="Q5" i="465" s="1"/>
  <c r="G23" i="465"/>
  <c r="G24" i="465"/>
  <c r="U17" i="471"/>
  <c r="AB5" i="471" s="1"/>
  <c r="S17" i="471"/>
  <c r="O9" i="465"/>
  <c r="P9" i="465" s="1"/>
  <c r="S9" i="465" s="1"/>
  <c r="V17" i="465"/>
  <c r="O6" i="465"/>
  <c r="P6" i="465" s="1"/>
  <c r="S6" i="465" s="1"/>
  <c r="L17" i="465"/>
  <c r="O7" i="465"/>
  <c r="O15" i="465"/>
  <c r="O10" i="465"/>
  <c r="O16" i="465"/>
  <c r="O14" i="465"/>
  <c r="O13" i="465"/>
  <c r="U17" i="466"/>
  <c r="AB4" i="465" l="1"/>
  <c r="AB7" i="471"/>
  <c r="AB9" i="471" s="1"/>
  <c r="AB11" i="471" s="1"/>
  <c r="AB14" i="471"/>
  <c r="AB15" i="471" s="1"/>
  <c r="AB13" i="471"/>
  <c r="P5" i="465"/>
  <c r="S5" i="465" s="1"/>
  <c r="R5" i="465"/>
  <c r="R9" i="465"/>
  <c r="R6" i="465"/>
  <c r="Q9" i="465"/>
  <c r="T9" i="465" s="1"/>
  <c r="P16" i="465"/>
  <c r="S16" i="465" s="1"/>
  <c r="T5" i="465"/>
  <c r="P15" i="465"/>
  <c r="S15" i="465" s="1"/>
  <c r="Q6" i="465"/>
  <c r="T6" i="465" s="1"/>
  <c r="Q16" i="465"/>
  <c r="T16" i="465" s="1"/>
  <c r="Q13" i="465"/>
  <c r="T13" i="465" s="1"/>
  <c r="AB5" i="466"/>
  <c r="AB13" i="466" s="1"/>
  <c r="O11" i="465"/>
  <c r="Q10" i="465"/>
  <c r="T10" i="465" s="1"/>
  <c r="R10" i="465"/>
  <c r="P10" i="465"/>
  <c r="S10" i="465" s="1"/>
  <c r="R7" i="465"/>
  <c r="R13" i="465"/>
  <c r="P13" i="465"/>
  <c r="S13" i="465" s="1"/>
  <c r="Q7" i="465"/>
  <c r="T7" i="465" s="1"/>
  <c r="P7" i="465"/>
  <c r="S7" i="465" s="1"/>
  <c r="O12" i="465"/>
  <c r="O8" i="465"/>
  <c r="Q14" i="465"/>
  <c r="T14" i="465" s="1"/>
  <c r="R14" i="465"/>
  <c r="P14" i="465"/>
  <c r="S14" i="465" s="1"/>
  <c r="R16" i="465"/>
  <c r="R15" i="465"/>
  <c r="Q15" i="465"/>
  <c r="T15" i="465" s="1"/>
  <c r="U5" i="465" l="1"/>
  <c r="U9" i="465"/>
  <c r="U6" i="465"/>
  <c r="U14" i="465"/>
  <c r="U13" i="465"/>
  <c r="U16" i="465"/>
  <c r="U10" i="465"/>
  <c r="Q8" i="465"/>
  <c r="T8" i="465" s="1"/>
  <c r="Q12" i="465"/>
  <c r="T12" i="465" s="1"/>
  <c r="P11" i="465"/>
  <c r="S11" i="465" s="1"/>
  <c r="U15" i="465"/>
  <c r="U7" i="465"/>
  <c r="AB14" i="466"/>
  <c r="AB15" i="466" s="1"/>
  <c r="AB7" i="466"/>
  <c r="AB9" i="466" s="1"/>
  <c r="AB11" i="466" s="1"/>
  <c r="R11" i="465"/>
  <c r="Q11" i="465"/>
  <c r="T11" i="465" s="1"/>
  <c r="R12" i="465"/>
  <c r="P12" i="465"/>
  <c r="S12" i="465" s="1"/>
  <c r="R8" i="465"/>
  <c r="P8" i="465"/>
  <c r="S8" i="465" s="1"/>
  <c r="S17" i="465" l="1"/>
  <c r="T17" i="465"/>
  <c r="U12" i="465"/>
  <c r="U8" i="465"/>
  <c r="U11" i="465"/>
  <c r="R17" i="465"/>
  <c r="U17" i="465" l="1"/>
  <c r="AB5" i="465" s="1"/>
  <c r="AB7" i="465" l="1"/>
  <c r="AB14" i="465"/>
  <c r="AB15" i="465" s="1"/>
  <c r="AB13" i="465"/>
  <c r="AB9" i="465" l="1"/>
  <c r="AB11" i="465" s="1"/>
  <c r="Y86" i="463"/>
  <c r="I70" i="463"/>
  <c r="J70" i="463"/>
  <c r="K70" i="463"/>
  <c r="L70" i="463"/>
  <c r="H70" i="463"/>
  <c r="E72" i="463"/>
  <c r="K72" i="463" s="1"/>
  <c r="F72" i="463"/>
  <c r="L72" i="463" s="1"/>
  <c r="E73" i="463"/>
  <c r="K73" i="463" s="1"/>
  <c r="F73" i="463"/>
  <c r="E74" i="463"/>
  <c r="K74" i="463" s="1"/>
  <c r="F74" i="463"/>
  <c r="L74" i="463" s="1"/>
  <c r="E75" i="463"/>
  <c r="K75" i="463" s="1"/>
  <c r="F75" i="463"/>
  <c r="L75" i="463" s="1"/>
  <c r="E76" i="463"/>
  <c r="K76" i="463" s="1"/>
  <c r="F76" i="463"/>
  <c r="L76" i="463" s="1"/>
  <c r="E77" i="463"/>
  <c r="K77" i="463" s="1"/>
  <c r="F77" i="463"/>
  <c r="L77" i="463" s="1"/>
  <c r="E78" i="463"/>
  <c r="K78" i="463" s="1"/>
  <c r="F78" i="463"/>
  <c r="L78" i="463" s="1"/>
  <c r="E79" i="463"/>
  <c r="K79" i="463" s="1"/>
  <c r="F79" i="463"/>
  <c r="L79" i="463" s="1"/>
  <c r="E80" i="463"/>
  <c r="K80" i="463" s="1"/>
  <c r="F80" i="463"/>
  <c r="L80" i="463" s="1"/>
  <c r="E81" i="463"/>
  <c r="K81" i="463" s="1"/>
  <c r="F81" i="463"/>
  <c r="L81" i="463" s="1"/>
  <c r="E82" i="463"/>
  <c r="K82" i="463" s="1"/>
  <c r="F82" i="463"/>
  <c r="F71" i="463"/>
  <c r="L71" i="463" s="1"/>
  <c r="B72" i="463"/>
  <c r="C72" i="463"/>
  <c r="I72" i="463" s="1"/>
  <c r="B73" i="463"/>
  <c r="H73" i="463" s="1"/>
  <c r="C73" i="463"/>
  <c r="B74" i="463"/>
  <c r="H74" i="463" s="1"/>
  <c r="C74" i="463"/>
  <c r="I74" i="463" s="1"/>
  <c r="B75" i="463"/>
  <c r="C75" i="463"/>
  <c r="I75" i="463" s="1"/>
  <c r="B76" i="463"/>
  <c r="C76" i="463"/>
  <c r="I76" i="463" s="1"/>
  <c r="B77" i="463"/>
  <c r="H77" i="463" s="1"/>
  <c r="C77" i="463"/>
  <c r="B78" i="463"/>
  <c r="C78" i="463"/>
  <c r="I78" i="463" s="1"/>
  <c r="B79" i="463"/>
  <c r="C79" i="463"/>
  <c r="I79" i="463" s="1"/>
  <c r="B80" i="463"/>
  <c r="H80" i="463" s="1"/>
  <c r="C80" i="463"/>
  <c r="I80" i="463" s="1"/>
  <c r="B81" i="463"/>
  <c r="H81" i="463" s="1"/>
  <c r="C81" i="463"/>
  <c r="B82" i="463"/>
  <c r="H82" i="463" s="1"/>
  <c r="C82" i="463"/>
  <c r="I82" i="463" s="1"/>
  <c r="C71" i="463"/>
  <c r="B71" i="463"/>
  <c r="H71" i="463" s="1"/>
  <c r="E71" i="463"/>
  <c r="C51" i="463"/>
  <c r="D51" i="463"/>
  <c r="D50" i="463"/>
  <c r="C50" i="463"/>
  <c r="U44" i="463"/>
  <c r="C30" i="463"/>
  <c r="D30" i="463"/>
  <c r="C31" i="463"/>
  <c r="D31" i="463"/>
  <c r="C32" i="463"/>
  <c r="D32" i="463"/>
  <c r="C33" i="463"/>
  <c r="D33" i="463"/>
  <c r="C34" i="463"/>
  <c r="D34" i="463"/>
  <c r="D29" i="463"/>
  <c r="C29" i="463"/>
  <c r="V21" i="463"/>
  <c r="F6" i="463"/>
  <c r="G6" i="463"/>
  <c r="I6" i="463"/>
  <c r="J6" i="463" s="1"/>
  <c r="F7" i="463"/>
  <c r="G7" i="463"/>
  <c r="H7" i="463"/>
  <c r="I7" i="463"/>
  <c r="F8" i="463"/>
  <c r="G8" i="463"/>
  <c r="H8" i="463"/>
  <c r="I8" i="463"/>
  <c r="F9" i="463"/>
  <c r="G9" i="463"/>
  <c r="H9" i="463"/>
  <c r="I9" i="463"/>
  <c r="F10" i="463"/>
  <c r="G10" i="463"/>
  <c r="H10" i="463"/>
  <c r="I10" i="463"/>
  <c r="F11" i="463"/>
  <c r="G11" i="463"/>
  <c r="H11" i="463"/>
  <c r="I11" i="463"/>
  <c r="F12" i="463"/>
  <c r="G12" i="463"/>
  <c r="H12" i="463"/>
  <c r="I12" i="463"/>
  <c r="F13" i="463"/>
  <c r="G13" i="463"/>
  <c r="H13" i="463"/>
  <c r="I13" i="463"/>
  <c r="F14" i="463"/>
  <c r="G14" i="463"/>
  <c r="H14" i="463"/>
  <c r="I14" i="463"/>
  <c r="F15" i="463"/>
  <c r="G15" i="463"/>
  <c r="H15" i="463"/>
  <c r="I15" i="463"/>
  <c r="F16" i="463"/>
  <c r="G16" i="463"/>
  <c r="H16" i="463"/>
  <c r="I16" i="463"/>
  <c r="F17" i="463"/>
  <c r="G17" i="463"/>
  <c r="H17" i="463"/>
  <c r="I17" i="463"/>
  <c r="G5" i="463"/>
  <c r="H5" i="463"/>
  <c r="I5" i="463"/>
  <c r="F5" i="463"/>
  <c r="D16" i="463"/>
  <c r="C16" i="463"/>
  <c r="U21" i="462"/>
  <c r="F5" i="462"/>
  <c r="E5" i="462"/>
  <c r="AW7" i="462"/>
  <c r="AW8" i="462" s="1"/>
  <c r="AW9" i="462" s="1"/>
  <c r="AW10" i="462" s="1"/>
  <c r="AW11" i="462" s="1"/>
  <c r="AW12" i="462" s="1"/>
  <c r="AW13" i="462" s="1"/>
  <c r="AW14" i="462" s="1"/>
  <c r="AW15" i="462" s="1"/>
  <c r="AW16" i="462" s="1"/>
  <c r="AW17" i="462" s="1"/>
  <c r="AW18" i="462" s="1"/>
  <c r="AW19" i="462" s="1"/>
  <c r="AW20" i="462" s="1"/>
  <c r="AW21" i="462" s="1"/>
  <c r="AW22" i="462" s="1"/>
  <c r="AW23" i="462" s="1"/>
  <c r="AW24" i="462" s="1"/>
  <c r="AW25" i="462" s="1"/>
  <c r="AW26" i="462" s="1"/>
  <c r="AW27" i="462" s="1"/>
  <c r="AW28" i="462" s="1"/>
  <c r="AW29" i="462" s="1"/>
  <c r="AR7" i="462"/>
  <c r="AR8" i="462" s="1"/>
  <c r="AR9" i="462" s="1"/>
  <c r="AR10" i="462" s="1"/>
  <c r="AR11" i="462" s="1"/>
  <c r="AR12" i="462" s="1"/>
  <c r="AR13" i="462" s="1"/>
  <c r="AR14" i="462" s="1"/>
  <c r="AR15" i="462" s="1"/>
  <c r="AR16" i="462" s="1"/>
  <c r="AR17" i="462" s="1"/>
  <c r="AR18" i="462" s="1"/>
  <c r="AR19" i="462" s="1"/>
  <c r="AR20" i="462" s="1"/>
  <c r="AR21" i="462" s="1"/>
  <c r="AR22" i="462" s="1"/>
  <c r="AR23" i="462" s="1"/>
  <c r="AR24" i="462" s="1"/>
  <c r="AR25" i="462" s="1"/>
  <c r="AR26" i="462" s="1"/>
  <c r="AR27" i="462" s="1"/>
  <c r="AR28" i="462" s="1"/>
  <c r="AR29" i="462" s="1"/>
  <c r="AR30" i="462" s="1"/>
  <c r="T21" i="461"/>
  <c r="E6" i="461"/>
  <c r="T9" i="461" s="1"/>
  <c r="F6" i="461"/>
  <c r="G6" i="461"/>
  <c r="F7" i="461"/>
  <c r="G7" i="461"/>
  <c r="F8" i="461"/>
  <c r="G8" i="461"/>
  <c r="F9" i="461"/>
  <c r="G9" i="461"/>
  <c r="F10" i="461"/>
  <c r="G10" i="461"/>
  <c r="F11" i="461"/>
  <c r="G11" i="461"/>
  <c r="F12" i="461"/>
  <c r="G12" i="461"/>
  <c r="F13" i="461"/>
  <c r="G13" i="461"/>
  <c r="F14" i="461"/>
  <c r="G14" i="461"/>
  <c r="F15" i="461"/>
  <c r="G15" i="461"/>
  <c r="F5" i="461"/>
  <c r="G5" i="461"/>
  <c r="E5" i="461"/>
  <c r="E20" i="461" s="1" a="1"/>
  <c r="E20" i="461" s="1"/>
  <c r="C14" i="461"/>
  <c r="B14" i="461"/>
  <c r="A5" i="461"/>
  <c r="E7" i="461" s="1"/>
  <c r="F46" i="460" a="1"/>
  <c r="F47" i="460" s="1"/>
  <c r="J47" i="460" s="1"/>
  <c r="T48" i="460"/>
  <c r="E33" i="460"/>
  <c r="T36" i="460" s="1"/>
  <c r="F33" i="460"/>
  <c r="G33" i="460"/>
  <c r="F34" i="460"/>
  <c r="G34" i="460"/>
  <c r="F35" i="460"/>
  <c r="G35" i="460"/>
  <c r="F36" i="460"/>
  <c r="G36" i="460"/>
  <c r="F37" i="460"/>
  <c r="G37" i="460"/>
  <c r="F38" i="460"/>
  <c r="G38" i="460"/>
  <c r="F39" i="460"/>
  <c r="G39" i="460"/>
  <c r="F40" i="460"/>
  <c r="G40" i="460"/>
  <c r="F41" i="460"/>
  <c r="G41" i="460"/>
  <c r="F42" i="460"/>
  <c r="G42" i="460"/>
  <c r="F32" i="460"/>
  <c r="G32" i="460"/>
  <c r="E32" i="460"/>
  <c r="E47" i="460" s="1" a="1"/>
  <c r="E47" i="460" s="1"/>
  <c r="C41" i="460"/>
  <c r="B41" i="460"/>
  <c r="A32" i="460"/>
  <c r="A33" i="460" s="1"/>
  <c r="E35" i="460" s="1"/>
  <c r="J35" i="460" s="1"/>
  <c r="F19" i="460" a="1"/>
  <c r="F19" i="460" s="1"/>
  <c r="J19" i="460" s="1"/>
  <c r="T21" i="460"/>
  <c r="E6" i="460"/>
  <c r="T9" i="460" s="1"/>
  <c r="F6" i="460"/>
  <c r="G6" i="460"/>
  <c r="F7" i="460"/>
  <c r="G7" i="460"/>
  <c r="F8" i="460"/>
  <c r="G8" i="460"/>
  <c r="F9" i="460"/>
  <c r="G9" i="460"/>
  <c r="F10" i="460"/>
  <c r="G10" i="460"/>
  <c r="F11" i="460"/>
  <c r="G11" i="460"/>
  <c r="F12" i="460"/>
  <c r="G12" i="460"/>
  <c r="F13" i="460"/>
  <c r="G13" i="460"/>
  <c r="F14" i="460"/>
  <c r="G14" i="460"/>
  <c r="F15" i="460"/>
  <c r="G15" i="460"/>
  <c r="F5" i="460"/>
  <c r="G5" i="460"/>
  <c r="E5" i="460"/>
  <c r="E20" i="460" s="1" a="1"/>
  <c r="E20" i="460" s="1"/>
  <c r="C14" i="460"/>
  <c r="B14" i="460"/>
  <c r="A5" i="460"/>
  <c r="A6" i="460" s="1"/>
  <c r="L82" i="463" l="1"/>
  <c r="V9" i="463"/>
  <c r="H15" i="460"/>
  <c r="I15" i="460" s="1"/>
  <c r="H11" i="460"/>
  <c r="I11" i="460" s="1"/>
  <c r="H9" i="460"/>
  <c r="I9" i="460" s="1"/>
  <c r="H7" i="460"/>
  <c r="I7" i="460" s="1"/>
  <c r="J6" i="460"/>
  <c r="H14" i="461"/>
  <c r="H9" i="461"/>
  <c r="I9" i="461" s="1"/>
  <c r="D76" i="463"/>
  <c r="J76" i="463" s="1"/>
  <c r="F46" i="460"/>
  <c r="J46" i="460" s="1"/>
  <c r="M81" i="463"/>
  <c r="N81" i="463" s="1"/>
  <c r="H87" i="463" a="1"/>
  <c r="H89" i="463" s="1"/>
  <c r="J15" i="463"/>
  <c r="K15" i="463" s="1"/>
  <c r="J13" i="463"/>
  <c r="K13" i="463" s="1"/>
  <c r="J11" i="463"/>
  <c r="K11" i="463" s="1"/>
  <c r="J9" i="463"/>
  <c r="K9" i="463" s="1"/>
  <c r="J7" i="463"/>
  <c r="K7" i="463" s="1"/>
  <c r="D75" i="463"/>
  <c r="J75" i="463" s="1"/>
  <c r="H14" i="460"/>
  <c r="I14" i="460" s="1"/>
  <c r="H10" i="460"/>
  <c r="I10" i="460" s="1"/>
  <c r="H8" i="460"/>
  <c r="I8" i="460" s="1"/>
  <c r="H6" i="460"/>
  <c r="I6" i="460" s="1"/>
  <c r="H18" i="463"/>
  <c r="AE8" i="463" s="1"/>
  <c r="G43" i="460"/>
  <c r="AA35" i="460" s="1"/>
  <c r="H41" i="460"/>
  <c r="I41" i="460" s="1"/>
  <c r="H39" i="460"/>
  <c r="I39" i="460" s="1"/>
  <c r="H37" i="460"/>
  <c r="I37" i="460" s="1"/>
  <c r="H35" i="460"/>
  <c r="I35" i="460" s="1"/>
  <c r="H13" i="461"/>
  <c r="I13" i="461" s="1"/>
  <c r="F22" i="463" a="1"/>
  <c r="F22" i="463" s="1"/>
  <c r="D71" i="463"/>
  <c r="J71" i="463" s="1"/>
  <c r="D79" i="463"/>
  <c r="J79" i="463" s="1"/>
  <c r="H42" i="460"/>
  <c r="I42" i="460" s="1"/>
  <c r="H40" i="460"/>
  <c r="I40" i="460" s="1"/>
  <c r="H36" i="460"/>
  <c r="I36" i="460" s="1"/>
  <c r="H6" i="461"/>
  <c r="I6" i="461" s="1"/>
  <c r="G16" i="461"/>
  <c r="AC8" i="461" s="1"/>
  <c r="H12" i="460"/>
  <c r="I12" i="460" s="1"/>
  <c r="G16" i="460"/>
  <c r="AA8" i="460" s="1"/>
  <c r="I14" i="461"/>
  <c r="H12" i="461"/>
  <c r="I12" i="461" s="1"/>
  <c r="H10" i="461"/>
  <c r="I10" i="461" s="1"/>
  <c r="D52" i="463"/>
  <c r="H79" i="463"/>
  <c r="H75" i="463"/>
  <c r="I71" i="463"/>
  <c r="H13" i="460"/>
  <c r="I13" i="460" s="1"/>
  <c r="H34" i="460"/>
  <c r="I34" i="460" s="1"/>
  <c r="J33" i="460"/>
  <c r="H15" i="461"/>
  <c r="I15" i="461" s="1"/>
  <c r="H7" i="461"/>
  <c r="I7" i="461" s="1"/>
  <c r="D82" i="463"/>
  <c r="M80" i="463"/>
  <c r="N80" i="463" s="1"/>
  <c r="M78" i="463"/>
  <c r="N78" i="463" s="1"/>
  <c r="M76" i="463"/>
  <c r="N76" i="463" s="1"/>
  <c r="M74" i="463"/>
  <c r="N74" i="463" s="1"/>
  <c r="M72" i="463"/>
  <c r="N72" i="463" s="1"/>
  <c r="I18" i="463"/>
  <c r="AF8" i="463" s="1"/>
  <c r="H11" i="461"/>
  <c r="I11" i="461" s="1"/>
  <c r="H8" i="461"/>
  <c r="I8" i="461" s="1"/>
  <c r="F16" i="461"/>
  <c r="J16" i="463"/>
  <c r="K16" i="463" s="1"/>
  <c r="J14" i="463"/>
  <c r="K14" i="463" s="1"/>
  <c r="J12" i="463"/>
  <c r="K12" i="463" s="1"/>
  <c r="J10" i="463"/>
  <c r="J8" i="463"/>
  <c r="K8" i="463" s="1"/>
  <c r="J17" i="463"/>
  <c r="K17" i="463" s="1"/>
  <c r="E83" i="463"/>
  <c r="K71" i="463"/>
  <c r="D80" i="463"/>
  <c r="J80" i="463" s="1"/>
  <c r="H78" i="463"/>
  <c r="D78" i="463"/>
  <c r="J78" i="463" s="1"/>
  <c r="D72" i="463"/>
  <c r="J72" i="463" s="1"/>
  <c r="F83" i="463"/>
  <c r="L73" i="463"/>
  <c r="H72" i="463"/>
  <c r="H38" i="460"/>
  <c r="I38" i="460" s="1"/>
  <c r="F43" i="460"/>
  <c r="H33" i="460"/>
  <c r="D74" i="463"/>
  <c r="J74" i="463" s="1"/>
  <c r="M79" i="463"/>
  <c r="N79" i="463" s="1"/>
  <c r="M75" i="463"/>
  <c r="M77" i="463"/>
  <c r="N77" i="463" s="1"/>
  <c r="H76" i="463"/>
  <c r="A7" i="460"/>
  <c r="E9" i="460" s="1"/>
  <c r="J9" i="460" s="1"/>
  <c r="E8" i="460"/>
  <c r="J8" i="460" s="1"/>
  <c r="E7" i="460"/>
  <c r="J7" i="460" s="1"/>
  <c r="F16" i="460"/>
  <c r="F20" i="460"/>
  <c r="J20" i="460" s="1"/>
  <c r="D81" i="463"/>
  <c r="D77" i="463"/>
  <c r="J77" i="463" s="1"/>
  <c r="D73" i="463"/>
  <c r="J73" i="463" s="1"/>
  <c r="I81" i="463"/>
  <c r="I77" i="463"/>
  <c r="I73" i="463"/>
  <c r="E34" i="460"/>
  <c r="J34" i="460" s="1"/>
  <c r="E16" i="462" a="1"/>
  <c r="K6" i="463"/>
  <c r="F56" i="463" a="1"/>
  <c r="F56" i="463" s="1"/>
  <c r="C52" i="463"/>
  <c r="F39" i="463" a="1"/>
  <c r="F39" i="463" s="1"/>
  <c r="D35" i="463"/>
  <c r="C35" i="463"/>
  <c r="A6" i="461"/>
  <c r="E8" i="461" s="1"/>
  <c r="A34" i="460"/>
  <c r="E36" i="460" s="1"/>
  <c r="J36" i="460" s="1"/>
  <c r="M82" i="463" l="1"/>
  <c r="N82" i="463" s="1"/>
  <c r="J82" i="463"/>
  <c r="N7" i="460"/>
  <c r="M9" i="460"/>
  <c r="N8" i="460"/>
  <c r="N34" i="460"/>
  <c r="N6" i="460"/>
  <c r="M35" i="460"/>
  <c r="K35" i="460"/>
  <c r="Y74" i="463"/>
  <c r="AB83" i="463" s="1"/>
  <c r="N9" i="460"/>
  <c r="H88" i="463"/>
  <c r="H16" i="460"/>
  <c r="H87" i="463"/>
  <c r="A8" i="460"/>
  <c r="E10" i="460" s="1"/>
  <c r="J10" i="460" s="1"/>
  <c r="N10" i="460" s="1"/>
  <c r="M6" i="460"/>
  <c r="K6" i="460"/>
  <c r="L6" i="460" s="1"/>
  <c r="M8" i="460"/>
  <c r="K9" i="460"/>
  <c r="L9" i="460" s="1"/>
  <c r="O9" i="460" s="1"/>
  <c r="F23" i="463"/>
  <c r="K8" i="460"/>
  <c r="L8" i="460" s="1"/>
  <c r="O8" i="460" s="1"/>
  <c r="K34" i="460"/>
  <c r="L34" i="460" s="1"/>
  <c r="O34" i="460" s="1"/>
  <c r="T19" i="460"/>
  <c r="N35" i="460"/>
  <c r="T19" i="461"/>
  <c r="K7" i="460"/>
  <c r="L7" i="460" s="1"/>
  <c r="E16" i="462"/>
  <c r="E17" i="462"/>
  <c r="K83" i="463"/>
  <c r="M71" i="463"/>
  <c r="K10" i="463"/>
  <c r="J18" i="463"/>
  <c r="V5" i="463" s="1"/>
  <c r="AB8" i="461"/>
  <c r="AD8" i="461" s="1"/>
  <c r="V19" i="463"/>
  <c r="H43" i="460"/>
  <c r="T32" i="460" s="1"/>
  <c r="T46" i="460"/>
  <c r="K33" i="460"/>
  <c r="I33" i="460"/>
  <c r="M33" i="460" s="1"/>
  <c r="N33" i="460"/>
  <c r="N36" i="460"/>
  <c r="K36" i="460"/>
  <c r="L36" i="460" s="1"/>
  <c r="O36" i="460" s="1"/>
  <c r="M36" i="460"/>
  <c r="Z8" i="460"/>
  <c r="AB8" i="460" s="1"/>
  <c r="T5" i="460"/>
  <c r="N75" i="463"/>
  <c r="Z35" i="460"/>
  <c r="AB35" i="460" s="1"/>
  <c r="M34" i="460"/>
  <c r="H16" i="461"/>
  <c r="T5" i="461" s="1"/>
  <c r="M7" i="460"/>
  <c r="J81" i="463"/>
  <c r="M73" i="463"/>
  <c r="L83" i="463"/>
  <c r="AJ73" i="463" s="1"/>
  <c r="L6" i="463"/>
  <c r="L7" i="463"/>
  <c r="L9" i="463"/>
  <c r="L11" i="463"/>
  <c r="L13" i="463"/>
  <c r="L15" i="463"/>
  <c r="L17" i="463"/>
  <c r="G21" i="463" a="1"/>
  <c r="L10" i="463"/>
  <c r="P10" i="463" s="1"/>
  <c r="L8" i="463"/>
  <c r="L12" i="463"/>
  <c r="L16" i="463"/>
  <c r="L14" i="463"/>
  <c r="AG8" i="463"/>
  <c r="G35" i="463"/>
  <c r="I29" i="463"/>
  <c r="J29" i="463" s="1"/>
  <c r="H35" i="463"/>
  <c r="AD31" i="463" s="1"/>
  <c r="I30" i="463"/>
  <c r="I32" i="463"/>
  <c r="J32" i="463" s="1"/>
  <c r="I33" i="463"/>
  <c r="I34" i="463"/>
  <c r="J34" i="463" s="1"/>
  <c r="U32" i="463"/>
  <c r="X41" i="463" s="1"/>
  <c r="H52" i="463"/>
  <c r="AD52" i="463" s="1"/>
  <c r="U53" i="463"/>
  <c r="X62" i="463" s="1"/>
  <c r="I31" i="463"/>
  <c r="J31" i="463" s="1"/>
  <c r="G52" i="463"/>
  <c r="I50" i="463"/>
  <c r="J50" i="463" s="1"/>
  <c r="I51" i="463"/>
  <c r="J51" i="463" s="1"/>
  <c r="H12" i="462"/>
  <c r="AE8" i="462" s="1"/>
  <c r="I8" i="462"/>
  <c r="J8" i="462" s="1"/>
  <c r="I11" i="462"/>
  <c r="J11" i="462" s="1"/>
  <c r="I7" i="462"/>
  <c r="I10" i="462"/>
  <c r="J10" i="462" s="1"/>
  <c r="I6" i="462"/>
  <c r="G12" i="462"/>
  <c r="U9" i="462"/>
  <c r="I9" i="462"/>
  <c r="A7" i="461"/>
  <c r="E9" i="461" s="1"/>
  <c r="L35" i="460"/>
  <c r="O35" i="460" s="1"/>
  <c r="A35" i="460"/>
  <c r="E37" i="460" s="1"/>
  <c r="J37" i="460" s="1"/>
  <c r="AL7" i="463" l="1"/>
  <c r="AM7" i="463"/>
  <c r="AE83" i="463"/>
  <c r="O6" i="460"/>
  <c r="A9" i="460"/>
  <c r="E11" i="460" s="1"/>
  <c r="J11" i="460" s="1"/>
  <c r="N11" i="460" s="1"/>
  <c r="M10" i="460"/>
  <c r="K10" i="460"/>
  <c r="L10" i="460" s="1"/>
  <c r="O10" i="460" s="1"/>
  <c r="F15" i="462" a="1"/>
  <c r="F15" i="462" s="1"/>
  <c r="J15" i="462" s="1"/>
  <c r="O7" i="460"/>
  <c r="O10" i="463"/>
  <c r="N37" i="460"/>
  <c r="M37" i="460"/>
  <c r="K37" i="460"/>
  <c r="L37" i="460" s="1"/>
  <c r="O37" i="460" s="1"/>
  <c r="G38" i="463" a="1"/>
  <c r="G39" i="463" s="1"/>
  <c r="K39" i="463" s="1"/>
  <c r="P8" i="463"/>
  <c r="O8" i="463"/>
  <c r="M8" i="463"/>
  <c r="N8" i="463" s="1"/>
  <c r="Q8" i="463" s="1"/>
  <c r="P15" i="463"/>
  <c r="O15" i="463"/>
  <c r="M15" i="463"/>
  <c r="N15" i="463" s="1"/>
  <c r="Q15" i="463" s="1"/>
  <c r="P7" i="463"/>
  <c r="O7" i="463"/>
  <c r="M7" i="463"/>
  <c r="N7" i="463" s="1"/>
  <c r="Q7" i="463" s="1"/>
  <c r="P14" i="463"/>
  <c r="O14" i="463"/>
  <c r="P13" i="463"/>
  <c r="O13" i="463"/>
  <c r="M13" i="463"/>
  <c r="N13" i="463" s="1"/>
  <c r="Q13" i="463" s="1"/>
  <c r="AF6" i="463"/>
  <c r="AF7" i="463" s="1"/>
  <c r="AF10" i="463" s="1"/>
  <c r="M6" i="463"/>
  <c r="AE6" i="463"/>
  <c r="P6" i="463"/>
  <c r="M83" i="463"/>
  <c r="Y70" i="463" s="1"/>
  <c r="Y84" i="463"/>
  <c r="G55" i="463" a="1"/>
  <c r="G55" i="463" s="1"/>
  <c r="K55" i="463" s="1"/>
  <c r="P16" i="463"/>
  <c r="O16" i="463"/>
  <c r="M16" i="463"/>
  <c r="N16" i="463" s="1"/>
  <c r="Q16" i="463" s="1"/>
  <c r="G21" i="463"/>
  <c r="K21" i="463" s="1"/>
  <c r="G22" i="463"/>
  <c r="K22" i="463" s="1"/>
  <c r="G23" i="463"/>
  <c r="K23" i="463" s="1"/>
  <c r="P11" i="463"/>
  <c r="M11" i="463"/>
  <c r="N11" i="463" s="1"/>
  <c r="Q11" i="463" s="1"/>
  <c r="O11" i="463"/>
  <c r="M14" i="463"/>
  <c r="N14" i="463" s="1"/>
  <c r="Q14" i="463" s="1"/>
  <c r="M10" i="463"/>
  <c r="N10" i="463" s="1"/>
  <c r="Q10" i="463" s="1"/>
  <c r="AI73" i="463"/>
  <c r="AK73" i="463" s="1"/>
  <c r="O6" i="463"/>
  <c r="P12" i="463"/>
  <c r="M12" i="463"/>
  <c r="N12" i="463" s="1"/>
  <c r="Q12" i="463" s="1"/>
  <c r="P17" i="463"/>
  <c r="M17" i="463"/>
  <c r="N17" i="463" s="1"/>
  <c r="Q17" i="463" s="1"/>
  <c r="P9" i="463"/>
  <c r="O9" i="463"/>
  <c r="M9" i="463"/>
  <c r="N9" i="463" s="1"/>
  <c r="Q9" i="463" s="1"/>
  <c r="N73" i="463"/>
  <c r="O17" i="463"/>
  <c r="O12" i="463"/>
  <c r="L33" i="460"/>
  <c r="N71" i="463"/>
  <c r="K34" i="463"/>
  <c r="K30" i="463"/>
  <c r="L30" i="463" s="1"/>
  <c r="M30" i="463" s="1"/>
  <c r="P30" i="463" s="1"/>
  <c r="K33" i="463"/>
  <c r="O33" i="463" s="1"/>
  <c r="K6" i="462"/>
  <c r="O6" i="462" s="1"/>
  <c r="K51" i="463"/>
  <c r="K8" i="462"/>
  <c r="O8" i="462" s="1"/>
  <c r="K9" i="462"/>
  <c r="O9" i="462" s="1"/>
  <c r="K10" i="462"/>
  <c r="N10" i="462" s="1"/>
  <c r="K7" i="462"/>
  <c r="K50" i="463"/>
  <c r="O50" i="463" s="1"/>
  <c r="K31" i="463"/>
  <c r="L31" i="463" s="1"/>
  <c r="M31" i="463" s="1"/>
  <c r="P31" i="463" s="1"/>
  <c r="K23" i="462"/>
  <c r="K24" i="462"/>
  <c r="K32" i="463"/>
  <c r="L32" i="463" s="1"/>
  <c r="M32" i="463" s="1"/>
  <c r="P32" i="463" s="1"/>
  <c r="K11" i="462"/>
  <c r="K29" i="463"/>
  <c r="O29" i="463" s="1"/>
  <c r="J33" i="463"/>
  <c r="AC52" i="463"/>
  <c r="I35" i="463"/>
  <c r="U28" i="463" s="1"/>
  <c r="U42" i="463"/>
  <c r="J30" i="463"/>
  <c r="AC31" i="463"/>
  <c r="I52" i="463"/>
  <c r="U49" i="463" s="1"/>
  <c r="I12" i="462"/>
  <c r="U5" i="462" s="1"/>
  <c r="U19" i="462"/>
  <c r="J9" i="462"/>
  <c r="AD8" i="462"/>
  <c r="J7" i="462"/>
  <c r="J6" i="462"/>
  <c r="A8" i="461"/>
  <c r="E10" i="461" s="1"/>
  <c r="A36" i="460"/>
  <c r="E38" i="460" s="1"/>
  <c r="J38" i="460" s="1"/>
  <c r="AJ51" i="463" l="1"/>
  <c r="AK30" i="463"/>
  <c r="AJ30" i="463"/>
  <c r="AK7" i="462"/>
  <c r="AL7" i="462"/>
  <c r="AK51" i="463"/>
  <c r="L11" i="462"/>
  <c r="M11" i="462" s="1"/>
  <c r="P11" i="462" s="1"/>
  <c r="O51" i="463"/>
  <c r="O52" i="463" s="1"/>
  <c r="N34" i="463"/>
  <c r="K11" i="460"/>
  <c r="L11" i="460" s="1"/>
  <c r="M11" i="460"/>
  <c r="A10" i="460"/>
  <c r="E12" i="460" s="1"/>
  <c r="J12" i="460" s="1"/>
  <c r="N12" i="460" s="1"/>
  <c r="F17" i="462"/>
  <c r="J17" i="462" s="1"/>
  <c r="L33" i="463"/>
  <c r="M33" i="463" s="1"/>
  <c r="P33" i="463" s="1"/>
  <c r="F16" i="462"/>
  <c r="J16" i="462" s="1"/>
  <c r="G56" i="463"/>
  <c r="K56" i="463" s="1"/>
  <c r="AL8" i="463"/>
  <c r="AL9" i="463" s="1"/>
  <c r="AL10" i="463" s="1"/>
  <c r="AM8" i="463"/>
  <c r="AM9" i="463" s="1"/>
  <c r="AM10" i="463" s="1"/>
  <c r="O33" i="460"/>
  <c r="P18" i="463"/>
  <c r="G38" i="463"/>
  <c r="K38" i="463" s="1"/>
  <c r="N38" i="460"/>
  <c r="K38" i="460"/>
  <c r="M38" i="460"/>
  <c r="AE10" i="463"/>
  <c r="AG6" i="463"/>
  <c r="AE7" i="463"/>
  <c r="AG7" i="463" s="1"/>
  <c r="AG10" i="463"/>
  <c r="O18" i="463"/>
  <c r="V6" i="463" s="1"/>
  <c r="M18" i="463"/>
  <c r="N6" i="463"/>
  <c r="I86" i="463" a="1"/>
  <c r="O71" i="463"/>
  <c r="O73" i="463"/>
  <c r="R73" i="463" s="1"/>
  <c r="O75" i="463"/>
  <c r="O77" i="463"/>
  <c r="O79" i="463"/>
  <c r="O81" i="463"/>
  <c r="O72" i="463"/>
  <c r="O80" i="463"/>
  <c r="O74" i="463"/>
  <c r="O82" i="463"/>
  <c r="O76" i="463"/>
  <c r="O78" i="463"/>
  <c r="L6" i="462"/>
  <c r="M6" i="462" s="1"/>
  <c r="N32" i="463"/>
  <c r="O11" i="462"/>
  <c r="L10" i="462"/>
  <c r="M10" i="462" s="1"/>
  <c r="P10" i="462" s="1"/>
  <c r="N31" i="463"/>
  <c r="L34" i="463"/>
  <c r="M34" i="463" s="1"/>
  <c r="P34" i="463" s="1"/>
  <c r="O34" i="463"/>
  <c r="O30" i="463"/>
  <c r="N33" i="463"/>
  <c r="L9" i="462"/>
  <c r="M9" i="462" s="1"/>
  <c r="P9" i="462" s="1"/>
  <c r="L51" i="463"/>
  <c r="M51" i="463" s="1"/>
  <c r="P51" i="463" s="1"/>
  <c r="N6" i="462"/>
  <c r="O31" i="463"/>
  <c r="O10" i="462"/>
  <c r="O32" i="463"/>
  <c r="AD50" i="463"/>
  <c r="AD51" i="463" s="1"/>
  <c r="AD54" i="463" s="1"/>
  <c r="N7" i="462"/>
  <c r="L8" i="462"/>
  <c r="M8" i="462" s="1"/>
  <c r="P8" i="462" s="1"/>
  <c r="N9" i="462"/>
  <c r="N51" i="463"/>
  <c r="N8" i="462"/>
  <c r="AE6" i="462"/>
  <c r="AE7" i="462" s="1"/>
  <c r="AE10" i="462" s="1"/>
  <c r="N11" i="462"/>
  <c r="L7" i="462"/>
  <c r="M7" i="462" s="1"/>
  <c r="P7" i="462" s="1"/>
  <c r="O7" i="462"/>
  <c r="AD6" i="462"/>
  <c r="AD7" i="462" s="1"/>
  <c r="N29" i="463"/>
  <c r="AC29" i="463"/>
  <c r="AC30" i="463" s="1"/>
  <c r="AD29" i="463"/>
  <c r="AD30" i="463" s="1"/>
  <c r="AD33" i="463" s="1"/>
  <c r="L50" i="463"/>
  <c r="M50" i="463" s="1"/>
  <c r="N50" i="463"/>
  <c r="L29" i="463"/>
  <c r="M29" i="463" s="1"/>
  <c r="AC50" i="463"/>
  <c r="AC51" i="463" s="1"/>
  <c r="N30" i="463"/>
  <c r="AE52" i="463"/>
  <c r="AE31" i="463"/>
  <c r="AF8" i="462"/>
  <c r="A9" i="461"/>
  <c r="E11" i="461" s="1"/>
  <c r="A37" i="460"/>
  <c r="E39" i="460" s="1"/>
  <c r="J39" i="460" s="1"/>
  <c r="AQ72" i="463" l="1"/>
  <c r="AP72" i="463"/>
  <c r="M12" i="460"/>
  <c r="K12" i="460"/>
  <c r="L12" i="460" s="1"/>
  <c r="O12" i="460" s="1"/>
  <c r="A11" i="460"/>
  <c r="E13" i="460" s="1"/>
  <c r="J13" i="460" s="1"/>
  <c r="N13" i="460" s="1"/>
  <c r="S78" i="463"/>
  <c r="P78" i="463"/>
  <c r="Q78" i="463" s="1"/>
  <c r="T78" i="463" s="1"/>
  <c r="R78" i="463"/>
  <c r="S77" i="463"/>
  <c r="R77" i="463"/>
  <c r="P77" i="463"/>
  <c r="Q77" i="463" s="1"/>
  <c r="T77" i="463" s="1"/>
  <c r="S76" i="463"/>
  <c r="R76" i="463"/>
  <c r="P76" i="463"/>
  <c r="Q76" i="463" s="1"/>
  <c r="T76" i="463" s="1"/>
  <c r="S75" i="463"/>
  <c r="P75" i="463"/>
  <c r="R75" i="463"/>
  <c r="N39" i="460"/>
  <c r="K39" i="460"/>
  <c r="L39" i="460" s="1"/>
  <c r="O39" i="460" s="1"/>
  <c r="M39" i="460"/>
  <c r="S82" i="463"/>
  <c r="R82" i="463"/>
  <c r="P82" i="463"/>
  <c r="Q82" i="463" s="1"/>
  <c r="T82" i="463" s="1"/>
  <c r="S81" i="463"/>
  <c r="P81" i="463"/>
  <c r="Q81" i="463" s="1"/>
  <c r="T81" i="463" s="1"/>
  <c r="R81" i="463"/>
  <c r="S73" i="463"/>
  <c r="P73" i="463"/>
  <c r="L38" i="460"/>
  <c r="S80" i="463"/>
  <c r="P80" i="463"/>
  <c r="Q80" i="463" s="1"/>
  <c r="T80" i="463" s="1"/>
  <c r="R80" i="463"/>
  <c r="I86" i="463"/>
  <c r="M86" i="463" s="1"/>
  <c r="I88" i="463"/>
  <c r="I89" i="463"/>
  <c r="I87" i="463"/>
  <c r="P72" i="463"/>
  <c r="S72" i="463"/>
  <c r="R72" i="463"/>
  <c r="N18" i="463"/>
  <c r="Q6" i="463"/>
  <c r="Q18" i="463" s="1"/>
  <c r="V18" i="463" s="1"/>
  <c r="V20" i="463" s="1"/>
  <c r="V22" i="463" s="1"/>
  <c r="X38" i="463"/>
  <c r="V15" i="463"/>
  <c r="V16" i="463" s="1"/>
  <c r="V14" i="463"/>
  <c r="AB79" i="463"/>
  <c r="V8" i="463"/>
  <c r="V10" i="463" s="1"/>
  <c r="V12" i="463" s="1"/>
  <c r="X59" i="463"/>
  <c r="S74" i="463"/>
  <c r="P74" i="463"/>
  <c r="R74" i="463"/>
  <c r="S79" i="463"/>
  <c r="P79" i="463"/>
  <c r="Q79" i="463" s="1"/>
  <c r="T79" i="463" s="1"/>
  <c r="R79" i="463"/>
  <c r="AJ71" i="463"/>
  <c r="AJ72" i="463" s="1"/>
  <c r="AJ75" i="463" s="1"/>
  <c r="S71" i="463"/>
  <c r="AI71" i="463"/>
  <c r="P71" i="463"/>
  <c r="R71" i="463"/>
  <c r="O11" i="460"/>
  <c r="AF7" i="462"/>
  <c r="AC54" i="463"/>
  <c r="N35" i="463"/>
  <c r="U29" i="463" s="1"/>
  <c r="U38" i="463" s="1"/>
  <c r="U39" i="463" s="1"/>
  <c r="AE30" i="463"/>
  <c r="AE50" i="463"/>
  <c r="N52" i="463"/>
  <c r="U50" i="463" s="1"/>
  <c r="U59" i="463" s="1"/>
  <c r="U60" i="463" s="1"/>
  <c r="N12" i="462"/>
  <c r="U6" i="462" s="1"/>
  <c r="U14" i="462" s="1"/>
  <c r="O35" i="463"/>
  <c r="O12" i="462"/>
  <c r="L12" i="462"/>
  <c r="AK52" i="463"/>
  <c r="AM51" i="463" s="1"/>
  <c r="AF10" i="462"/>
  <c r="AE51" i="463"/>
  <c r="AC33" i="463"/>
  <c r="AF6" i="462"/>
  <c r="L35" i="463"/>
  <c r="AD10" i="462"/>
  <c r="AJ52" i="463"/>
  <c r="AL51" i="463" s="1"/>
  <c r="L52" i="463"/>
  <c r="AE33" i="463"/>
  <c r="AE29" i="463"/>
  <c r="AE54" i="463"/>
  <c r="P6" i="462"/>
  <c r="P12" i="462" s="1"/>
  <c r="U18" i="462" s="1"/>
  <c r="U20" i="462" s="1"/>
  <c r="U22" i="462" s="1"/>
  <c r="M12" i="462"/>
  <c r="P29" i="463"/>
  <c r="P35" i="463" s="1"/>
  <c r="U41" i="463" s="1"/>
  <c r="U43" i="463" s="1"/>
  <c r="U45" i="463" s="1"/>
  <c r="M35" i="463"/>
  <c r="P50" i="463"/>
  <c r="P52" i="463" s="1"/>
  <c r="M52" i="463"/>
  <c r="AL11" i="463"/>
  <c r="AJ31" i="463"/>
  <c r="AM11" i="463"/>
  <c r="AK31" i="463"/>
  <c r="G29" i="462"/>
  <c r="G30" i="462"/>
  <c r="AK8" i="462"/>
  <c r="AL8" i="462"/>
  <c r="A10" i="461"/>
  <c r="E12" i="461" s="1"/>
  <c r="A38" i="460"/>
  <c r="E40" i="460" s="1"/>
  <c r="J40" i="460" s="1"/>
  <c r="M13" i="460" l="1"/>
  <c r="A12" i="460"/>
  <c r="E14" i="460" s="1"/>
  <c r="J14" i="460" s="1"/>
  <c r="M14" i="460" s="1"/>
  <c r="K13" i="460"/>
  <c r="L13" i="460" s="1"/>
  <c r="AQ73" i="463"/>
  <c r="AQ74" i="463" s="1"/>
  <c r="AQ75" i="463" s="1"/>
  <c r="AQ76" i="463" s="1"/>
  <c r="AQ77" i="463" s="1"/>
  <c r="R83" i="463"/>
  <c r="Y71" i="463" s="1"/>
  <c r="AB80" i="463" s="1"/>
  <c r="AB82" i="463" s="1"/>
  <c r="AB84" i="463" s="1"/>
  <c r="AB86" i="463" s="1"/>
  <c r="AP73" i="463"/>
  <c r="AP74" i="463" s="1"/>
  <c r="AP75" i="463" s="1"/>
  <c r="AP76" i="463" s="1"/>
  <c r="AP77" i="463" s="1"/>
  <c r="M88" i="463"/>
  <c r="Q73" i="463"/>
  <c r="T73" i="463" s="1"/>
  <c r="Q75" i="463"/>
  <c r="T75" i="463" s="1"/>
  <c r="P83" i="463"/>
  <c r="Q71" i="463"/>
  <c r="T71" i="463" s="1"/>
  <c r="Q74" i="463"/>
  <c r="T74" i="463" s="1"/>
  <c r="Q72" i="463"/>
  <c r="T72" i="463" s="1"/>
  <c r="AI72" i="463"/>
  <c r="AK72" i="463" s="1"/>
  <c r="AK71" i="463"/>
  <c r="AK75" i="463"/>
  <c r="AI75" i="463"/>
  <c r="M87" i="463"/>
  <c r="O38" i="460"/>
  <c r="N40" i="460"/>
  <c r="K40" i="460"/>
  <c r="M40" i="460"/>
  <c r="S83" i="463"/>
  <c r="M89" i="463"/>
  <c r="U8" i="462"/>
  <c r="U10" i="462" s="1"/>
  <c r="U12" i="462" s="1"/>
  <c r="U58" i="463"/>
  <c r="U52" i="463"/>
  <c r="U54" i="463" s="1"/>
  <c r="U56" i="463" s="1"/>
  <c r="U37" i="463"/>
  <c r="X37" i="463"/>
  <c r="X40" i="463" s="1"/>
  <c r="X42" i="463" s="1"/>
  <c r="X44" i="463" s="1"/>
  <c r="U31" i="463"/>
  <c r="U33" i="463" s="1"/>
  <c r="U35" i="463" s="1"/>
  <c r="AE79" i="463"/>
  <c r="X58" i="463"/>
  <c r="X61" i="463" s="1"/>
  <c r="X63" i="463" s="1"/>
  <c r="X65" i="463" s="1"/>
  <c r="AL50" i="463"/>
  <c r="U15" i="462"/>
  <c r="U16" i="462" s="1"/>
  <c r="AL52" i="463"/>
  <c r="AN51" i="463" s="1"/>
  <c r="AM50" i="463"/>
  <c r="AM52" i="463"/>
  <c r="AM12" i="463"/>
  <c r="AJ32" i="463"/>
  <c r="AL12" i="463"/>
  <c r="AK32" i="463"/>
  <c r="AL9" i="462"/>
  <c r="AK9" i="462"/>
  <c r="A11" i="461"/>
  <c r="E13" i="461" s="1"/>
  <c r="A39" i="460"/>
  <c r="E41" i="460" s="1"/>
  <c r="J41" i="460" s="1"/>
  <c r="A13" i="460" l="1"/>
  <c r="E15" i="460" s="1"/>
  <c r="K14" i="460"/>
  <c r="L14" i="460" s="1"/>
  <c r="O14" i="460" s="1"/>
  <c r="N14" i="460"/>
  <c r="Y73" i="463"/>
  <c r="Y75" i="463" s="1"/>
  <c r="Y77" i="463" s="1"/>
  <c r="Y79" i="463"/>
  <c r="Y80" i="463"/>
  <c r="Y81" i="463" s="1"/>
  <c r="AE80" i="463"/>
  <c r="AE82" i="463" s="1"/>
  <c r="AE84" i="463" s="1"/>
  <c r="AE86" i="463" s="1"/>
  <c r="N41" i="460"/>
  <c r="M41" i="460"/>
  <c r="K41" i="460"/>
  <c r="L41" i="460" s="1"/>
  <c r="O41" i="460" s="1"/>
  <c r="Q83" i="463"/>
  <c r="O13" i="460"/>
  <c r="J15" i="460"/>
  <c r="L40" i="460"/>
  <c r="T83" i="463"/>
  <c r="Y83" i="463" s="1"/>
  <c r="Y85" i="463" s="1"/>
  <c r="Y87" i="463" s="1"/>
  <c r="AN50" i="463"/>
  <c r="AN52" i="463"/>
  <c r="AP78" i="463"/>
  <c r="AQ78" i="463"/>
  <c r="AL13" i="463"/>
  <c r="AJ33" i="463"/>
  <c r="AK33" i="463"/>
  <c r="AM13" i="463"/>
  <c r="AK10" i="462"/>
  <c r="AL10" i="462"/>
  <c r="A12" i="461"/>
  <c r="E14" i="461" s="1"/>
  <c r="A40" i="460"/>
  <c r="E42" i="460" s="1"/>
  <c r="AG7" i="460" l="1"/>
  <c r="AH7" i="460"/>
  <c r="J42" i="460"/>
  <c r="N15" i="460"/>
  <c r="N16" i="460" s="1"/>
  <c r="M15" i="460"/>
  <c r="M16" i="460" s="1"/>
  <c r="T6" i="460" s="1"/>
  <c r="K15" i="460"/>
  <c r="Z6" i="460"/>
  <c r="AA6" i="460"/>
  <c r="AA7" i="460" s="1"/>
  <c r="AA10" i="460" s="1"/>
  <c r="O40" i="460"/>
  <c r="AN53" i="463"/>
  <c r="AM14" i="463"/>
  <c r="AJ34" i="463"/>
  <c r="AQ79" i="463"/>
  <c r="AP79" i="463"/>
  <c r="AK34" i="463"/>
  <c r="AL14" i="463"/>
  <c r="AK11" i="462"/>
  <c r="AL11" i="462"/>
  <c r="A13" i="461"/>
  <c r="AH34" i="460" l="1"/>
  <c r="AG34" i="460"/>
  <c r="AG8" i="460"/>
  <c r="AG9" i="460" s="1"/>
  <c r="AG10" i="460" s="1"/>
  <c r="AG11" i="460" s="1"/>
  <c r="AG12" i="460" s="1"/>
  <c r="AG13" i="460" s="1"/>
  <c r="AG14" i="460" s="1"/>
  <c r="AG15" i="460" s="1"/>
  <c r="Z10" i="460"/>
  <c r="AB10" i="460"/>
  <c r="AB6" i="460"/>
  <c r="Z7" i="460"/>
  <c r="AB7" i="460" s="1"/>
  <c r="N42" i="460"/>
  <c r="N43" i="460" s="1"/>
  <c r="M42" i="460"/>
  <c r="M43" i="460" s="1"/>
  <c r="T33" i="460" s="1"/>
  <c r="K42" i="460"/>
  <c r="AA33" i="460"/>
  <c r="AA34" i="460" s="1"/>
  <c r="AA37" i="460" s="1"/>
  <c r="Z33" i="460"/>
  <c r="E15" i="461"/>
  <c r="T8" i="460"/>
  <c r="T10" i="460" s="1"/>
  <c r="T12" i="460" s="1"/>
  <c r="T15" i="460"/>
  <c r="T16" i="460" s="1"/>
  <c r="T14" i="460"/>
  <c r="L15" i="460"/>
  <c r="K16" i="460"/>
  <c r="AH8" i="460"/>
  <c r="AH9" i="460" s="1"/>
  <c r="AH10" i="460" s="1"/>
  <c r="AH11" i="460" s="1"/>
  <c r="AH12" i="460" s="1"/>
  <c r="AH13" i="460" s="1"/>
  <c r="AH14" i="460" s="1"/>
  <c r="AH15" i="460" s="1"/>
  <c r="AL15" i="463"/>
  <c r="AQ80" i="463"/>
  <c r="AK35" i="463"/>
  <c r="AM34" i="463" s="1"/>
  <c r="AP80" i="463"/>
  <c r="AJ35" i="463"/>
  <c r="AL34" i="463" s="1"/>
  <c r="AM15" i="463"/>
  <c r="AK12" i="462"/>
  <c r="AL12" i="462"/>
  <c r="AN11" i="462" s="1"/>
  <c r="AH35" i="460" l="1"/>
  <c r="AH36" i="460" s="1"/>
  <c r="AH37" i="460" s="1"/>
  <c r="AH38" i="460" s="1"/>
  <c r="AH39" i="460" s="1"/>
  <c r="AH40" i="460" s="1"/>
  <c r="AH41" i="460" s="1"/>
  <c r="AH42" i="460" s="1"/>
  <c r="AH43" i="460" s="1"/>
  <c r="AJ42" i="460" s="1"/>
  <c r="AG35" i="460"/>
  <c r="AG36" i="460" s="1"/>
  <c r="AG37" i="460" s="1"/>
  <c r="AG38" i="460" s="1"/>
  <c r="AG39" i="460" s="1"/>
  <c r="AG40" i="460" s="1"/>
  <c r="AG41" i="460" s="1"/>
  <c r="AG42" i="460" s="1"/>
  <c r="AG43" i="460" s="1"/>
  <c r="AI42" i="460" s="1"/>
  <c r="Z37" i="460"/>
  <c r="Z34" i="460"/>
  <c r="AB34" i="460" s="1"/>
  <c r="AB33" i="460"/>
  <c r="AB37" i="460"/>
  <c r="L42" i="460"/>
  <c r="K43" i="460"/>
  <c r="T41" i="460"/>
  <c r="T35" i="460"/>
  <c r="T37" i="460" s="1"/>
  <c r="T39" i="460" s="1"/>
  <c r="T42" i="460"/>
  <c r="T43" i="460" s="1"/>
  <c r="O15" i="460"/>
  <c r="O16" i="460" s="1"/>
  <c r="T18" i="460" s="1"/>
  <c r="T20" i="460" s="1"/>
  <c r="T22" i="460" s="1"/>
  <c r="L16" i="460"/>
  <c r="AM16" i="463"/>
  <c r="AP81" i="463"/>
  <c r="AQ81" i="463"/>
  <c r="AL16" i="463"/>
  <c r="AL35" i="463"/>
  <c r="AL29" i="463"/>
  <c r="AL30" i="463"/>
  <c r="AL31" i="463"/>
  <c r="AL32" i="463"/>
  <c r="AL33" i="463"/>
  <c r="AM29" i="463"/>
  <c r="AM35" i="463"/>
  <c r="AM30" i="463"/>
  <c r="AM31" i="463"/>
  <c r="AM32" i="463"/>
  <c r="AM33" i="463"/>
  <c r="AH16" i="460"/>
  <c r="AJ15" i="460" s="1"/>
  <c r="AG16" i="460"/>
  <c r="AM12" i="462"/>
  <c r="AM6" i="462"/>
  <c r="AM7" i="462"/>
  <c r="AM8" i="462"/>
  <c r="AM9" i="462"/>
  <c r="AM10" i="462"/>
  <c r="AN12" i="462"/>
  <c r="AN6" i="462"/>
  <c r="AN7" i="462"/>
  <c r="AN8" i="462"/>
  <c r="AN9" i="462"/>
  <c r="AN10" i="462"/>
  <c r="AM11" i="462"/>
  <c r="AO11" i="462" l="1"/>
  <c r="O42" i="460"/>
  <c r="O43" i="460" s="1"/>
  <c r="T45" i="460" s="1"/>
  <c r="T47" i="460" s="1"/>
  <c r="T49" i="460" s="1"/>
  <c r="L43" i="460"/>
  <c r="J10" i="461"/>
  <c r="J14" i="461"/>
  <c r="J6" i="461"/>
  <c r="J9" i="461"/>
  <c r="J13" i="461"/>
  <c r="F19" i="461" a="1"/>
  <c r="J11" i="461"/>
  <c r="J12" i="461"/>
  <c r="J7" i="461"/>
  <c r="J15" i="461"/>
  <c r="J8" i="461"/>
  <c r="AN35" i="463"/>
  <c r="AN29" i="463"/>
  <c r="AN32" i="463"/>
  <c r="AI16" i="460"/>
  <c r="AI6" i="460"/>
  <c r="AI7" i="460"/>
  <c r="AI8" i="460"/>
  <c r="AI9" i="460"/>
  <c r="AI10" i="460"/>
  <c r="AI11" i="460"/>
  <c r="AI12" i="460"/>
  <c r="AI13" i="460"/>
  <c r="AI14" i="460"/>
  <c r="AQ82" i="463"/>
  <c r="AO9" i="462"/>
  <c r="AO12" i="462"/>
  <c r="AJ6" i="460"/>
  <c r="AJ16" i="460"/>
  <c r="AJ7" i="460"/>
  <c r="AJ8" i="460"/>
  <c r="AJ9" i="460"/>
  <c r="AJ10" i="460"/>
  <c r="AJ11" i="460"/>
  <c r="AJ12" i="460"/>
  <c r="AJ13" i="460"/>
  <c r="AJ14" i="460"/>
  <c r="AN30" i="463"/>
  <c r="AL17" i="463"/>
  <c r="AM17" i="463"/>
  <c r="AP82" i="463"/>
  <c r="AN31" i="463"/>
  <c r="AI15" i="460"/>
  <c r="AN33" i="463"/>
  <c r="AN34" i="463"/>
  <c r="AO8" i="462"/>
  <c r="AO7" i="462"/>
  <c r="AO10" i="462"/>
  <c r="AO6" i="462"/>
  <c r="AI43" i="460"/>
  <c r="AI33" i="460"/>
  <c r="AI34" i="460"/>
  <c r="AI35" i="460"/>
  <c r="AI36" i="460"/>
  <c r="AI37" i="460"/>
  <c r="AI38" i="460"/>
  <c r="AI39" i="460"/>
  <c r="AI40" i="460"/>
  <c r="AI41" i="460"/>
  <c r="AJ33" i="460"/>
  <c r="AJ43" i="460"/>
  <c r="AJ34" i="460"/>
  <c r="AJ35" i="460"/>
  <c r="AJ36" i="460"/>
  <c r="AJ37" i="460"/>
  <c r="AJ38" i="460"/>
  <c r="AJ39" i="460"/>
  <c r="AJ40" i="460"/>
  <c r="AJ41" i="460"/>
  <c r="AI7" i="461" l="1"/>
  <c r="AJ7" i="461"/>
  <c r="AK15" i="460"/>
  <c r="N8" i="461"/>
  <c r="M8" i="461"/>
  <c r="K8" i="461"/>
  <c r="L8" i="461" s="1"/>
  <c r="O8" i="461" s="1"/>
  <c r="N11" i="461"/>
  <c r="M11" i="461"/>
  <c r="K11" i="461"/>
  <c r="N6" i="461"/>
  <c r="AB6" i="461"/>
  <c r="AC6" i="461"/>
  <c r="AC7" i="461" s="1"/>
  <c r="AC10" i="461" s="1"/>
  <c r="K6" i="461"/>
  <c r="M6" i="461"/>
  <c r="N15" i="461"/>
  <c r="K15" i="461"/>
  <c r="L15" i="461" s="1"/>
  <c r="O15" i="461" s="1"/>
  <c r="M15" i="461"/>
  <c r="F19" i="461"/>
  <c r="J19" i="461" s="1"/>
  <c r="F20" i="461"/>
  <c r="N14" i="461"/>
  <c r="K14" i="461"/>
  <c r="L14" i="461" s="1"/>
  <c r="O14" i="461" s="1"/>
  <c r="M14" i="461"/>
  <c r="N7" i="461"/>
  <c r="M7" i="461"/>
  <c r="K7" i="461"/>
  <c r="L7" i="461" s="1"/>
  <c r="O7" i="461" s="1"/>
  <c r="N13" i="461"/>
  <c r="K13" i="461"/>
  <c r="L13" i="461" s="1"/>
  <c r="O13" i="461" s="1"/>
  <c r="M13" i="461"/>
  <c r="N10" i="461"/>
  <c r="K10" i="461"/>
  <c r="M10" i="461"/>
  <c r="N12" i="461"/>
  <c r="K12" i="461"/>
  <c r="M12" i="461"/>
  <c r="N9" i="461"/>
  <c r="K9" i="461"/>
  <c r="L9" i="461" s="1"/>
  <c r="O9" i="461" s="1"/>
  <c r="M9" i="461"/>
  <c r="AK16" i="460"/>
  <c r="AK11" i="460"/>
  <c r="AK7" i="460"/>
  <c r="AK14" i="460"/>
  <c r="AN36" i="463"/>
  <c r="AK12" i="460"/>
  <c r="AK8" i="460"/>
  <c r="AQ83" i="463"/>
  <c r="AS82" i="463" s="1"/>
  <c r="AP83" i="463"/>
  <c r="AM18" i="463"/>
  <c r="AL18" i="463"/>
  <c r="AK10" i="460"/>
  <c r="AK6" i="460"/>
  <c r="AK13" i="460"/>
  <c r="AK9" i="460"/>
  <c r="AO13" i="462"/>
  <c r="AK41" i="460"/>
  <c r="AK37" i="460"/>
  <c r="AK33" i="460"/>
  <c r="AK43" i="460"/>
  <c r="AK40" i="460"/>
  <c r="AK36" i="460"/>
  <c r="AK38" i="460"/>
  <c r="AK34" i="460"/>
  <c r="AK39" i="460"/>
  <c r="AK35" i="460"/>
  <c r="AK42" i="460"/>
  <c r="L12" i="461" l="1"/>
  <c r="O12" i="461" s="1"/>
  <c r="L6" i="461"/>
  <c r="K16" i="461"/>
  <c r="L11" i="461"/>
  <c r="O11" i="461" s="1"/>
  <c r="AJ8" i="461"/>
  <c r="J20" i="461"/>
  <c r="AB10" i="461"/>
  <c r="AD10" i="461"/>
  <c r="AD6" i="461"/>
  <c r="AB7" i="461"/>
  <c r="AD7" i="461" s="1"/>
  <c r="AI8" i="461"/>
  <c r="L10" i="461"/>
  <c r="O10" i="461" s="1"/>
  <c r="M16" i="461"/>
  <c r="T6" i="461" s="1"/>
  <c r="N16" i="461"/>
  <c r="AO17" i="463"/>
  <c r="AO8" i="463"/>
  <c r="AN17" i="463"/>
  <c r="AN8" i="463"/>
  <c r="AK17" i="460"/>
  <c r="AR71" i="463"/>
  <c r="AR83" i="463"/>
  <c r="AR72" i="463"/>
  <c r="AR73" i="463"/>
  <c r="AR74" i="463"/>
  <c r="AR75" i="463"/>
  <c r="AR76" i="463"/>
  <c r="AR77" i="463"/>
  <c r="AR78" i="463"/>
  <c r="AR79" i="463"/>
  <c r="AR80" i="463"/>
  <c r="AR81" i="463"/>
  <c r="AO6" i="463"/>
  <c r="AO18" i="463"/>
  <c r="AO7" i="463"/>
  <c r="AO9" i="463"/>
  <c r="AO10" i="463"/>
  <c r="AO11" i="463"/>
  <c r="AO12" i="463"/>
  <c r="AO13" i="463"/>
  <c r="AO14" i="463"/>
  <c r="AO15" i="463"/>
  <c r="AO16" i="463"/>
  <c r="AS83" i="463"/>
  <c r="AS71" i="463"/>
  <c r="AS72" i="463"/>
  <c r="AS73" i="463"/>
  <c r="AS74" i="463"/>
  <c r="AS75" i="463"/>
  <c r="AS76" i="463"/>
  <c r="AS77" i="463"/>
  <c r="AS78" i="463"/>
  <c r="AS79" i="463"/>
  <c r="AS80" i="463"/>
  <c r="AS81" i="463"/>
  <c r="AN18" i="463"/>
  <c r="AN6" i="463"/>
  <c r="AN7" i="463"/>
  <c r="AN9" i="463"/>
  <c r="AN10" i="463"/>
  <c r="AN11" i="463"/>
  <c r="AN12" i="463"/>
  <c r="AN13" i="463"/>
  <c r="AN14" i="463"/>
  <c r="AN15" i="463"/>
  <c r="AN16" i="463"/>
  <c r="AR82" i="463"/>
  <c r="AK44" i="460"/>
  <c r="L16" i="461" l="1"/>
  <c r="T14" i="461"/>
  <c r="T15" i="461"/>
  <c r="T16" i="461" s="1"/>
  <c r="T8" i="461"/>
  <c r="T10" i="461" s="1"/>
  <c r="T12" i="461" s="1"/>
  <c r="O6" i="461"/>
  <c r="O16" i="461" s="1"/>
  <c r="T18" i="461" s="1"/>
  <c r="T20" i="461" s="1"/>
  <c r="T22" i="461" s="1"/>
  <c r="AI9" i="461"/>
  <c r="AJ9" i="461"/>
  <c r="AP8" i="463"/>
  <c r="AP16" i="463"/>
  <c r="AT83" i="463"/>
  <c r="AP14" i="463"/>
  <c r="AP10" i="463"/>
  <c r="AP6" i="463"/>
  <c r="AP12" i="463"/>
  <c r="AP15" i="463"/>
  <c r="AP11" i="463"/>
  <c r="AP7" i="463"/>
  <c r="AT80" i="463"/>
  <c r="AT76" i="463"/>
  <c r="AT72" i="463"/>
  <c r="AT79" i="463"/>
  <c r="AT75" i="463"/>
  <c r="AT82" i="463"/>
  <c r="AP13" i="463"/>
  <c r="AP9" i="463"/>
  <c r="AP18" i="463"/>
  <c r="AT78" i="463"/>
  <c r="AT74" i="463"/>
  <c r="AT71" i="463"/>
  <c r="AT81" i="463"/>
  <c r="AT77" i="463"/>
  <c r="AT73" i="463"/>
  <c r="AP17" i="463"/>
  <c r="AI10" i="461" l="1"/>
  <c r="AJ10" i="461"/>
  <c r="AP19" i="463"/>
  <c r="AT84" i="463"/>
  <c r="AI11" i="461" l="1"/>
  <c r="AJ11" i="461"/>
  <c r="AJ12" i="461" l="1"/>
  <c r="AI12" i="461"/>
  <c r="AI13" i="461" l="1"/>
  <c r="AJ13" i="461"/>
  <c r="I32" i="442"/>
  <c r="H32" i="442"/>
  <c r="G32" i="442"/>
  <c r="F32" i="442"/>
  <c r="I31" i="442"/>
  <c r="H31" i="442"/>
  <c r="G31" i="442"/>
  <c r="F31" i="442"/>
  <c r="D35" i="442"/>
  <c r="C35" i="442"/>
  <c r="I30" i="442"/>
  <c r="H30" i="442"/>
  <c r="G30" i="442"/>
  <c r="F30" i="442"/>
  <c r="I29" i="442"/>
  <c r="H29" i="442"/>
  <c r="G29" i="442"/>
  <c r="F29" i="442"/>
  <c r="G28" i="442"/>
  <c r="I27" i="442"/>
  <c r="H27" i="442"/>
  <c r="G27" i="442"/>
  <c r="F27" i="442"/>
  <c r="I26" i="442"/>
  <c r="H26" i="442"/>
  <c r="G26" i="442"/>
  <c r="F26" i="442"/>
  <c r="I25" i="442"/>
  <c r="H25" i="442"/>
  <c r="G25" i="442"/>
  <c r="F25" i="442"/>
  <c r="I24" i="442"/>
  <c r="H24" i="442"/>
  <c r="G24" i="442"/>
  <c r="F24" i="442"/>
  <c r="G23" i="442"/>
  <c r="I22" i="442"/>
  <c r="H22" i="442"/>
  <c r="G22" i="442"/>
  <c r="F22" i="442"/>
  <c r="I15" i="442"/>
  <c r="H15" i="442"/>
  <c r="G15" i="442"/>
  <c r="F15" i="442"/>
  <c r="I14" i="442"/>
  <c r="H14" i="442"/>
  <c r="G14" i="442"/>
  <c r="F14" i="442"/>
  <c r="D16" i="442"/>
  <c r="C16" i="442"/>
  <c r="I13" i="442"/>
  <c r="H13" i="442"/>
  <c r="G13" i="442"/>
  <c r="F13" i="442"/>
  <c r="I12" i="442"/>
  <c r="H12" i="442"/>
  <c r="G12" i="442"/>
  <c r="F12" i="442"/>
  <c r="I11" i="442"/>
  <c r="H11" i="442"/>
  <c r="G11" i="442"/>
  <c r="F11" i="442"/>
  <c r="I10" i="442"/>
  <c r="H10" i="442"/>
  <c r="G10" i="442"/>
  <c r="F10" i="442"/>
  <c r="I9" i="442"/>
  <c r="H9" i="442"/>
  <c r="G9" i="442"/>
  <c r="F9" i="442"/>
  <c r="I8" i="442"/>
  <c r="H8" i="442"/>
  <c r="G8" i="442"/>
  <c r="F8" i="442"/>
  <c r="I7" i="442"/>
  <c r="H7" i="442"/>
  <c r="G7" i="442"/>
  <c r="F7" i="442"/>
  <c r="I6" i="442"/>
  <c r="H6" i="442"/>
  <c r="G6" i="442"/>
  <c r="F6" i="442"/>
  <c r="I5" i="442"/>
  <c r="H5" i="442"/>
  <c r="G5" i="442"/>
  <c r="F5" i="442"/>
  <c r="I4" i="442"/>
  <c r="H4" i="442"/>
  <c r="G4" i="442"/>
  <c r="F4" i="442"/>
  <c r="I3" i="442"/>
  <c r="H3" i="442"/>
  <c r="G3" i="442"/>
  <c r="F3" i="442"/>
  <c r="I28" i="442" l="1"/>
  <c r="I23" i="442"/>
  <c r="H28" i="442"/>
  <c r="J27" i="442"/>
  <c r="J30" i="442"/>
  <c r="Q13" i="442"/>
  <c r="J31" i="442"/>
  <c r="AJ14" i="461"/>
  <c r="Q30" i="442"/>
  <c r="J4" i="442"/>
  <c r="H23" i="442"/>
  <c r="AI14" i="461"/>
  <c r="J24" i="442"/>
  <c r="J26" i="442"/>
  <c r="J29" i="442"/>
  <c r="J32" i="442"/>
  <c r="J25" i="442"/>
  <c r="J5" i="442"/>
  <c r="J9" i="442"/>
  <c r="J12" i="442"/>
  <c r="I16" i="442"/>
  <c r="J6" i="442"/>
  <c r="H16" i="442"/>
  <c r="J11" i="442"/>
  <c r="J8" i="442"/>
  <c r="J14" i="442"/>
  <c r="J7" i="442"/>
  <c r="J10" i="442"/>
  <c r="J13" i="442"/>
  <c r="J15" i="442"/>
  <c r="I33" i="442" l="1"/>
  <c r="J28" i="442"/>
  <c r="J23" i="442"/>
  <c r="H33" i="442"/>
  <c r="K25" i="442"/>
  <c r="M25" i="442" s="1"/>
  <c r="K10" i="442"/>
  <c r="K7" i="442"/>
  <c r="L7" i="442" s="1"/>
  <c r="K5" i="442"/>
  <c r="M5" i="442" s="1"/>
  <c r="K8" i="442"/>
  <c r="L8" i="442" s="1"/>
  <c r="K4" i="442"/>
  <c r="L4" i="442" s="1"/>
  <c r="K15" i="442"/>
  <c r="L15" i="442" s="1"/>
  <c r="K11" i="442"/>
  <c r="L11" i="442" s="1"/>
  <c r="K12" i="442"/>
  <c r="M12" i="442" s="1"/>
  <c r="K14" i="442"/>
  <c r="L14" i="442" s="1"/>
  <c r="K31" i="442"/>
  <c r="L31" i="442" s="1"/>
  <c r="K6" i="442"/>
  <c r="L6" i="442" s="1"/>
  <c r="K27" i="442"/>
  <c r="K9" i="442"/>
  <c r="L9" i="442" s="1"/>
  <c r="K24" i="442"/>
  <c r="M24" i="442" s="1"/>
  <c r="K13" i="442"/>
  <c r="L13" i="442" s="1"/>
  <c r="AI15" i="461"/>
  <c r="AJ15" i="461"/>
  <c r="AJ16" i="461" s="1"/>
  <c r="AL14" i="461" s="1"/>
  <c r="K32" i="442"/>
  <c r="M32" i="442" s="1"/>
  <c r="K26" i="442"/>
  <c r="M26" i="442" s="1"/>
  <c r="K29" i="442"/>
  <c r="M29" i="442" s="1"/>
  <c r="K30" i="442"/>
  <c r="J16" i="442"/>
  <c r="J33" i="442" l="1"/>
  <c r="M10" i="442"/>
  <c r="K28" i="442"/>
  <c r="L25" i="442"/>
  <c r="N25" i="442" s="1"/>
  <c r="L12" i="442"/>
  <c r="N12" i="442" s="1"/>
  <c r="L10" i="442"/>
  <c r="M13" i="442"/>
  <c r="N13" i="442" s="1"/>
  <c r="M11" i="442"/>
  <c r="N11" i="442" s="1"/>
  <c r="M6" i="442"/>
  <c r="N6" i="442" s="1"/>
  <c r="M7" i="442"/>
  <c r="N7" i="442" s="1"/>
  <c r="L5" i="442"/>
  <c r="N5" i="442" s="1"/>
  <c r="L32" i="442"/>
  <c r="N32" i="442" s="1"/>
  <c r="M8" i="442"/>
  <c r="N8" i="442" s="1"/>
  <c r="K23" i="442"/>
  <c r="L23" i="442" s="1"/>
  <c r="M9" i="442"/>
  <c r="N9" i="442" s="1"/>
  <c r="M15" i="442"/>
  <c r="M4" i="442"/>
  <c r="N4" i="442" s="1"/>
  <c r="L26" i="442"/>
  <c r="N26" i="442" s="1"/>
  <c r="M31" i="442"/>
  <c r="N31" i="442" s="1"/>
  <c r="M14" i="442"/>
  <c r="N14" i="442" s="1"/>
  <c r="L24" i="442"/>
  <c r="N24" i="442" s="1"/>
  <c r="M27" i="442"/>
  <c r="L27" i="442"/>
  <c r="L29" i="442"/>
  <c r="N29" i="442" s="1"/>
  <c r="AL15" i="461"/>
  <c r="AL16" i="461"/>
  <c r="AL6" i="461"/>
  <c r="AL7" i="461"/>
  <c r="AL8" i="461"/>
  <c r="AL9" i="461"/>
  <c r="AL10" i="461"/>
  <c r="AL11" i="461"/>
  <c r="AL12" i="461"/>
  <c r="AL13" i="461"/>
  <c r="M30" i="442"/>
  <c r="L30" i="442"/>
  <c r="AI16" i="461"/>
  <c r="N10" i="442" l="1"/>
  <c r="M28" i="442"/>
  <c r="L28" i="442"/>
  <c r="L33" i="442" s="1"/>
  <c r="N15" i="442"/>
  <c r="L16" i="442"/>
  <c r="M23" i="442"/>
  <c r="N23" i="442" s="1"/>
  <c r="M16" i="442"/>
  <c r="N27" i="442"/>
  <c r="N30" i="442"/>
  <c r="AK6" i="461"/>
  <c r="AK16" i="461"/>
  <c r="AM16" i="461" s="1"/>
  <c r="AK7" i="461"/>
  <c r="AK8" i="461"/>
  <c r="AK9" i="461"/>
  <c r="AK10" i="461"/>
  <c r="AK11" i="461"/>
  <c r="AK12" i="461"/>
  <c r="AK13" i="461"/>
  <c r="AK14" i="461"/>
  <c r="AK15" i="461"/>
  <c r="N16" i="442" l="1"/>
  <c r="Q12" i="442" s="1"/>
  <c r="Q14" i="442" s="1"/>
  <c r="Q16" i="442" s="1"/>
  <c r="N28" i="442"/>
  <c r="N33" i="442" s="1"/>
  <c r="Q29" i="442" s="1"/>
  <c r="Q31" i="442" s="1"/>
  <c r="Q33" i="442" s="1"/>
  <c r="M33" i="442"/>
  <c r="AM14" i="461"/>
  <c r="AM11" i="461"/>
  <c r="AM7" i="461"/>
  <c r="AM13" i="461"/>
  <c r="AM9" i="461"/>
  <c r="AM10" i="461"/>
  <c r="AM6" i="461"/>
  <c r="AM15" i="461"/>
  <c r="AM12" i="461"/>
  <c r="AM8" i="461"/>
  <c r="AM17" i="461" l="1"/>
  <c r="T5" i="303" l="1"/>
  <c r="U5" i="303" s="1"/>
  <c r="G13" i="303" a="1"/>
  <c r="T4" i="303"/>
  <c r="U4" i="303" s="1"/>
  <c r="T6" i="303"/>
  <c r="U6" i="303" s="1"/>
  <c r="H17" i="303" l="1"/>
  <c r="I16" i="303"/>
  <c r="J15" i="303"/>
  <c r="K14" i="303"/>
  <c r="G14" i="303"/>
  <c r="H13" i="303"/>
  <c r="J17" i="303"/>
  <c r="K16" i="303"/>
  <c r="G16" i="303"/>
  <c r="H15" i="303"/>
  <c r="I14" i="303"/>
  <c r="J13" i="303"/>
  <c r="I17" i="303"/>
  <c r="J16" i="303"/>
  <c r="K15" i="303"/>
  <c r="G15" i="303"/>
  <c r="H14" i="303"/>
  <c r="I13" i="303"/>
  <c r="H16" i="303"/>
  <c r="G13" i="303"/>
  <c r="I15" i="303"/>
  <c r="K17" i="303"/>
  <c r="J14" i="303"/>
  <c r="G17" i="303"/>
  <c r="K13" i="303"/>
  <c r="T7" i="303" l="1"/>
  <c r="U7" i="303" s="1"/>
  <c r="E4" i="401" l="1"/>
  <c r="M4" i="401" s="1"/>
  <c r="U4" i="401" s="1"/>
  <c r="F5" i="401"/>
  <c r="N5" i="401" s="1"/>
  <c r="F6" i="401"/>
  <c r="F7" i="401"/>
  <c r="N7" i="401" s="1"/>
  <c r="F8" i="401"/>
  <c r="N8" i="401" s="1"/>
  <c r="F9" i="401"/>
  <c r="N9" i="401" s="1"/>
  <c r="F10" i="401"/>
  <c r="N10" i="401" s="1"/>
  <c r="F11" i="401"/>
  <c r="N11" i="401" s="1"/>
  <c r="F12" i="401"/>
  <c r="N12" i="401" s="1"/>
  <c r="F13" i="401"/>
  <c r="N13" i="401" s="1"/>
  <c r="F4" i="401"/>
  <c r="C14" i="401"/>
  <c r="B14" i="401"/>
  <c r="A5" i="401"/>
  <c r="A6" i="401" s="1"/>
  <c r="E6" i="401" s="1"/>
  <c r="M6" i="401" s="1"/>
  <c r="U6" i="401" s="1"/>
  <c r="G4" i="401" l="1"/>
  <c r="H4" i="401" s="1"/>
  <c r="AC4" i="401"/>
  <c r="AK4" i="401" s="1"/>
  <c r="AS4" i="401" s="1"/>
  <c r="M20" i="401"/>
  <c r="U20" i="401" s="1"/>
  <c r="AC6" i="401"/>
  <c r="AK6" i="401" s="1"/>
  <c r="AS6" i="401" s="1"/>
  <c r="M22" i="401"/>
  <c r="U22" i="401" s="1"/>
  <c r="V9" i="401"/>
  <c r="V12" i="401"/>
  <c r="V8" i="401"/>
  <c r="G6" i="401"/>
  <c r="H6" i="401" s="1"/>
  <c r="V11" i="401"/>
  <c r="V7" i="401"/>
  <c r="V13" i="401"/>
  <c r="V5" i="401"/>
  <c r="V10" i="401"/>
  <c r="N6" i="401"/>
  <c r="N4" i="401"/>
  <c r="E5" i="401"/>
  <c r="A7" i="401"/>
  <c r="E7" i="401" s="1"/>
  <c r="AD5" i="401" l="1"/>
  <c r="AL5" i="401" s="1"/>
  <c r="AT5" i="401" s="1"/>
  <c r="N21" i="401"/>
  <c r="V21" i="401" s="1"/>
  <c r="AD13" i="401"/>
  <c r="AL13" i="401" s="1"/>
  <c r="AT13" i="401" s="1"/>
  <c r="N29" i="401"/>
  <c r="V29" i="401" s="1"/>
  <c r="AD8" i="401"/>
  <c r="AL8" i="401" s="1"/>
  <c r="AT8" i="401" s="1"/>
  <c r="N24" i="401"/>
  <c r="V24" i="401" s="1"/>
  <c r="AD10" i="401"/>
  <c r="AL10" i="401" s="1"/>
  <c r="AT10" i="401" s="1"/>
  <c r="N26" i="401"/>
  <c r="V26" i="401" s="1"/>
  <c r="AD7" i="401"/>
  <c r="AL7" i="401" s="1"/>
  <c r="AT7" i="401" s="1"/>
  <c r="N23" i="401"/>
  <c r="V23" i="401" s="1"/>
  <c r="AD12" i="401"/>
  <c r="AL12" i="401" s="1"/>
  <c r="AT12" i="401" s="1"/>
  <c r="N28" i="401"/>
  <c r="V28" i="401" s="1"/>
  <c r="AD11" i="401"/>
  <c r="AL11" i="401" s="1"/>
  <c r="AT11" i="401" s="1"/>
  <c r="N27" i="401"/>
  <c r="V27" i="401" s="1"/>
  <c r="AD9" i="401"/>
  <c r="AL9" i="401" s="1"/>
  <c r="AT9" i="401" s="1"/>
  <c r="N25" i="401"/>
  <c r="V25" i="401" s="1"/>
  <c r="V6" i="401"/>
  <c r="G7" i="401"/>
  <c r="H7" i="401" s="1"/>
  <c r="M7" i="401"/>
  <c r="U7" i="401" s="1"/>
  <c r="V4" i="401"/>
  <c r="G5" i="401"/>
  <c r="H5" i="401" s="1"/>
  <c r="M5" i="401"/>
  <c r="U5" i="401" s="1"/>
  <c r="A8" i="401"/>
  <c r="E8" i="401" s="1"/>
  <c r="AC7" i="401" l="1"/>
  <c r="AK7" i="401" s="1"/>
  <c r="AS7" i="401" s="1"/>
  <c r="M23" i="401"/>
  <c r="U23" i="401" s="1"/>
  <c r="AC5" i="401"/>
  <c r="AK5" i="401" s="1"/>
  <c r="AS5" i="401" s="1"/>
  <c r="M21" i="401"/>
  <c r="U21" i="401" s="1"/>
  <c r="AD6" i="401"/>
  <c r="AL6" i="401" s="1"/>
  <c r="AT6" i="401" s="1"/>
  <c r="N22" i="401"/>
  <c r="V22" i="401" s="1"/>
  <c r="AD4" i="401"/>
  <c r="AL4" i="401" s="1"/>
  <c r="AT4" i="401" s="1"/>
  <c r="N20" i="401"/>
  <c r="V20" i="401" s="1"/>
  <c r="G8" i="401"/>
  <c r="H8" i="401" s="1"/>
  <c r="M8" i="401"/>
  <c r="U8" i="401" s="1"/>
  <c r="A9" i="401"/>
  <c r="E9" i="401" s="1"/>
  <c r="AC8" i="401" l="1"/>
  <c r="AK8" i="401" s="1"/>
  <c r="AS8" i="401" s="1"/>
  <c r="M24" i="401"/>
  <c r="U24" i="401" s="1"/>
  <c r="G9" i="401"/>
  <c r="H9" i="401" s="1"/>
  <c r="M9" i="401"/>
  <c r="U9" i="401" s="1"/>
  <c r="A10" i="401"/>
  <c r="E10" i="401" s="1"/>
  <c r="AC9" i="401" l="1"/>
  <c r="AK9" i="401" s="1"/>
  <c r="AS9" i="401" s="1"/>
  <c r="M25" i="401"/>
  <c r="U25" i="401" s="1"/>
  <c r="G10" i="401"/>
  <c r="H10" i="401" s="1"/>
  <c r="M10" i="401"/>
  <c r="U10" i="401" s="1"/>
  <c r="A11" i="401"/>
  <c r="E11" i="401" s="1"/>
  <c r="AC10" i="401" l="1"/>
  <c r="AK10" i="401" s="1"/>
  <c r="AS10" i="401" s="1"/>
  <c r="M26" i="401"/>
  <c r="U26" i="401" s="1"/>
  <c r="G11" i="401"/>
  <c r="H11" i="401" s="1"/>
  <c r="M11" i="401"/>
  <c r="U11" i="401" s="1"/>
  <c r="A12" i="401"/>
  <c r="E12" i="401" s="1"/>
  <c r="AC11" i="401" l="1"/>
  <c r="AK11" i="401" s="1"/>
  <c r="AS11" i="401" s="1"/>
  <c r="M27" i="401"/>
  <c r="U27" i="401" s="1"/>
  <c r="G12" i="401"/>
  <c r="H12" i="401" s="1"/>
  <c r="M12" i="401"/>
  <c r="U12" i="401" s="1"/>
  <c r="A13" i="401"/>
  <c r="E13" i="401" s="1"/>
  <c r="AC12" i="401" l="1"/>
  <c r="AK12" i="401" s="1"/>
  <c r="AS12" i="401" s="1"/>
  <c r="M28" i="401"/>
  <c r="U28" i="401" s="1"/>
  <c r="G13" i="401"/>
  <c r="M13" i="401"/>
  <c r="U13" i="401" s="1"/>
  <c r="AC13" i="401" l="1"/>
  <c r="AK13" i="401" s="1"/>
  <c r="AS13" i="401" s="1"/>
  <c r="M29" i="401"/>
  <c r="U29" i="401" s="1"/>
  <c r="H13" i="401"/>
  <c r="H14" i="401" s="1"/>
  <c r="B21" i="400" l="1"/>
  <c r="B20" i="400"/>
  <c r="B24" i="400" l="1"/>
  <c r="B25" i="400" s="1"/>
  <c r="B14" i="400"/>
  <c r="F13" i="400"/>
  <c r="F12" i="400"/>
  <c r="F11" i="400"/>
  <c r="F10" i="400"/>
  <c r="F9" i="400"/>
  <c r="F8" i="400"/>
  <c r="F7" i="400"/>
  <c r="F6" i="400"/>
  <c r="F5" i="400"/>
  <c r="A5" i="400"/>
  <c r="E5" i="400" s="1"/>
  <c r="I5" i="400" s="1"/>
  <c r="K5" i="400" s="1"/>
  <c r="E4" i="400"/>
  <c r="I4" i="400" s="1"/>
  <c r="K4" i="400" s="1"/>
  <c r="E3" i="400"/>
  <c r="A5" i="384"/>
  <c r="G7" i="400" l="1"/>
  <c r="J7" i="400"/>
  <c r="G11" i="400"/>
  <c r="J11" i="400"/>
  <c r="G8" i="400"/>
  <c r="J8" i="400"/>
  <c r="G12" i="400"/>
  <c r="J12" i="400"/>
  <c r="G5" i="400"/>
  <c r="J5" i="400"/>
  <c r="L5" i="400" s="1"/>
  <c r="G9" i="400"/>
  <c r="J9" i="400"/>
  <c r="G13" i="400"/>
  <c r="J13" i="400"/>
  <c r="G6" i="400"/>
  <c r="J6" i="400"/>
  <c r="G10" i="400"/>
  <c r="J10" i="400"/>
  <c r="A6" i="384"/>
  <c r="A6" i="400"/>
  <c r="E6" i="400" s="1"/>
  <c r="I6" i="400" s="1"/>
  <c r="K6" i="400" s="1"/>
  <c r="F4" i="400"/>
  <c r="C14" i="400"/>
  <c r="F14" i="400" s="1"/>
  <c r="G14" i="400" s="1"/>
  <c r="L6" i="400" l="1"/>
  <c r="A7" i="384"/>
  <c r="G4" i="400"/>
  <c r="J4" i="400"/>
  <c r="L4" i="400" s="1"/>
  <c r="A7" i="400"/>
  <c r="E7" i="400" s="1"/>
  <c r="I7" i="400" s="1"/>
  <c r="K7" i="400" s="1"/>
  <c r="L7" i="400" s="1"/>
  <c r="F9" i="384"/>
  <c r="G9" i="384" s="1"/>
  <c r="K23" i="384" s="1"/>
  <c r="A8" i="384" l="1"/>
  <c r="A8" i="400"/>
  <c r="E8" i="400" s="1"/>
  <c r="I8" i="400" s="1"/>
  <c r="K8" i="400" s="1"/>
  <c r="L8" i="400" s="1"/>
  <c r="K9" i="384"/>
  <c r="E6" i="384"/>
  <c r="E5" i="384"/>
  <c r="A9" i="384" l="1"/>
  <c r="A9" i="400"/>
  <c r="E9" i="400" s="1"/>
  <c r="I9" i="400" s="1"/>
  <c r="K9" i="400" s="1"/>
  <c r="L9" i="400" s="1"/>
  <c r="E7" i="384"/>
  <c r="A10" i="384" l="1"/>
  <c r="A10" i="400"/>
  <c r="E10" i="400" s="1"/>
  <c r="I10" i="400" s="1"/>
  <c r="K10" i="400" s="1"/>
  <c r="L10" i="400" s="1"/>
  <c r="J22" i="384"/>
  <c r="E8" i="384"/>
  <c r="A11" i="384" l="1"/>
  <c r="A11" i="400"/>
  <c r="E11" i="400" s="1"/>
  <c r="I11" i="400" s="1"/>
  <c r="K11" i="400" s="1"/>
  <c r="L11" i="400" s="1"/>
  <c r="J9" i="384"/>
  <c r="J23" i="384"/>
  <c r="E9" i="384"/>
  <c r="A12" i="384" l="1"/>
  <c r="A12" i="400"/>
  <c r="E12" i="400" s="1"/>
  <c r="I12" i="400" s="1"/>
  <c r="K12" i="400" s="1"/>
  <c r="L12" i="400" s="1"/>
  <c r="J24" i="384"/>
  <c r="E10" i="384"/>
  <c r="A13" i="400" l="1"/>
  <c r="E13" i="400" s="1"/>
  <c r="I13" i="400" s="1"/>
  <c r="K13" i="400" s="1"/>
  <c r="A13" i="384"/>
  <c r="J25" i="384"/>
  <c r="E11" i="384"/>
  <c r="L13" i="400" l="1"/>
  <c r="L14" i="400" s="1"/>
  <c r="J26" i="384"/>
  <c r="E12" i="384"/>
  <c r="J27" i="384" l="1"/>
  <c r="E13" i="384"/>
  <c r="O32" i="388" l="1"/>
  <c r="F5" i="388" l="1"/>
  <c r="F6" i="388" s="1"/>
  <c r="F7" i="388" s="1"/>
  <c r="F8" i="388" s="1"/>
  <c r="F9" i="388" s="1"/>
  <c r="F10" i="388" s="1"/>
  <c r="F11" i="388" s="1"/>
  <c r="F12" i="388" s="1"/>
  <c r="F13" i="388" s="1"/>
  <c r="F14" i="388" s="1"/>
  <c r="F15" i="388" s="1"/>
  <c r="A5" i="388"/>
  <c r="A6" i="388" s="1"/>
  <c r="A7" i="388" s="1"/>
  <c r="A8" i="388" s="1"/>
  <c r="A9" i="388" s="1"/>
  <c r="A10" i="388" s="1"/>
  <c r="A11" i="388" s="1"/>
  <c r="A12" i="388" s="1"/>
  <c r="A13" i="388" s="1"/>
  <c r="A14" i="388" s="1"/>
  <c r="A15" i="388" s="1"/>
  <c r="L5" i="388"/>
  <c r="L4" i="388"/>
  <c r="O33" i="388" s="1"/>
  <c r="O34" i="388" s="1"/>
  <c r="D7" i="312" l="1"/>
  <c r="E4" i="384"/>
  <c r="E3" i="384"/>
  <c r="A29" i="385" l="1"/>
  <c r="B29" i="385" s="1"/>
  <c r="B28" i="385"/>
  <c r="B27" i="385"/>
  <c r="D23" i="385"/>
  <c r="D24" i="385" s="1"/>
  <c r="D25" i="385" s="1"/>
  <c r="D26" i="385" s="1"/>
  <c r="D27" i="385" s="1"/>
  <c r="D28" i="385" s="1"/>
  <c r="D29" i="385" s="1"/>
  <c r="D30" i="385" s="1"/>
  <c r="D31" i="385" s="1"/>
  <c r="D32" i="385" s="1"/>
  <c r="D33" i="385" s="1"/>
  <c r="D34" i="385" s="1"/>
  <c r="D35" i="385" s="1"/>
  <c r="D36" i="385" s="1"/>
  <c r="D37" i="385" s="1"/>
  <c r="D8" i="385"/>
  <c r="D9" i="385" s="1"/>
  <c r="D10" i="385" s="1"/>
  <c r="D11" i="385" s="1"/>
  <c r="D12" i="385" s="1"/>
  <c r="D13" i="385" s="1"/>
  <c r="D14" i="385" s="1"/>
  <c r="D15" i="385" s="1"/>
  <c r="D16" i="385" s="1"/>
  <c r="D17" i="385" s="1"/>
  <c r="D18" i="385" s="1"/>
  <c r="D19" i="385" s="1"/>
  <c r="D20" i="385" s="1"/>
  <c r="D21" i="385" s="1"/>
  <c r="A8" i="385"/>
  <c r="B8" i="385" s="1"/>
  <c r="B7" i="385"/>
  <c r="A9" i="385" l="1"/>
  <c r="A10" i="385" s="1"/>
  <c r="A11" i="385" s="1"/>
  <c r="A30" i="385"/>
  <c r="A31" i="385" s="1"/>
  <c r="A32" i="385" s="1"/>
  <c r="B9" i="385" l="1"/>
  <c r="B10" i="385"/>
  <c r="B30" i="385"/>
  <c r="B31" i="385"/>
  <c r="B11" i="385"/>
  <c r="A12" i="385"/>
  <c r="B32" i="385"/>
  <c r="A33" i="385"/>
  <c r="B12" i="385" l="1"/>
  <c r="A13" i="385"/>
  <c r="B33" i="385"/>
  <c r="A34" i="385"/>
  <c r="A14" i="385" l="1"/>
  <c r="B13" i="385"/>
  <c r="A35" i="385"/>
  <c r="B34" i="385"/>
  <c r="A15" i="385" l="1"/>
  <c r="B14" i="385"/>
  <c r="A36" i="385"/>
  <c r="B35" i="385"/>
  <c r="B15" i="385" l="1"/>
  <c r="A16" i="385"/>
  <c r="B36" i="385"/>
  <c r="A37" i="385"/>
  <c r="B37" i="385" s="1"/>
  <c r="B16" i="385" l="1"/>
  <c r="A17" i="385"/>
  <c r="A18" i="385" l="1"/>
  <c r="B17" i="385"/>
  <c r="A19" i="385" l="1"/>
  <c r="B18" i="385"/>
  <c r="B19" i="385" l="1"/>
  <c r="A20" i="385"/>
  <c r="B20" i="385" l="1"/>
  <c r="A21" i="385"/>
  <c r="A22" i="385" l="1"/>
  <c r="B21" i="385"/>
  <c r="A23" i="385" l="1"/>
  <c r="B22" i="385"/>
  <c r="B23" i="385" l="1"/>
  <c r="A24" i="385"/>
  <c r="A25" i="385" l="1"/>
  <c r="B24" i="385"/>
  <c r="A26" i="385" l="1"/>
  <c r="B26" i="385" s="1"/>
  <c r="B25" i="385"/>
  <c r="J19" i="384" l="1"/>
  <c r="J18" i="384"/>
  <c r="C14" i="384"/>
  <c r="B14" i="384"/>
  <c r="F13" i="384"/>
  <c r="K13" i="384" s="1"/>
  <c r="F12" i="384"/>
  <c r="K12" i="384" s="1"/>
  <c r="F11" i="384"/>
  <c r="G11" i="384" s="1"/>
  <c r="K25" i="384" s="1"/>
  <c r="F10" i="384"/>
  <c r="G10" i="384" s="1"/>
  <c r="K24" i="384" s="1"/>
  <c r="F8" i="384"/>
  <c r="K8" i="384" s="1"/>
  <c r="F7" i="384"/>
  <c r="K7" i="384" s="1"/>
  <c r="F6" i="384"/>
  <c r="G6" i="384" s="1"/>
  <c r="K20" i="384" s="1"/>
  <c r="J6" i="384"/>
  <c r="J5" i="384"/>
  <c r="F5" i="384"/>
  <c r="G5" i="384" s="1"/>
  <c r="K19" i="384" s="1"/>
  <c r="J4" i="384"/>
  <c r="F4" i="384"/>
  <c r="G4" i="384" s="1"/>
  <c r="K18" i="384" s="1"/>
  <c r="K11" i="384" l="1"/>
  <c r="K5" i="384"/>
  <c r="K6" i="384"/>
  <c r="G7" i="384"/>
  <c r="K21" i="384" s="1"/>
  <c r="F14" i="384"/>
  <c r="G14" i="384" s="1"/>
  <c r="K4" i="384"/>
  <c r="J20" i="384"/>
  <c r="G12" i="384"/>
  <c r="K26" i="384" s="1"/>
  <c r="K10" i="384"/>
  <c r="G8" i="384"/>
  <c r="K22" i="384" s="1"/>
  <c r="G13" i="384"/>
  <c r="K27" i="384" s="1"/>
  <c r="J21" i="384" l="1"/>
  <c r="J7" i="384"/>
  <c r="J8" i="384" l="1"/>
  <c r="J10" i="384" l="1"/>
  <c r="J11" i="384" l="1"/>
  <c r="J12" i="384" l="1"/>
  <c r="J13" i="384" l="1"/>
  <c r="I16" i="388" l="1"/>
  <c r="I17" i="388" s="1"/>
  <c r="G16" i="388"/>
  <c r="G17" i="388" s="1"/>
  <c r="H16" i="388"/>
  <c r="H17" i="388" s="1"/>
  <c r="L7" i="388"/>
  <c r="J17" i="388" l="1"/>
  <c r="L6" i="388" s="1"/>
  <c r="L8" i="388" s="1"/>
  <c r="L10" i="388" s="1"/>
  <c r="L3" i="388" l="1"/>
  <c r="K66" i="308" l="1"/>
  <c r="D11" i="312"/>
  <c r="D14" i="312" s="1"/>
  <c r="D8" i="312"/>
  <c r="C6" i="312"/>
  <c r="B6" i="312"/>
  <c r="O33" i="313"/>
  <c r="N33" i="313"/>
  <c r="O22" i="313"/>
  <c r="O31" i="313" s="1"/>
  <c r="O21" i="313"/>
  <c r="O30" i="313" s="1"/>
  <c r="G26" i="313"/>
  <c r="N24" i="313" s="1"/>
  <c r="G22" i="313"/>
  <c r="G21" i="313"/>
  <c r="L35" i="308"/>
  <c r="V57" i="313"/>
  <c r="V56" i="313"/>
  <c r="J22" i="313"/>
  <c r="I22" i="313"/>
  <c r="H22" i="313"/>
  <c r="J21" i="313"/>
  <c r="I21" i="313"/>
  <c r="H21" i="313"/>
  <c r="J17" i="313"/>
  <c r="I17" i="313"/>
  <c r="H17" i="313"/>
  <c r="G17" i="313"/>
  <c r="E17" i="313"/>
  <c r="D17" i="313"/>
  <c r="C17" i="313"/>
  <c r="B17" i="313"/>
  <c r="J16" i="313"/>
  <c r="I16" i="313"/>
  <c r="H16" i="313"/>
  <c r="G16" i="313"/>
  <c r="E16" i="313"/>
  <c r="D16" i="313"/>
  <c r="C16" i="313"/>
  <c r="B16" i="313"/>
  <c r="C49" i="308"/>
  <c r="B57" i="308"/>
  <c r="B58" i="308"/>
  <c r="B43" i="308"/>
  <c r="O6" i="309"/>
  <c r="O7" i="309" s="1"/>
  <c r="P6" i="309"/>
  <c r="P7" i="309" s="1"/>
  <c r="Q6" i="309"/>
  <c r="Q7" i="309" s="1"/>
  <c r="O8" i="309"/>
  <c r="P8" i="309"/>
  <c r="Q8" i="309"/>
  <c r="O9" i="309"/>
  <c r="P9" i="309"/>
  <c r="Q9" i="309"/>
  <c r="O10" i="309"/>
  <c r="P10" i="309"/>
  <c r="Q10" i="309"/>
  <c r="N10" i="309"/>
  <c r="N9" i="309"/>
  <c r="N8" i="309"/>
  <c r="N6" i="309"/>
  <c r="N7" i="309" s="1"/>
  <c r="J17" i="309"/>
  <c r="I17" i="309"/>
  <c r="H17" i="309"/>
  <c r="G17" i="309"/>
  <c r="C17" i="309"/>
  <c r="D17" i="309"/>
  <c r="E17" i="309"/>
  <c r="B17" i="309"/>
  <c r="C52" i="308"/>
  <c r="C59" i="308" s="1"/>
  <c r="B59" i="308"/>
  <c r="B51" i="308"/>
  <c r="B50" i="308"/>
  <c r="B49" i="308"/>
  <c r="B56" i="308"/>
  <c r="B48" i="308"/>
  <c r="K47" i="308"/>
  <c r="L33" i="308"/>
  <c r="L40" i="308" s="1"/>
  <c r="K33" i="308"/>
  <c r="K40" i="308" s="1"/>
  <c r="K35" i="308"/>
  <c r="L34" i="308"/>
  <c r="L48" i="308" s="1"/>
  <c r="K34" i="308"/>
  <c r="K48" i="308" s="1"/>
  <c r="L32" i="308"/>
  <c r="K32" i="308"/>
  <c r="J16" i="309"/>
  <c r="I16" i="309"/>
  <c r="H16" i="309"/>
  <c r="G16" i="309"/>
  <c r="E16" i="309"/>
  <c r="D16" i="309"/>
  <c r="C16" i="309"/>
  <c r="B16" i="309"/>
  <c r="C51" i="308"/>
  <c r="C50" i="308"/>
  <c r="C48" i="308"/>
  <c r="B41" i="308"/>
  <c r="H39" i="308"/>
  <c r="G39" i="308"/>
  <c r="F39" i="308"/>
  <c r="H38" i="308"/>
  <c r="G38" i="308"/>
  <c r="F38" i="308"/>
  <c r="H37" i="308"/>
  <c r="G37" i="308"/>
  <c r="F37" i="308"/>
  <c r="H36" i="308"/>
  <c r="G36" i="308"/>
  <c r="F36" i="308"/>
  <c r="H35" i="308"/>
  <c r="G35" i="308"/>
  <c r="F35" i="308"/>
  <c r="H34" i="308"/>
  <c r="G34" i="308"/>
  <c r="F34" i="308"/>
  <c r="H33" i="308"/>
  <c r="G33" i="308"/>
  <c r="F33" i="308"/>
  <c r="H32" i="308"/>
  <c r="G32" i="308"/>
  <c r="F32" i="308"/>
  <c r="H31" i="308"/>
  <c r="G31" i="308"/>
  <c r="F31" i="308"/>
  <c r="H30" i="308"/>
  <c r="G30" i="308"/>
  <c r="F30" i="308"/>
  <c r="H29" i="308"/>
  <c r="G29" i="308"/>
  <c r="F29" i="308"/>
  <c r="H28" i="308"/>
  <c r="G28" i="308"/>
  <c r="F28" i="308"/>
  <c r="H27" i="308"/>
  <c r="G27" i="308"/>
  <c r="F27" i="308"/>
  <c r="H26" i="308"/>
  <c r="G26" i="308"/>
  <c r="F26" i="308"/>
  <c r="H25" i="308"/>
  <c r="G25" i="308"/>
  <c r="F25" i="308"/>
  <c r="H24" i="308"/>
  <c r="G24" i="308"/>
  <c r="F24" i="308"/>
  <c r="H23" i="308"/>
  <c r="G23" i="308"/>
  <c r="F23" i="308"/>
  <c r="H22" i="308"/>
  <c r="G22" i="308"/>
  <c r="F22" i="308"/>
  <c r="H21" i="308"/>
  <c r="G21" i="308"/>
  <c r="F21" i="308"/>
  <c r="H20" i="308"/>
  <c r="G20" i="308"/>
  <c r="F20" i="308"/>
  <c r="H19" i="308"/>
  <c r="G19" i="308"/>
  <c r="F19" i="308"/>
  <c r="H18" i="308"/>
  <c r="G18" i="308"/>
  <c r="F18" i="308"/>
  <c r="H17" i="308"/>
  <c r="G17" i="308"/>
  <c r="F17" i="308"/>
  <c r="H16" i="308"/>
  <c r="G16" i="308"/>
  <c r="F16" i="308"/>
  <c r="H15" i="308"/>
  <c r="G15" i="308"/>
  <c r="F15" i="308"/>
  <c r="H14" i="308"/>
  <c r="G14" i="308"/>
  <c r="F14" i="308"/>
  <c r="H13" i="308"/>
  <c r="G13" i="308"/>
  <c r="F13" i="308"/>
  <c r="H12" i="308"/>
  <c r="G12" i="308"/>
  <c r="F12" i="308"/>
  <c r="H11" i="308"/>
  <c r="G11" i="308"/>
  <c r="F11" i="308"/>
  <c r="H10" i="308"/>
  <c r="G10" i="308"/>
  <c r="F10" i="308"/>
  <c r="H9" i="308"/>
  <c r="G9" i="308"/>
  <c r="F9" i="308"/>
  <c r="H8" i="308"/>
  <c r="G8" i="308"/>
  <c r="F8" i="308"/>
  <c r="AA7" i="308"/>
  <c r="Z7" i="308"/>
  <c r="H7" i="308"/>
  <c r="G7" i="308"/>
  <c r="F7" i="308"/>
  <c r="AA6" i="308"/>
  <c r="Z6" i="308"/>
  <c r="H6" i="308"/>
  <c r="G6" i="308"/>
  <c r="F6" i="308"/>
  <c r="H5" i="308"/>
  <c r="G5" i="308"/>
  <c r="F5" i="308"/>
  <c r="H4" i="308"/>
  <c r="G4" i="308"/>
  <c r="F4" i="308"/>
  <c r="AJ46" i="302"/>
  <c r="AJ45" i="302"/>
  <c r="AJ40" i="302"/>
  <c r="AJ41" i="302"/>
  <c r="AJ35" i="302"/>
  <c r="AJ36" i="302"/>
  <c r="G4" i="302"/>
  <c r="BU43" i="302"/>
  <c r="BV43" i="302"/>
  <c r="BW43" i="302"/>
  <c r="BU44" i="302"/>
  <c r="BV44" i="302"/>
  <c r="BW44" i="302"/>
  <c r="BU45" i="302"/>
  <c r="BV45" i="302"/>
  <c r="BW45" i="302"/>
  <c r="BU46" i="302"/>
  <c r="BV46" i="302"/>
  <c r="BW46" i="302"/>
  <c r="BU47" i="302"/>
  <c r="BV47" i="302"/>
  <c r="BW47" i="302"/>
  <c r="BU48" i="302"/>
  <c r="BV48" i="302"/>
  <c r="BW48" i="302"/>
  <c r="BU77" i="302"/>
  <c r="BV77" i="302"/>
  <c r="BW77" i="302"/>
  <c r="BU78" i="302"/>
  <c r="BV78" i="302"/>
  <c r="BW78" i="302"/>
  <c r="BU79" i="302"/>
  <c r="BV79" i="302"/>
  <c r="BW79" i="302"/>
  <c r="BU80" i="302"/>
  <c r="BV80" i="302"/>
  <c r="BW80" i="302"/>
  <c r="BU81" i="302"/>
  <c r="BV81" i="302"/>
  <c r="BW81" i="302"/>
  <c r="BU82" i="302"/>
  <c r="BV82" i="302"/>
  <c r="BW82" i="302"/>
  <c r="BU60" i="302"/>
  <c r="BV60" i="302"/>
  <c r="BW60" i="302"/>
  <c r="BU61" i="302"/>
  <c r="BV61" i="302"/>
  <c r="BW61" i="302"/>
  <c r="BU62" i="302"/>
  <c r="BV62" i="302"/>
  <c r="BW62" i="302"/>
  <c r="BU63" i="302"/>
  <c r="BV63" i="302"/>
  <c r="BW63" i="302"/>
  <c r="BU64" i="302"/>
  <c r="BV64" i="302"/>
  <c r="BW64" i="302"/>
  <c r="BU65" i="302"/>
  <c r="BV65" i="302"/>
  <c r="BW65" i="302"/>
  <c r="BW76" i="302"/>
  <c r="BV76" i="302"/>
  <c r="BU76" i="302"/>
  <c r="BW59" i="302"/>
  <c r="BV59" i="302"/>
  <c r="BU59" i="302"/>
  <c r="BW42" i="302"/>
  <c r="BV42" i="302"/>
  <c r="BU42" i="302"/>
  <c r="BU26" i="302"/>
  <c r="BV26" i="302"/>
  <c r="BW26" i="302"/>
  <c r="BU27" i="302"/>
  <c r="BV27" i="302"/>
  <c r="BW27" i="302"/>
  <c r="BU28" i="302"/>
  <c r="BV28" i="302"/>
  <c r="BW28" i="302"/>
  <c r="BU29" i="302"/>
  <c r="BV29" i="302"/>
  <c r="BW29" i="302"/>
  <c r="BU30" i="302"/>
  <c r="BV30" i="302"/>
  <c r="BW30" i="302"/>
  <c r="BU31" i="302"/>
  <c r="BV31" i="302"/>
  <c r="BW31" i="302"/>
  <c r="BW25" i="302"/>
  <c r="BV25" i="302"/>
  <c r="BU25" i="302"/>
  <c r="BU9" i="302"/>
  <c r="BV9" i="302"/>
  <c r="BW9" i="302"/>
  <c r="BU10" i="302"/>
  <c r="BV10" i="302"/>
  <c r="BW10" i="302"/>
  <c r="BU11" i="302"/>
  <c r="BV11" i="302"/>
  <c r="BW11" i="302"/>
  <c r="BU12" i="302"/>
  <c r="BV12" i="302"/>
  <c r="BW12" i="302"/>
  <c r="BU13" i="302"/>
  <c r="BV13" i="302"/>
  <c r="BW13" i="302"/>
  <c r="BU14" i="302"/>
  <c r="BV14" i="302"/>
  <c r="BW14" i="302"/>
  <c r="BW8" i="302"/>
  <c r="BV8" i="302"/>
  <c r="BU8" i="302"/>
  <c r="BF24" i="302"/>
  <c r="BF25" i="302" s="1"/>
  <c r="BG24" i="302"/>
  <c r="BG25" i="302" s="1"/>
  <c r="BH24" i="302"/>
  <c r="BH25" i="302" s="1"/>
  <c r="BI24" i="302"/>
  <c r="BI25" i="302" s="1"/>
  <c r="BJ24" i="302"/>
  <c r="BJ25" i="302" s="1"/>
  <c r="BK24" i="302"/>
  <c r="BK25" i="302" s="1"/>
  <c r="BL24" i="302"/>
  <c r="BL25" i="302" s="1"/>
  <c r="BM24" i="302"/>
  <c r="BM25" i="302" s="1"/>
  <c r="BN24" i="302"/>
  <c r="BN25" i="302" s="1"/>
  <c r="BO24" i="302"/>
  <c r="BO25" i="302" s="1"/>
  <c r="BP24" i="302"/>
  <c r="BP25" i="302" s="1"/>
  <c r="BQ24" i="302"/>
  <c r="BQ25" i="302" s="1"/>
  <c r="BR24" i="302"/>
  <c r="BR25" i="302" s="1"/>
  <c r="BS24" i="302"/>
  <c r="BS25" i="302" s="1"/>
  <c r="BF26" i="302"/>
  <c r="BG26" i="302"/>
  <c r="BH26" i="302"/>
  <c r="BI26" i="302"/>
  <c r="BJ26" i="302"/>
  <c r="BK26" i="302"/>
  <c r="BL26" i="302"/>
  <c r="BM26" i="302"/>
  <c r="BN26" i="302"/>
  <c r="BO26" i="302"/>
  <c r="BP26" i="302"/>
  <c r="BQ26" i="302"/>
  <c r="BR26" i="302"/>
  <c r="BS26" i="302"/>
  <c r="BF27" i="302"/>
  <c r="BG27" i="302"/>
  <c r="BH27" i="302"/>
  <c r="BI27" i="302"/>
  <c r="BJ27" i="302"/>
  <c r="BK27" i="302"/>
  <c r="BL27" i="302"/>
  <c r="BM27" i="302"/>
  <c r="BN27" i="302"/>
  <c r="BO27" i="302"/>
  <c r="BP27" i="302"/>
  <c r="BQ27" i="302"/>
  <c r="BR27" i="302"/>
  <c r="BS27" i="302"/>
  <c r="BF28" i="302"/>
  <c r="BG28" i="302"/>
  <c r="BH28" i="302"/>
  <c r="BI28" i="302"/>
  <c r="BJ28" i="302"/>
  <c r="BK28" i="302"/>
  <c r="BL28" i="302"/>
  <c r="BM28" i="302"/>
  <c r="BN28" i="302"/>
  <c r="BO28" i="302"/>
  <c r="BP28" i="302"/>
  <c r="BQ28" i="302"/>
  <c r="BR28" i="302"/>
  <c r="BS28" i="302"/>
  <c r="BE28" i="302"/>
  <c r="BE27" i="302"/>
  <c r="BE26" i="302"/>
  <c r="BE24" i="302"/>
  <c r="BE25" i="302" s="1"/>
  <c r="J9" i="302"/>
  <c r="Y8" i="301"/>
  <c r="Y9" i="301" s="1"/>
  <c r="Y10" i="301" s="1"/>
  <c r="Y11" i="301" s="1"/>
  <c r="Y12" i="301" s="1"/>
  <c r="Y13" i="301" s="1"/>
  <c r="Y14" i="301" s="1"/>
  <c r="Y15" i="301" s="1"/>
  <c r="Y16" i="301" s="1"/>
  <c r="AB23" i="301" s="1"/>
  <c r="B5" i="312" l="1"/>
  <c r="M5" i="767"/>
  <c r="C4" i="312"/>
  <c r="N4" i="767"/>
  <c r="C5" i="312"/>
  <c r="N5" i="767"/>
  <c r="D6" i="312"/>
  <c r="D5" i="312"/>
  <c r="K61" i="308"/>
  <c r="K62" i="308"/>
  <c r="K57" i="308"/>
  <c r="K21" i="313"/>
  <c r="K56" i="308"/>
  <c r="G23" i="313"/>
  <c r="O24" i="313"/>
  <c r="J23" i="313"/>
  <c r="H23" i="313"/>
  <c r="I23" i="313"/>
  <c r="D49" i="308"/>
  <c r="L49" i="308"/>
  <c r="L47" i="308" s="1"/>
  <c r="M47" i="308" s="1"/>
  <c r="M48" i="308"/>
  <c r="K49" i="308"/>
  <c r="K41" i="308"/>
  <c r="K42" i="308" s="1"/>
  <c r="L41" i="308"/>
  <c r="M32" i="308"/>
  <c r="D51" i="308"/>
  <c r="AB6" i="308"/>
  <c r="L42" i="308"/>
  <c r="M40" i="308" s="1"/>
  <c r="AB7" i="308"/>
  <c r="D48" i="308"/>
  <c r="M34" i="308"/>
  <c r="M33" i="308"/>
  <c r="C57" i="308"/>
  <c r="C56" i="308"/>
  <c r="C58" i="308"/>
  <c r="D50" i="308"/>
  <c r="BV66" i="302"/>
  <c r="BZ65" i="302" s="1"/>
  <c r="BV15" i="302"/>
  <c r="BZ13" i="302" s="1"/>
  <c r="BV16" i="302"/>
  <c r="BU32" i="302"/>
  <c r="BY29" i="302" s="1"/>
  <c r="BU66" i="302"/>
  <c r="BY61" i="302" s="1"/>
  <c r="BV83" i="302"/>
  <c r="BZ77" i="302" s="1"/>
  <c r="BV84" i="302"/>
  <c r="BW16" i="302"/>
  <c r="BW15" i="302"/>
  <c r="CA10" i="302" s="1"/>
  <c r="BV33" i="302"/>
  <c r="BV32" i="302"/>
  <c r="BZ30" i="302" s="1"/>
  <c r="BU49" i="302"/>
  <c r="BU50" i="302" s="1"/>
  <c r="BV67" i="302"/>
  <c r="BW84" i="302"/>
  <c r="BW83" i="302"/>
  <c r="CA80" i="302" s="1"/>
  <c r="BU15" i="302"/>
  <c r="BY10" i="302" s="1"/>
  <c r="BW32" i="302"/>
  <c r="CA28" i="302" s="1"/>
  <c r="BV50" i="302"/>
  <c r="BW67" i="302"/>
  <c r="BW33" i="302"/>
  <c r="BW50" i="302"/>
  <c r="BW49" i="302"/>
  <c r="CA45" i="302" s="1"/>
  <c r="BU83" i="302"/>
  <c r="BY79" i="302" s="1"/>
  <c r="BW66" i="302"/>
  <c r="CA65" i="302" s="1"/>
  <c r="BV49" i="302"/>
  <c r="BZ47" i="302" s="1"/>
  <c r="O5" i="767" l="1"/>
  <c r="B4" i="312"/>
  <c r="D4" i="312" s="1"/>
  <c r="M4" i="767"/>
  <c r="O4" i="767" s="1"/>
  <c r="O14" i="767" s="1"/>
  <c r="D9" i="312"/>
  <c r="D10" i="312" s="1"/>
  <c r="D13" i="312" s="1"/>
  <c r="D15" i="312" s="1"/>
  <c r="BY12" i="302"/>
  <c r="N47" i="308"/>
  <c r="O47" i="308" s="1"/>
  <c r="K23" i="313"/>
  <c r="G25" i="313" s="1"/>
  <c r="BZ64" i="302"/>
  <c r="BZ63" i="302"/>
  <c r="CA48" i="302"/>
  <c r="BZ9" i="302"/>
  <c r="BZ60" i="302"/>
  <c r="BZ59" i="302"/>
  <c r="BZ12" i="302"/>
  <c r="BZ10" i="302"/>
  <c r="CA44" i="302"/>
  <c r="BZ42" i="302"/>
  <c r="BZ80" i="302"/>
  <c r="BY13" i="302"/>
  <c r="BZ14" i="302"/>
  <c r="BZ11" i="302"/>
  <c r="AB8" i="308"/>
  <c r="AB10" i="308" s="1"/>
  <c r="AB11" i="308" s="1"/>
  <c r="M41" i="308"/>
  <c r="N40" i="308" s="1"/>
  <c r="O40" i="308" s="1"/>
  <c r="C60" i="308"/>
  <c r="N32" i="308"/>
  <c r="O32" i="308" s="1"/>
  <c r="D52" i="308"/>
  <c r="N33" i="308"/>
  <c r="O33" i="308" s="1"/>
  <c r="BY9" i="302"/>
  <c r="BY8" i="302"/>
  <c r="BZ62" i="302"/>
  <c r="BZ61" i="302"/>
  <c r="BY48" i="302"/>
  <c r="BY27" i="302"/>
  <c r="CA25" i="302"/>
  <c r="BZ44" i="302"/>
  <c r="CA42" i="302"/>
  <c r="CA47" i="302"/>
  <c r="BY26" i="302"/>
  <c r="BU84" i="302"/>
  <c r="BY65" i="302"/>
  <c r="BZ48" i="302"/>
  <c r="BY81" i="302"/>
  <c r="BY82" i="302"/>
  <c r="BY62" i="302"/>
  <c r="CA43" i="302"/>
  <c r="BY80" i="302"/>
  <c r="BY63" i="302"/>
  <c r="BY59" i="302"/>
  <c r="BY78" i="302"/>
  <c r="BZ46" i="302"/>
  <c r="BZ76" i="302"/>
  <c r="BZ8" i="302"/>
  <c r="BZ31" i="302"/>
  <c r="CA62" i="302"/>
  <c r="CA59" i="302"/>
  <c r="CA60" i="302"/>
  <c r="CA82" i="302"/>
  <c r="BZ79" i="302"/>
  <c r="CA61" i="302"/>
  <c r="CA77" i="302"/>
  <c r="BZ43" i="302"/>
  <c r="BY28" i="302"/>
  <c r="BY47" i="302"/>
  <c r="BU16" i="302"/>
  <c r="BY11" i="302"/>
  <c r="BY77" i="302"/>
  <c r="BZ82" i="302"/>
  <c r="CA76" i="302"/>
  <c r="CA29" i="302"/>
  <c r="CA9" i="302"/>
  <c r="CA8" i="302"/>
  <c r="BZ45" i="302"/>
  <c r="BZ81" i="302"/>
  <c r="BY60" i="302"/>
  <c r="BY64" i="302"/>
  <c r="BU33" i="302"/>
  <c r="CA12" i="302"/>
  <c r="BY76" i="302"/>
  <c r="CA31" i="302"/>
  <c r="CA26" i="302"/>
  <c r="CA79" i="302"/>
  <c r="BZ26" i="302"/>
  <c r="BZ29" i="302"/>
  <c r="BZ25" i="302"/>
  <c r="CA81" i="302"/>
  <c r="BY43" i="302"/>
  <c r="BY44" i="302"/>
  <c r="BZ28" i="302"/>
  <c r="CA78" i="302"/>
  <c r="CA63" i="302"/>
  <c r="BZ27" i="302"/>
  <c r="BY46" i="302"/>
  <c r="BY45" i="302"/>
  <c r="CA11" i="302"/>
  <c r="CA30" i="302"/>
  <c r="CA14" i="302"/>
  <c r="CA27" i="302"/>
  <c r="BZ78" i="302"/>
  <c r="CA64" i="302"/>
  <c r="BY42" i="302"/>
  <c r="BY31" i="302"/>
  <c r="CA46" i="302"/>
  <c r="BU67" i="302"/>
  <c r="BY30" i="302"/>
  <c r="BY25" i="302"/>
  <c r="BY14" i="302"/>
  <c r="CA13" i="302"/>
  <c r="O18" i="767"/>
  <c r="O19" i="767" l="1"/>
  <c r="N22" i="313"/>
  <c r="N21" i="313" s="1"/>
  <c r="N29" i="313"/>
  <c r="P29" i="313" s="1"/>
  <c r="D17" i="312"/>
  <c r="AS32" i="302"/>
  <c r="AT32" i="302" s="1"/>
  <c r="AU32" i="302" s="1"/>
  <c r="AV32" i="302" s="1"/>
  <c r="AS23" i="302"/>
  <c r="AT23" i="302" s="1"/>
  <c r="AU23" i="302" s="1"/>
  <c r="AV23" i="302" s="1"/>
  <c r="AS14" i="302"/>
  <c r="AT14" i="302" s="1"/>
  <c r="AU14" i="302" s="1"/>
  <c r="AV14" i="302" s="1"/>
  <c r="AS5" i="302"/>
  <c r="AT5" i="302" s="1"/>
  <c r="AU5" i="302" s="1"/>
  <c r="AV5" i="302" s="1"/>
  <c r="N31" i="313" l="1"/>
  <c r="P31" i="313" s="1"/>
  <c r="Q29" i="313" s="1"/>
  <c r="R29" i="313" s="1"/>
  <c r="P21" i="313"/>
  <c r="P22" i="313"/>
  <c r="AS39" i="302"/>
  <c r="AU39" i="302"/>
  <c r="AT39" i="302"/>
  <c r="AV39" i="302"/>
  <c r="AT30" i="302"/>
  <c r="AV30" i="302"/>
  <c r="AS30" i="302"/>
  <c r="AU30" i="302"/>
  <c r="AS21" i="302"/>
  <c r="AU21" i="302"/>
  <c r="AT21" i="302"/>
  <c r="AV21" i="302"/>
  <c r="Q21" i="313" l="1"/>
  <c r="R21" i="313" s="1"/>
  <c r="N30" i="313"/>
  <c r="P30" i="313" s="1"/>
  <c r="Q30" i="313" s="1"/>
  <c r="R30" i="313" s="1"/>
  <c r="CO5" i="302"/>
  <c r="CP5" i="302" s="1"/>
  <c r="CO6" i="302"/>
  <c r="CP6" i="302" s="1"/>
  <c r="CO4" i="302"/>
  <c r="CP4" i="302" s="1"/>
  <c r="AS20" i="302"/>
  <c r="AY25" i="302"/>
  <c r="AR30" i="302"/>
  <c r="AY24" i="302" s="1"/>
  <c r="AY26" i="302"/>
  <c r="AR29" i="302"/>
  <c r="AV38" i="302"/>
  <c r="AU20" i="302"/>
  <c r="AU29" i="302"/>
  <c r="AS29" i="302"/>
  <c r="AR39" i="302"/>
  <c r="AY33" i="302" s="1"/>
  <c r="AY35" i="302"/>
  <c r="AR38" i="302"/>
  <c r="AY34" i="302"/>
  <c r="AT38" i="302"/>
  <c r="AV20" i="302"/>
  <c r="AS38" i="302"/>
  <c r="AR21" i="302"/>
  <c r="AY15" i="302" s="1"/>
  <c r="AY17" i="302"/>
  <c r="AR20" i="302"/>
  <c r="AY16" i="302"/>
  <c r="AT20" i="302"/>
  <c r="AT29" i="302"/>
  <c r="AV29" i="302"/>
  <c r="AU38" i="302"/>
  <c r="AS12" i="302"/>
  <c r="AU12" i="302"/>
  <c r="AT12" i="302"/>
  <c r="AV12" i="302"/>
  <c r="AT11" i="302" l="1"/>
  <c r="AY27" i="302"/>
  <c r="AR11" i="302"/>
  <c r="AR12" i="302"/>
  <c r="AY6" i="302" s="1"/>
  <c r="AY8" i="302"/>
  <c r="AY7" i="302"/>
  <c r="AY36" i="302"/>
  <c r="AU11" i="302"/>
  <c r="AY18" i="302"/>
  <c r="AS11" i="302"/>
  <c r="AV11" i="302"/>
  <c r="AY9" i="302" l="1"/>
  <c r="AS41" i="302" l="1"/>
  <c r="AL29" i="302"/>
  <c r="AQ33" i="302"/>
  <c r="Q58" i="302"/>
  <c r="AQ24" i="302"/>
  <c r="AQ15" i="302"/>
  <c r="G24" i="302"/>
  <c r="G23" i="302"/>
  <c r="G22" i="302"/>
  <c r="G21" i="302"/>
  <c r="G20" i="302"/>
  <c r="G19" i="302"/>
  <c r="G18" i="302"/>
  <c r="G17" i="302"/>
  <c r="G16" i="302"/>
  <c r="G15" i="302"/>
  <c r="G14" i="302"/>
  <c r="G13" i="302"/>
  <c r="G12" i="302"/>
  <c r="N11" i="302"/>
  <c r="M11" i="302"/>
  <c r="L11" i="302"/>
  <c r="K11" i="302"/>
  <c r="J11" i="302"/>
  <c r="G11" i="302"/>
  <c r="N10" i="302"/>
  <c r="M10" i="302"/>
  <c r="L10" i="302"/>
  <c r="K10" i="302"/>
  <c r="J10" i="302"/>
  <c r="G10" i="302"/>
  <c r="N9" i="302"/>
  <c r="M9" i="302"/>
  <c r="L9" i="302"/>
  <c r="K9" i="302"/>
  <c r="G9" i="302"/>
  <c r="G8" i="302"/>
  <c r="G7" i="302"/>
  <c r="L5" i="302"/>
  <c r="Q4" i="303" s="1"/>
  <c r="G6" i="302"/>
  <c r="S5" i="302"/>
  <c r="G5" i="302"/>
  <c r="B50" i="301"/>
  <c r="B51" i="301" s="1"/>
  <c r="B45" i="301"/>
  <c r="B44" i="301"/>
  <c r="Q5" i="303" l="1"/>
  <c r="Q6" i="303"/>
  <c r="R4" i="303"/>
  <c r="S4" i="303" s="1"/>
  <c r="V4" i="303"/>
  <c r="X14" i="302"/>
  <c r="CL7" i="302"/>
  <c r="CQ4" i="302" s="1"/>
  <c r="AE12" i="302"/>
  <c r="BD11" i="302"/>
  <c r="BU98" i="302" s="1"/>
  <c r="AF11" i="302"/>
  <c r="BE10" i="302"/>
  <c r="BV97" i="302" s="1"/>
  <c r="AG12" i="302"/>
  <c r="BF11" i="302"/>
  <c r="BW98" i="302" s="1"/>
  <c r="AE7" i="302"/>
  <c r="BD6" i="302"/>
  <c r="AE13" i="302"/>
  <c r="BD12" i="302"/>
  <c r="BU99" i="302" s="1"/>
  <c r="AF8" i="302"/>
  <c r="BE7" i="302"/>
  <c r="BV94" i="302" s="1"/>
  <c r="AF12" i="302"/>
  <c r="BE11" i="302"/>
  <c r="BV98" i="302" s="1"/>
  <c r="AG9" i="302"/>
  <c r="BF8" i="302"/>
  <c r="BW95" i="302" s="1"/>
  <c r="AG13" i="302"/>
  <c r="BF12" i="302"/>
  <c r="BW99" i="302" s="1"/>
  <c r="AE8" i="302"/>
  <c r="BD7" i="302"/>
  <c r="BU94" i="302" s="1"/>
  <c r="AE10" i="302"/>
  <c r="BD9" i="302"/>
  <c r="BU96" i="302" s="1"/>
  <c r="AF9" i="302"/>
  <c r="BE8" i="302"/>
  <c r="BV95" i="302" s="1"/>
  <c r="AF13" i="302"/>
  <c r="BE12" i="302"/>
  <c r="BV99" i="302" s="1"/>
  <c r="AG10" i="302"/>
  <c r="BF9" i="302"/>
  <c r="BW96" i="302" s="1"/>
  <c r="AE9" i="302"/>
  <c r="BD8" i="302"/>
  <c r="BU95" i="302" s="1"/>
  <c r="AG8" i="302"/>
  <c r="BF7" i="302"/>
  <c r="BW94" i="302" s="1"/>
  <c r="B46" i="301"/>
  <c r="AE11" i="302"/>
  <c r="BD10" i="302"/>
  <c r="BU97" i="302" s="1"/>
  <c r="AF7" i="302"/>
  <c r="BE6" i="302"/>
  <c r="AF10" i="302"/>
  <c r="BE9" i="302"/>
  <c r="BV96" i="302" s="1"/>
  <c r="AG7" i="302"/>
  <c r="BF6" i="302"/>
  <c r="AG11" i="302"/>
  <c r="BF10" i="302"/>
  <c r="BW97" i="302" s="1"/>
  <c r="K12" i="302"/>
  <c r="R8" i="302"/>
  <c r="S8" i="302" s="1"/>
  <c r="S38" i="302" s="1"/>
  <c r="BB32" i="302"/>
  <c r="BB14" i="302"/>
  <c r="BB41" i="302"/>
  <c r="BB23" i="302"/>
  <c r="AT41" i="302"/>
  <c r="N12" i="302"/>
  <c r="O10" i="302"/>
  <c r="L12" i="302"/>
  <c r="O11" i="302"/>
  <c r="O12" i="302"/>
  <c r="R37" i="302"/>
  <c r="S37" i="302" s="1"/>
  <c r="R36" i="302"/>
  <c r="S36" i="302" s="1"/>
  <c r="J12" i="302"/>
  <c r="O9" i="302"/>
  <c r="M12" i="302"/>
  <c r="Q7" i="303" l="1"/>
  <c r="R7" i="303" s="1"/>
  <c r="R6" i="303"/>
  <c r="S6" i="303" s="1"/>
  <c r="V6" i="303"/>
  <c r="R5" i="303"/>
  <c r="S5" i="303" s="1"/>
  <c r="V5" i="303"/>
  <c r="CR5" i="302"/>
  <c r="CS5" i="302" s="1"/>
  <c r="CQ5" i="302"/>
  <c r="CR6" i="302"/>
  <c r="CS6" i="302" s="1"/>
  <c r="CQ6" i="302"/>
  <c r="CR4" i="302"/>
  <c r="CS4" i="302" s="1"/>
  <c r="BK6" i="302"/>
  <c r="BK7" i="302" s="1"/>
  <c r="BK9" i="302"/>
  <c r="BW93" i="302"/>
  <c r="BK10" i="302"/>
  <c r="BK8" i="302"/>
  <c r="BV93" i="302"/>
  <c r="BJ6" i="302"/>
  <c r="BJ7" i="302" s="1"/>
  <c r="BJ9" i="302"/>
  <c r="BJ10" i="302"/>
  <c r="BJ8" i="302"/>
  <c r="BI9" i="302"/>
  <c r="BI10" i="302"/>
  <c r="BU93" i="302"/>
  <c r="BI8" i="302"/>
  <c r="BI6" i="302"/>
  <c r="BI7" i="302" s="1"/>
  <c r="AU41" i="302"/>
  <c r="R43" i="302"/>
  <c r="K5" i="302"/>
  <c r="N5" i="303" s="1"/>
  <c r="R42" i="302"/>
  <c r="J5" i="302"/>
  <c r="N6" i="303" s="1"/>
  <c r="V7" i="303" l="1"/>
  <c r="V8" i="303" s="1"/>
  <c r="N11" i="303" s="1"/>
  <c r="N14" i="303"/>
  <c r="R8" i="303"/>
  <c r="N12" i="303" s="1"/>
  <c r="S7" i="303"/>
  <c r="S8" i="303" s="1"/>
  <c r="Q11" i="303" s="1"/>
  <c r="CL6" i="302"/>
  <c r="CL5" i="302"/>
  <c r="CL8" i="302" s="1"/>
  <c r="AR51" i="302" s="1" a="1"/>
  <c r="BW100" i="302"/>
  <c r="CA93" i="302" s="1"/>
  <c r="BW101" i="302"/>
  <c r="BV101" i="302"/>
  <c r="BV100" i="302"/>
  <c r="BZ93" i="302" s="1"/>
  <c r="BU100" i="302"/>
  <c r="BY93" i="302" s="1"/>
  <c r="BB5" i="302"/>
  <c r="BB43" i="302"/>
  <c r="AY23" i="302"/>
  <c r="AY5" i="302"/>
  <c r="AY32" i="302"/>
  <c r="AY14" i="302"/>
  <c r="AY41" i="302"/>
  <c r="AU44" i="302"/>
  <c r="AU42" i="302"/>
  <c r="AV42" i="302"/>
  <c r="AS46" i="302"/>
  <c r="AS44" i="302"/>
  <c r="AS42" i="302"/>
  <c r="AV44" i="302"/>
  <c r="AV46" i="302"/>
  <c r="AR44" i="302"/>
  <c r="AR45" i="302"/>
  <c r="AR43" i="302"/>
  <c r="AU45" i="302"/>
  <c r="AU48" i="302" s="1"/>
  <c r="AT44" i="302"/>
  <c r="AT48" i="302" s="1"/>
  <c r="AU43" i="302"/>
  <c r="AV43" i="302"/>
  <c r="AT46" i="302"/>
  <c r="AS45" i="302"/>
  <c r="AT42" i="302"/>
  <c r="AU46" i="302"/>
  <c r="AV45" i="302"/>
  <c r="AR46" i="302"/>
  <c r="AS43" i="302"/>
  <c r="AS48" i="302" s="1"/>
  <c r="AR42" i="302"/>
  <c r="AT45" i="302"/>
  <c r="AT43" i="302"/>
  <c r="AV41" i="302"/>
  <c r="T37" i="302"/>
  <c r="T36" i="302"/>
  <c r="R7" i="302"/>
  <c r="S7" i="302" s="1"/>
  <c r="T9" i="302"/>
  <c r="T6" i="302"/>
  <c r="Y7" i="302" s="1"/>
  <c r="T8" i="302"/>
  <c r="T5" i="302"/>
  <c r="R57" i="302"/>
  <c r="R56" i="302"/>
  <c r="R44" i="302"/>
  <c r="R6" i="302"/>
  <c r="S6" i="302" s="1"/>
  <c r="T7" i="302"/>
  <c r="Y10" i="302" s="1"/>
  <c r="R9" i="302"/>
  <c r="S9" i="302" s="1"/>
  <c r="N17" i="303" l="1"/>
  <c r="Q12" i="303"/>
  <c r="N13" i="303"/>
  <c r="N15" i="303" s="1"/>
  <c r="N18" i="303" s="1"/>
  <c r="CR7" i="302"/>
  <c r="CS7" i="302" s="1"/>
  <c r="CS8" i="302" s="1"/>
  <c r="CO11" i="302" s="1"/>
  <c r="CL14" i="302"/>
  <c r="CL17" i="302" s="1"/>
  <c r="AR51" i="302"/>
  <c r="AS52" i="302"/>
  <c r="AV53" i="302"/>
  <c r="AT55" i="302"/>
  <c r="AU51" i="302"/>
  <c r="AS53" i="302"/>
  <c r="AV54" i="302"/>
  <c r="AT52" i="302"/>
  <c r="AU55" i="302"/>
  <c r="AR53" i="302"/>
  <c r="AT51" i="302"/>
  <c r="AU54" i="302"/>
  <c r="AR54" i="302"/>
  <c r="AV52" i="302"/>
  <c r="AR55" i="302"/>
  <c r="AV51" i="302"/>
  <c r="AT54" i="302"/>
  <c r="AT53" i="302"/>
  <c r="AU53" i="302"/>
  <c r="AV55" i="302"/>
  <c r="AU52" i="302"/>
  <c r="AS55" i="302"/>
  <c r="AR52" i="302"/>
  <c r="AS54" i="302"/>
  <c r="AS51" i="302"/>
  <c r="CA94" i="302"/>
  <c r="CA95" i="302"/>
  <c r="CA96" i="302"/>
  <c r="CA98" i="302"/>
  <c r="CA99" i="302"/>
  <c r="CA97" i="302"/>
  <c r="BY94" i="302"/>
  <c r="BY99" i="302"/>
  <c r="BY98" i="302"/>
  <c r="BY97" i="302"/>
  <c r="BY96" i="302"/>
  <c r="BY95" i="302"/>
  <c r="BU101" i="302"/>
  <c r="BZ97" i="302"/>
  <c r="BZ96" i="302"/>
  <c r="BZ99" i="302"/>
  <c r="BZ95" i="302"/>
  <c r="BZ94" i="302"/>
  <c r="BZ98" i="302"/>
  <c r="BB15" i="302"/>
  <c r="AY20" i="302"/>
  <c r="AY19" i="302"/>
  <c r="BB33" i="302"/>
  <c r="AY38" i="302"/>
  <c r="AY37" i="302"/>
  <c r="AY43" i="302"/>
  <c r="AY44" i="302"/>
  <c r="AY10" i="302"/>
  <c r="BB6" i="302"/>
  <c r="AY11" i="302"/>
  <c r="BB42" i="302"/>
  <c r="BB49" i="302" s="1"/>
  <c r="AY29" i="302"/>
  <c r="AY28" i="302"/>
  <c r="BB24" i="302"/>
  <c r="AV48" i="302"/>
  <c r="AT47" i="302"/>
  <c r="AR48" i="302"/>
  <c r="AR47" i="302"/>
  <c r="AS47" i="302"/>
  <c r="AV47" i="302"/>
  <c r="AU47" i="302"/>
  <c r="S42" i="302"/>
  <c r="U36" i="302"/>
  <c r="X7" i="302"/>
  <c r="Z7" i="302" s="1"/>
  <c r="U6" i="302"/>
  <c r="S11" i="302"/>
  <c r="T12" i="302"/>
  <c r="Y6" i="302"/>
  <c r="S43" i="302"/>
  <c r="U37" i="302"/>
  <c r="T38" i="302"/>
  <c r="T10" i="302"/>
  <c r="U5" i="302"/>
  <c r="Y14" i="302"/>
  <c r="X10" i="302"/>
  <c r="U7" i="302"/>
  <c r="X6" i="302"/>
  <c r="U9" i="302"/>
  <c r="S12" i="302"/>
  <c r="S10" i="302"/>
  <c r="T11" i="302"/>
  <c r="Y11" i="302" s="1"/>
  <c r="U8" i="302"/>
  <c r="Q14" i="303" l="1"/>
  <c r="Q13" i="303"/>
  <c r="Q15" i="303" s="1"/>
  <c r="Q17" i="303" s="1"/>
  <c r="Q18" i="303" s="1"/>
  <c r="Q20" i="303" s="1"/>
  <c r="Q16" i="303"/>
  <c r="CR8" i="302"/>
  <c r="CL12" i="302" s="1"/>
  <c r="CO12" i="302" s="1"/>
  <c r="Y8" i="302"/>
  <c r="AC7" i="302" s="1"/>
  <c r="CO7" i="302"/>
  <c r="CP7" i="302" s="1"/>
  <c r="CQ7" i="302" s="1"/>
  <c r="CQ8" i="302" s="1"/>
  <c r="CL11" i="302" s="1"/>
  <c r="AY30" i="302"/>
  <c r="AY54" i="302" s="1"/>
  <c r="AY39" i="302"/>
  <c r="BB34" i="302" s="1"/>
  <c r="BB35" i="302" s="1"/>
  <c r="AY21" i="302"/>
  <c r="AY42" i="302"/>
  <c r="AY46" i="302" s="1"/>
  <c r="BB39" i="302"/>
  <c r="AY45" i="302"/>
  <c r="AY47" i="302" s="1"/>
  <c r="BB12" i="302"/>
  <c r="BB30" i="302"/>
  <c r="AY12" i="302"/>
  <c r="BB7" i="302" s="1"/>
  <c r="BB8" i="302" s="1"/>
  <c r="BB21" i="302"/>
  <c r="S57" i="302"/>
  <c r="T43" i="302"/>
  <c r="U10" i="302"/>
  <c r="S13" i="302"/>
  <c r="X12" i="302" s="1"/>
  <c r="X9" i="302"/>
  <c r="T13" i="302"/>
  <c r="Y12" i="302" s="1"/>
  <c r="AC10" i="302" s="1"/>
  <c r="Y9" i="302"/>
  <c r="U12" i="302"/>
  <c r="X8" i="302"/>
  <c r="X19" i="302"/>
  <c r="X25" i="302"/>
  <c r="Z10" i="302"/>
  <c r="S44" i="302"/>
  <c r="T44" i="302" s="1"/>
  <c r="U38" i="302"/>
  <c r="U11" i="302"/>
  <c r="X11" i="302"/>
  <c r="S56" i="302"/>
  <c r="T42" i="302"/>
  <c r="Z8" i="302" l="1"/>
  <c r="AA7" i="302" s="1"/>
  <c r="AB7" i="302" s="1"/>
  <c r="R49" i="302"/>
  <c r="AK41" i="302"/>
  <c r="AK40" i="302"/>
  <c r="AL40" i="302" s="1"/>
  <c r="S49" i="302"/>
  <c r="CO14" i="302"/>
  <c r="CO16" i="302" s="1"/>
  <c r="CO19" i="302"/>
  <c r="CL13" i="302"/>
  <c r="CL15" i="302" s="1"/>
  <c r="CL18" i="302" s="1"/>
  <c r="CO13" i="302"/>
  <c r="CO15" i="302" s="1"/>
  <c r="CO17" i="302" s="1"/>
  <c r="BB25" i="302"/>
  <c r="BB26" i="302" s="1"/>
  <c r="AY48" i="302"/>
  <c r="Y21" i="302" s="1"/>
  <c r="AY55" i="302"/>
  <c r="AC11" i="302"/>
  <c r="X21" i="302"/>
  <c r="X27" i="302"/>
  <c r="Z12" i="302"/>
  <c r="AA10" i="302" s="1"/>
  <c r="AB10" i="302" s="1"/>
  <c r="BB16" i="302"/>
  <c r="BB18" i="302" s="1"/>
  <c r="AY53" i="302"/>
  <c r="BB9" i="302"/>
  <c r="BB10" i="302" s="1"/>
  <c r="BB36" i="302"/>
  <c r="BB37" i="302" s="1"/>
  <c r="AZ55" i="302" s="1"/>
  <c r="U13" i="302"/>
  <c r="X26" i="302"/>
  <c r="X20" i="302"/>
  <c r="Z11" i="302"/>
  <c r="T56" i="302"/>
  <c r="U42" i="302"/>
  <c r="V42" i="302" s="1"/>
  <c r="R58" i="302"/>
  <c r="T57" i="302"/>
  <c r="U43" i="302"/>
  <c r="V43" i="302" s="1"/>
  <c r="CO20" i="302" l="1"/>
  <c r="AL41" i="302"/>
  <c r="AM40" i="302" s="1"/>
  <c r="AK36" i="302"/>
  <c r="AK35" i="302"/>
  <c r="AK46" i="302"/>
  <c r="AK45" i="302"/>
  <c r="Y20" i="302"/>
  <c r="Y19" i="302"/>
  <c r="BB27" i="302"/>
  <c r="BB28" i="302" s="1"/>
  <c r="AZ54" i="302" s="1"/>
  <c r="BB44" i="302"/>
  <c r="BB46" i="302" s="1"/>
  <c r="AA11" i="302"/>
  <c r="AB11" i="302" s="1"/>
  <c r="BB17" i="302"/>
  <c r="BB19" i="302" s="1"/>
  <c r="AZ53" i="302" s="1"/>
  <c r="S58" i="302"/>
  <c r="T58" i="302" l="1"/>
  <c r="AL36" i="302"/>
  <c r="AL46" i="302"/>
  <c r="AL45" i="302"/>
  <c r="AL35" i="302"/>
  <c r="BB45" i="302"/>
  <c r="BB47" i="302" s="1"/>
  <c r="U57" i="302"/>
  <c r="U56" i="302"/>
  <c r="AM45" i="302" l="1"/>
  <c r="AM35" i="302"/>
  <c r="Y26" i="302"/>
  <c r="Y25" i="302"/>
  <c r="Y27" i="302"/>
  <c r="R8" i="301" l="1"/>
  <c r="S8" i="301"/>
  <c r="R9" i="301"/>
  <c r="S9" i="301"/>
  <c r="R10" i="301"/>
  <c r="S10" i="301"/>
  <c r="R11" i="301"/>
  <c r="S11" i="301"/>
  <c r="R12" i="301"/>
  <c r="S12" i="301"/>
  <c r="R13" i="301"/>
  <c r="S13" i="301"/>
  <c r="R14" i="301"/>
  <c r="S14" i="301"/>
  <c r="R15" i="301"/>
  <c r="S15" i="301"/>
  <c r="R16" i="301"/>
  <c r="S16" i="301"/>
  <c r="J8" i="301"/>
  <c r="K8" i="301"/>
  <c r="J9" i="301"/>
  <c r="K9" i="301"/>
  <c r="J10" i="301"/>
  <c r="K10" i="301"/>
  <c r="J11" i="301"/>
  <c r="K11" i="301"/>
  <c r="J12" i="301"/>
  <c r="K12" i="301"/>
  <c r="J13" i="301"/>
  <c r="K13" i="301"/>
  <c r="J14" i="301"/>
  <c r="K14" i="301"/>
  <c r="J15" i="301"/>
  <c r="K15" i="301"/>
  <c r="J16" i="301"/>
  <c r="K16" i="301"/>
  <c r="S7" i="301"/>
  <c r="R7" i="301"/>
  <c r="K7" i="301"/>
  <c r="J7" i="301"/>
  <c r="Q8" i="301"/>
  <c r="Q9" i="301" s="1"/>
  <c r="Q10" i="301" s="1"/>
  <c r="Q11" i="301" s="1"/>
  <c r="Q12" i="301" s="1"/>
  <c r="Q13" i="301" s="1"/>
  <c r="Q14" i="301" s="1"/>
  <c r="Q15" i="301" s="1"/>
  <c r="Q16" i="301" s="1"/>
  <c r="T23" i="301" s="1"/>
  <c r="I8" i="301"/>
  <c r="I9" i="301" s="1"/>
  <c r="I10" i="301" s="1"/>
  <c r="I11" i="301" s="1"/>
  <c r="I12" i="301" s="1"/>
  <c r="I13" i="301" s="1"/>
  <c r="I14" i="301" s="1"/>
  <c r="I15" i="301" s="1"/>
  <c r="I16" i="301" s="1"/>
  <c r="L23" i="301" s="1"/>
  <c r="B8" i="301"/>
  <c r="C8" i="301"/>
  <c r="B9" i="301"/>
  <c r="C9" i="301"/>
  <c r="B10" i="301"/>
  <c r="C10" i="301"/>
  <c r="B11" i="301"/>
  <c r="C11" i="301"/>
  <c r="B12" i="301"/>
  <c r="C12" i="301"/>
  <c r="B13" i="301"/>
  <c r="C13" i="301"/>
  <c r="B14" i="301"/>
  <c r="C14" i="301"/>
  <c r="B15" i="301"/>
  <c r="C15" i="301"/>
  <c r="B16" i="301"/>
  <c r="C16" i="301"/>
  <c r="C7" i="301"/>
  <c r="B7" i="301"/>
  <c r="A8" i="301"/>
  <c r="A9" i="301" s="1"/>
  <c r="A10" i="301" s="1"/>
  <c r="A11" i="301" s="1"/>
  <c r="A12" i="301" s="1"/>
  <c r="A13" i="301" s="1"/>
  <c r="A14" i="301" s="1"/>
  <c r="A15" i="301" s="1"/>
  <c r="A16" i="301" s="1"/>
  <c r="AK25" i="300"/>
  <c r="AL25" i="300" s="1"/>
  <c r="AM25" i="300" s="1"/>
  <c r="AN25" i="300" s="1"/>
  <c r="AO25" i="300" s="1"/>
  <c r="G15" i="300"/>
  <c r="D30" i="301" s="1"/>
  <c r="F15" i="300"/>
  <c r="C30" i="301" s="1"/>
  <c r="E15" i="300"/>
  <c r="B30" i="301" s="1"/>
  <c r="D15" i="300"/>
  <c r="D29" i="301" s="1"/>
  <c r="C15" i="300"/>
  <c r="C29" i="301" s="1"/>
  <c r="B15" i="300"/>
  <c r="B29" i="301" s="1"/>
  <c r="O14" i="300"/>
  <c r="N14" i="300"/>
  <c r="M14" i="300"/>
  <c r="K14" i="300"/>
  <c r="J14" i="300"/>
  <c r="H14" i="300"/>
  <c r="O13" i="300"/>
  <c r="N13" i="300"/>
  <c r="M13" i="300"/>
  <c r="K13" i="300"/>
  <c r="J13" i="300"/>
  <c r="H13" i="300"/>
  <c r="O12" i="300"/>
  <c r="N12" i="300"/>
  <c r="M12" i="300"/>
  <c r="K12" i="300"/>
  <c r="J12" i="300"/>
  <c r="H12" i="300"/>
  <c r="O11" i="300"/>
  <c r="N11" i="300"/>
  <c r="M11" i="300"/>
  <c r="K11" i="300"/>
  <c r="J11" i="300"/>
  <c r="H11" i="300"/>
  <c r="O10" i="300"/>
  <c r="N10" i="300"/>
  <c r="M10" i="300"/>
  <c r="K10" i="300"/>
  <c r="J10" i="300"/>
  <c r="H10" i="300"/>
  <c r="O9" i="300"/>
  <c r="N9" i="300"/>
  <c r="M9" i="300"/>
  <c r="K9" i="300"/>
  <c r="J9" i="300"/>
  <c r="H9" i="300"/>
  <c r="O8" i="300"/>
  <c r="N8" i="300"/>
  <c r="M8" i="300"/>
  <c r="K8" i="300"/>
  <c r="J8" i="300"/>
  <c r="H8" i="300"/>
  <c r="S7" i="300"/>
  <c r="O7" i="300"/>
  <c r="N7" i="300"/>
  <c r="M7" i="300"/>
  <c r="K7" i="300"/>
  <c r="J7" i="300"/>
  <c r="H7" i="300"/>
  <c r="O6" i="300"/>
  <c r="N6" i="300"/>
  <c r="M6" i="300"/>
  <c r="K6" i="300"/>
  <c r="J6" i="300"/>
  <c r="H6" i="300"/>
  <c r="A6" i="300"/>
  <c r="A7" i="300" s="1"/>
  <c r="A8" i="300" s="1"/>
  <c r="A9" i="300" s="1"/>
  <c r="A10" i="300" s="1"/>
  <c r="A11" i="300" s="1"/>
  <c r="A12" i="300" s="1"/>
  <c r="O5" i="300"/>
  <c r="N5" i="300"/>
  <c r="M5" i="300"/>
  <c r="K5" i="300"/>
  <c r="J5" i="300"/>
  <c r="H5" i="300"/>
  <c r="AN4" i="300"/>
  <c r="AO4" i="300" s="1"/>
  <c r="AG4" i="300"/>
  <c r="S4" i="300"/>
  <c r="R4" i="300"/>
  <c r="T8" i="300" s="1"/>
  <c r="Y5" i="300" s="1"/>
  <c r="AW4" i="300" s="1"/>
  <c r="B13" i="298"/>
  <c r="C13" i="298" s="1"/>
  <c r="AA20" i="297"/>
  <c r="Z20" i="297"/>
  <c r="Y20" i="297"/>
  <c r="X20" i="297"/>
  <c r="K20" i="297"/>
  <c r="J20" i="297"/>
  <c r="I20" i="297"/>
  <c r="H20" i="297"/>
  <c r="AA19" i="297"/>
  <c r="Z19" i="297"/>
  <c r="Y19" i="297"/>
  <c r="X19" i="297"/>
  <c r="K19" i="297"/>
  <c r="J19" i="297"/>
  <c r="I19" i="297"/>
  <c r="H19" i="297"/>
  <c r="AA18" i="297"/>
  <c r="Z18" i="297"/>
  <c r="Y18" i="297"/>
  <c r="X18" i="297"/>
  <c r="K18" i="297"/>
  <c r="J18" i="297"/>
  <c r="I18" i="297"/>
  <c r="H18" i="297"/>
  <c r="AA17" i="297"/>
  <c r="Z17" i="297"/>
  <c r="Y17" i="297"/>
  <c r="X17" i="297"/>
  <c r="K17" i="297"/>
  <c r="J17" i="297"/>
  <c r="I17" i="297"/>
  <c r="H17" i="297"/>
  <c r="AA16" i="297"/>
  <c r="Z16" i="297"/>
  <c r="Y16" i="297"/>
  <c r="X16" i="297"/>
  <c r="K16" i="297"/>
  <c r="J16" i="297"/>
  <c r="I16" i="297"/>
  <c r="H16" i="297"/>
  <c r="AA15" i="297"/>
  <c r="Z15" i="297"/>
  <c r="Y15" i="297"/>
  <c r="X15" i="297"/>
  <c r="K15" i="297"/>
  <c r="J15" i="297"/>
  <c r="I15" i="297"/>
  <c r="H15" i="297"/>
  <c r="AA14" i="297"/>
  <c r="Z14" i="297"/>
  <c r="Y14" i="297"/>
  <c r="X14" i="297"/>
  <c r="K14" i="297"/>
  <c r="J14" i="297"/>
  <c r="I14" i="297"/>
  <c r="H14" i="297"/>
  <c r="AA13" i="297"/>
  <c r="Z13" i="297"/>
  <c r="Y13" i="297"/>
  <c r="X13" i="297"/>
  <c r="K13" i="297"/>
  <c r="J13" i="297"/>
  <c r="I13" i="297"/>
  <c r="H13" i="297"/>
  <c r="AA12" i="297"/>
  <c r="Z12" i="297"/>
  <c r="Y12" i="297"/>
  <c r="X12" i="297"/>
  <c r="K12" i="297"/>
  <c r="J12" i="297"/>
  <c r="I12" i="297"/>
  <c r="H12" i="297"/>
  <c r="AA11" i="297"/>
  <c r="Z11" i="297"/>
  <c r="Y11" i="297"/>
  <c r="X11" i="297"/>
  <c r="K11" i="297"/>
  <c r="J11" i="297"/>
  <c r="I11" i="297"/>
  <c r="H11" i="297"/>
  <c r="AA10" i="297"/>
  <c r="Z10" i="297"/>
  <c r="Y10" i="297"/>
  <c r="X10" i="297"/>
  <c r="K10" i="297"/>
  <c r="J10" i="297"/>
  <c r="I10" i="297"/>
  <c r="H10" i="297"/>
  <c r="AA9" i="297"/>
  <c r="Z9" i="297"/>
  <c r="Y9" i="297"/>
  <c r="X9" i="297"/>
  <c r="K9" i="297"/>
  <c r="J9" i="297"/>
  <c r="I9" i="297"/>
  <c r="H9" i="297"/>
  <c r="AA8" i="297"/>
  <c r="Z8" i="297"/>
  <c r="Y8" i="297"/>
  <c r="X8" i="297"/>
  <c r="K8" i="297"/>
  <c r="J8" i="297"/>
  <c r="I8" i="297"/>
  <c r="H8" i="297"/>
  <c r="AC7" i="297"/>
  <c r="AC8" i="297" s="1"/>
  <c r="AC9" i="297" s="1"/>
  <c r="AC10" i="297" s="1"/>
  <c r="AC11" i="297" s="1"/>
  <c r="AC12" i="297" s="1"/>
  <c r="AC13" i="297" s="1"/>
  <c r="AC14" i="297" s="1"/>
  <c r="AC15" i="297" s="1"/>
  <c r="AC16" i="297" s="1"/>
  <c r="AC17" i="297" s="1"/>
  <c r="AC18" i="297" s="1"/>
  <c r="AC19" i="297" s="1"/>
  <c r="AC20" i="297" s="1"/>
  <c r="AA7" i="297"/>
  <c r="Z7" i="297"/>
  <c r="Y7" i="297"/>
  <c r="X7" i="297"/>
  <c r="W7" i="297"/>
  <c r="W8" i="297" s="1"/>
  <c r="W9" i="297" s="1"/>
  <c r="W10" i="297" s="1"/>
  <c r="W11" i="297" s="1"/>
  <c r="W12" i="297" s="1"/>
  <c r="W13" i="297" s="1"/>
  <c r="W14" i="297" s="1"/>
  <c r="W15" i="297" s="1"/>
  <c r="W16" i="297" s="1"/>
  <c r="W17" i="297" s="1"/>
  <c r="W18" i="297" s="1"/>
  <c r="W19" i="297" s="1"/>
  <c r="W20" i="297" s="1"/>
  <c r="K7" i="297"/>
  <c r="J7" i="297"/>
  <c r="I7" i="297"/>
  <c r="H7" i="297"/>
  <c r="AA6" i="297"/>
  <c r="Z6" i="297"/>
  <c r="Y6" i="297"/>
  <c r="X6" i="297"/>
  <c r="K6" i="297"/>
  <c r="J6" i="297"/>
  <c r="I6" i="297"/>
  <c r="H6" i="297"/>
  <c r="G6" i="297"/>
  <c r="K5" i="297"/>
  <c r="J5" i="297"/>
  <c r="I5" i="297"/>
  <c r="H5" i="297"/>
  <c r="G5" i="297"/>
  <c r="A5" i="297"/>
  <c r="G7" i="297" s="1"/>
  <c r="A6" i="296"/>
  <c r="A7" i="296" s="1"/>
  <c r="A8" i="296" s="1"/>
  <c r="A9" i="296" s="1"/>
  <c r="A10" i="296" s="1"/>
  <c r="A11" i="296" s="1"/>
  <c r="A12" i="296" s="1"/>
  <c r="A13" i="296" s="1"/>
  <c r="A14" i="296" s="1"/>
  <c r="A15" i="296" s="1"/>
  <c r="A16" i="296" s="1"/>
  <c r="A17" i="296" s="1"/>
  <c r="A18" i="296" s="1"/>
  <c r="A19" i="296" s="1"/>
  <c r="D26" i="296" s="1"/>
  <c r="E4" i="296"/>
  <c r="D4" i="296"/>
  <c r="C4" i="296"/>
  <c r="AN9" i="300" l="1"/>
  <c r="AO9" i="300"/>
  <c r="AG8" i="300"/>
  <c r="AG14" i="297"/>
  <c r="AI17" i="297"/>
  <c r="AI18" i="297"/>
  <c r="AI19" i="297"/>
  <c r="AF7" i="297"/>
  <c r="AG11" i="297"/>
  <c r="A6" i="297"/>
  <c r="G8" i="297" s="1"/>
  <c r="AF8" i="297"/>
  <c r="AG12" i="297"/>
  <c r="AG13" i="297"/>
  <c r="AD16" i="297"/>
  <c r="AF18" i="297"/>
  <c r="AJ4" i="300"/>
  <c r="AJ20" i="300" s="1"/>
  <c r="AW7" i="300" s="1"/>
  <c r="AE9" i="297"/>
  <c r="AI12" i="297"/>
  <c r="AH19" i="297"/>
  <c r="AE16" i="297"/>
  <c r="AA7" i="301"/>
  <c r="AD8" i="297"/>
  <c r="L10" i="297"/>
  <c r="AD10" i="297"/>
  <c r="AE11" i="297"/>
  <c r="AI14" i="297"/>
  <c r="AG15" i="297"/>
  <c r="Z16" i="301"/>
  <c r="Z14" i="301"/>
  <c r="Z12" i="301"/>
  <c r="Z10" i="301"/>
  <c r="AA15" i="301"/>
  <c r="AA13" i="301"/>
  <c r="AA11" i="301"/>
  <c r="AA9" i="301"/>
  <c r="J22" i="297"/>
  <c r="AH9" i="297"/>
  <c r="AH10" i="297"/>
  <c r="AH12" i="297"/>
  <c r="AD13" i="297"/>
  <c r="AE13" i="297"/>
  <c r="AI15" i="297"/>
  <c r="AG17" i="297"/>
  <c r="L19" i="297"/>
  <c r="L18" i="297"/>
  <c r="AE18" i="297"/>
  <c r="L8" i="301"/>
  <c r="Z8" i="301"/>
  <c r="I22" i="297"/>
  <c r="L9" i="297"/>
  <c r="AD9" i="297"/>
  <c r="AF9" i="297"/>
  <c r="AH11" i="297"/>
  <c r="AI11" i="297"/>
  <c r="L13" i="297"/>
  <c r="L15" i="297"/>
  <c r="AD15" i="297"/>
  <c r="AF15" i="297"/>
  <c r="AH17" i="297"/>
  <c r="AI20" i="297"/>
  <c r="Z15" i="301"/>
  <c r="Z13" i="301"/>
  <c r="Z11" i="301"/>
  <c r="Z9" i="301"/>
  <c r="AA16" i="301"/>
  <c r="T14" i="301"/>
  <c r="AA14" i="301"/>
  <c r="AA12" i="301"/>
  <c r="AA10" i="301"/>
  <c r="T8" i="301"/>
  <c r="AA8" i="301"/>
  <c r="AE10" i="297"/>
  <c r="AF10" i="297"/>
  <c r="L16" i="297"/>
  <c r="L17" i="297"/>
  <c r="F18" i="296"/>
  <c r="AE7" i="297"/>
  <c r="L11" i="297"/>
  <c r="AF13" i="297"/>
  <c r="AH16" i="297"/>
  <c r="AF16" i="297"/>
  <c r="AG19" i="297"/>
  <c r="Z7" i="301"/>
  <c r="B47" i="301"/>
  <c r="B48" i="301" s="1"/>
  <c r="L15" i="301"/>
  <c r="D16" i="301"/>
  <c r="D10" i="301"/>
  <c r="D14" i="301"/>
  <c r="D12" i="301"/>
  <c r="D8" i="301"/>
  <c r="D7" i="301"/>
  <c r="D13" i="301"/>
  <c r="D9" i="301"/>
  <c r="L14" i="301"/>
  <c r="T13" i="301"/>
  <c r="L16" i="301"/>
  <c r="L12" i="301"/>
  <c r="L10" i="301"/>
  <c r="T15" i="301"/>
  <c r="T11" i="301"/>
  <c r="T9" i="301"/>
  <c r="D15" i="301"/>
  <c r="D11" i="301"/>
  <c r="L11" i="301"/>
  <c r="T16" i="301"/>
  <c r="T12" i="301"/>
  <c r="T10" i="301"/>
  <c r="L7" i="301"/>
  <c r="J15" i="300"/>
  <c r="L13" i="301"/>
  <c r="L9" i="301"/>
  <c r="T7" i="301"/>
  <c r="D23" i="301"/>
  <c r="A13" i="300"/>
  <c r="A14" i="300" s="1"/>
  <c r="O15" i="300"/>
  <c r="K15" i="300"/>
  <c r="T9" i="300"/>
  <c r="Y7" i="300" s="1"/>
  <c r="AR36" i="300"/>
  <c r="R13" i="300"/>
  <c r="S13" i="300" s="1"/>
  <c r="AR4" i="300"/>
  <c r="M15" i="300"/>
  <c r="AR35" i="300"/>
  <c r="T11" i="300"/>
  <c r="R10" i="300"/>
  <c r="S10" i="300" s="1"/>
  <c r="X13" i="300"/>
  <c r="R15" i="300"/>
  <c r="S15" i="300" s="1"/>
  <c r="N15" i="300"/>
  <c r="H15" i="300"/>
  <c r="D13" i="298"/>
  <c r="K22" i="297"/>
  <c r="K21" i="297"/>
  <c r="AE6" i="297"/>
  <c r="X21" i="297"/>
  <c r="AD6" i="297"/>
  <c r="AI7" i="297"/>
  <c r="AI13" i="297"/>
  <c r="AG18" i="297"/>
  <c r="AH18" i="297"/>
  <c r="AD19" i="297"/>
  <c r="AF19" i="297"/>
  <c r="AF20" i="297"/>
  <c r="AE20" i="297"/>
  <c r="AF6" i="297"/>
  <c r="AI10" i="297"/>
  <c r="AG10" i="297"/>
  <c r="L14" i="297"/>
  <c r="AI16" i="297"/>
  <c r="AG16" i="297"/>
  <c r="AF17" i="297"/>
  <c r="AE17" i="297"/>
  <c r="AE19" i="297"/>
  <c r="AH20" i="297"/>
  <c r="AG20" i="297"/>
  <c r="AD20" i="297"/>
  <c r="Z21" i="297"/>
  <c r="AI6" i="297"/>
  <c r="AG6" i="297"/>
  <c r="Y21" i="297"/>
  <c r="AH7" i="297"/>
  <c r="AG7" i="297"/>
  <c r="AD7" i="297"/>
  <c r="AI8" i="297"/>
  <c r="AG8" i="297"/>
  <c r="AF12" i="297"/>
  <c r="AE12" i="297"/>
  <c r="AD12" i="297"/>
  <c r="AD14" i="297"/>
  <c r="AF14" i="297"/>
  <c r="AE14" i="297"/>
  <c r="AD17" i="297"/>
  <c r="I21" i="297"/>
  <c r="AI9" i="297"/>
  <c r="AG9" i="297"/>
  <c r="AD11" i="297"/>
  <c r="AF11" i="297"/>
  <c r="L12" i="297"/>
  <c r="AH13" i="297"/>
  <c r="AD18" i="297"/>
  <c r="J21" i="297"/>
  <c r="H26" i="297"/>
  <c r="B5" i="299" s="1"/>
  <c r="AA21" i="297"/>
  <c r="AH6" i="297"/>
  <c r="L7" i="297"/>
  <c r="H22" i="297"/>
  <c r="H21" i="297"/>
  <c r="L8" i="297"/>
  <c r="AH8" i="297"/>
  <c r="AE8" i="297"/>
  <c r="AH15" i="297"/>
  <c r="AE15" i="297"/>
  <c r="L20" i="297"/>
  <c r="AH14" i="297"/>
  <c r="L6" i="297"/>
  <c r="O8" i="297"/>
  <c r="H25" i="297"/>
  <c r="B6" i="299" s="1"/>
  <c r="B18" i="299" s="1"/>
  <c r="F6" i="296"/>
  <c r="F10" i="296"/>
  <c r="F14" i="296"/>
  <c r="F5" i="296"/>
  <c r="F7" i="296"/>
  <c r="F9" i="296"/>
  <c r="F11" i="296"/>
  <c r="F13" i="296"/>
  <c r="F15" i="296"/>
  <c r="F17" i="296"/>
  <c r="F19" i="296"/>
  <c r="F8" i="296"/>
  <c r="F12" i="296"/>
  <c r="F16" i="296"/>
  <c r="AA28" i="297" l="1"/>
  <c r="AB7" i="301"/>
  <c r="AB14" i="301"/>
  <c r="AB13" i="301"/>
  <c r="AB10" i="301"/>
  <c r="A7" i="297"/>
  <c r="A8" i="297" s="1"/>
  <c r="AJ14" i="300"/>
  <c r="AB16" i="301"/>
  <c r="AB15" i="301"/>
  <c r="T4" i="300"/>
  <c r="R11" i="300" s="1"/>
  <c r="S11" i="300" s="1"/>
  <c r="AB12" i="301"/>
  <c r="AB9" i="301"/>
  <c r="AB8" i="301"/>
  <c r="AB11" i="301"/>
  <c r="B10" i="299"/>
  <c r="B17" i="299"/>
  <c r="B21" i="299" s="1"/>
  <c r="B8" i="299"/>
  <c r="E6" i="298"/>
  <c r="C9" i="298"/>
  <c r="B9" i="298"/>
  <c r="D9" i="298"/>
  <c r="E8" i="298"/>
  <c r="E5" i="298"/>
  <c r="A9" i="298"/>
  <c r="AA26" i="297"/>
  <c r="AA27" i="297"/>
  <c r="E7" i="298"/>
  <c r="D18" i="301"/>
  <c r="D19" i="301" s="1"/>
  <c r="B23" i="301" s="1"/>
  <c r="L18" i="301"/>
  <c r="L19" i="301" s="1"/>
  <c r="J23" i="301" s="1"/>
  <c r="T18" i="301"/>
  <c r="T19" i="301" s="1"/>
  <c r="R23" i="301" s="1"/>
  <c r="L17" i="301"/>
  <c r="T12" i="300"/>
  <c r="Y9" i="300" s="1"/>
  <c r="AW20" i="300" s="1"/>
  <c r="AG7" i="300"/>
  <c r="T17" i="301"/>
  <c r="AO8" i="300"/>
  <c r="D17" i="301"/>
  <c r="AV25" i="300"/>
  <c r="T15" i="300"/>
  <c r="U15" i="300" s="1"/>
  <c r="AP28" i="300"/>
  <c r="AP31" i="300"/>
  <c r="AK32" i="300"/>
  <c r="AP30" i="300"/>
  <c r="AO32" i="300"/>
  <c r="AL32" i="300"/>
  <c r="AP29" i="300"/>
  <c r="AJ7" i="300"/>
  <c r="AF8" i="300"/>
  <c r="AJ5" i="300" s="1"/>
  <c r="AF7" i="300"/>
  <c r="AJ6" i="300"/>
  <c r="AJ32" i="300"/>
  <c r="AP26" i="300"/>
  <c r="AP27" i="300"/>
  <c r="AM32" i="300"/>
  <c r="AN8" i="300"/>
  <c r="X11" i="300"/>
  <c r="AR20" i="300"/>
  <c r="AR14" i="300"/>
  <c r="AW12" i="300"/>
  <c r="AN32" i="300"/>
  <c r="AM8" i="300"/>
  <c r="AR6" i="300"/>
  <c r="AM9" i="300"/>
  <c r="AR5" i="300" s="1"/>
  <c r="AR7" i="300"/>
  <c r="G22" i="298"/>
  <c r="G14" i="298"/>
  <c r="AR14" i="297"/>
  <c r="O6" i="297"/>
  <c r="J37" i="297"/>
  <c r="P8" i="297"/>
  <c r="P5" i="297"/>
  <c r="AI23" i="297"/>
  <c r="J39" i="297"/>
  <c r="AR6" i="297"/>
  <c r="J38" i="297"/>
  <c r="O5" i="297"/>
  <c r="AR5" i="297"/>
  <c r="P6" i="297"/>
  <c r="AI21" i="297"/>
  <c r="AI22" i="297"/>
  <c r="K34" i="297"/>
  <c r="J40" i="297"/>
  <c r="AR7" i="297"/>
  <c r="H34" i="297"/>
  <c r="J41" i="297"/>
  <c r="AN9" i="297"/>
  <c r="AR8" i="297"/>
  <c r="AL9" i="297"/>
  <c r="AO9" i="297"/>
  <c r="AD23" i="297"/>
  <c r="AA25" i="297"/>
  <c r="AF23" i="297"/>
  <c r="AE23" i="297"/>
  <c r="AF22" i="297"/>
  <c r="AF21" i="297"/>
  <c r="AE22" i="297"/>
  <c r="AE21" i="297"/>
  <c r="AH23" i="297"/>
  <c r="AG23" i="297"/>
  <c r="AH21" i="297"/>
  <c r="AH22" i="297"/>
  <c r="I34" i="297"/>
  <c r="L22" i="297"/>
  <c r="L21" i="297"/>
  <c r="AG22" i="297"/>
  <c r="AG21" i="297"/>
  <c r="AD22" i="297"/>
  <c r="AD21" i="297"/>
  <c r="J34" i="297"/>
  <c r="AM9" i="297"/>
  <c r="F21" i="296"/>
  <c r="F22" i="296" s="1"/>
  <c r="B26" i="296" s="1"/>
  <c r="F20" i="296"/>
  <c r="F23" i="301" l="1"/>
  <c r="G9" i="297"/>
  <c r="AJ13" i="300"/>
  <c r="T10" i="300"/>
  <c r="Y11" i="300" s="1"/>
  <c r="AW24" i="300" s="1"/>
  <c r="R8" i="300"/>
  <c r="S8" i="300" s="1"/>
  <c r="X5" i="300" s="1"/>
  <c r="AR13" i="300"/>
  <c r="R9" i="300"/>
  <c r="S9" i="300" s="1"/>
  <c r="S16" i="300" s="1"/>
  <c r="X8" i="300" s="1"/>
  <c r="AB17" i="301"/>
  <c r="Y23" i="301" s="1"/>
  <c r="AB18" i="301"/>
  <c r="AB19" i="301" s="1"/>
  <c r="Z23" i="301" s="1"/>
  <c r="U4" i="300"/>
  <c r="T7" i="300" s="1"/>
  <c r="T13" i="300"/>
  <c r="U13" i="300" s="1"/>
  <c r="AJ8" i="300"/>
  <c r="AJ10" i="300" s="1"/>
  <c r="AJ9" i="300"/>
  <c r="E9" i="298"/>
  <c r="D16" i="298" s="1"/>
  <c r="AR9" i="300"/>
  <c r="N23" i="301"/>
  <c r="V23" i="301"/>
  <c r="I23" i="301"/>
  <c r="K23" i="301" s="1"/>
  <c r="Q23" i="301"/>
  <c r="S23" i="301" s="1"/>
  <c r="W23" i="301" s="1"/>
  <c r="A23" i="301"/>
  <c r="C23" i="301" s="1"/>
  <c r="AV24" i="300"/>
  <c r="AW15" i="300"/>
  <c r="AP32" i="300"/>
  <c r="AM39" i="300" s="1"/>
  <c r="AW21" i="300"/>
  <c r="AR8" i="300"/>
  <c r="AR10" i="300" s="1"/>
  <c r="U11" i="300"/>
  <c r="O23" i="297"/>
  <c r="AR15" i="297"/>
  <c r="AR10" i="297"/>
  <c r="P7" i="297"/>
  <c r="T6" i="297" s="1"/>
  <c r="AR9" i="297"/>
  <c r="AR11" i="297" s="1"/>
  <c r="J42" i="297"/>
  <c r="J44" i="297" s="1"/>
  <c r="Q5" i="297"/>
  <c r="G10" i="297"/>
  <c r="A9" i="297"/>
  <c r="J43" i="297"/>
  <c r="O7" i="297"/>
  <c r="O17" i="297"/>
  <c r="O12" i="297"/>
  <c r="Q6" i="297"/>
  <c r="O24" i="297"/>
  <c r="F26" i="296"/>
  <c r="A26" i="296"/>
  <c r="C26" i="296" s="1"/>
  <c r="U8" i="300" l="1"/>
  <c r="S14" i="300"/>
  <c r="X6" i="300" s="1"/>
  <c r="S12" i="300"/>
  <c r="X9" i="300" s="1"/>
  <c r="AX24" i="300"/>
  <c r="U10" i="300"/>
  <c r="T16" i="300"/>
  <c r="Y8" i="300" s="1"/>
  <c r="AW16" i="300" s="1"/>
  <c r="Z11" i="300"/>
  <c r="U9" i="300"/>
  <c r="X7" i="300"/>
  <c r="Z7" i="300" s="1"/>
  <c r="AD23" i="301"/>
  <c r="AR11" i="300"/>
  <c r="AW13" i="300" s="1"/>
  <c r="AA23" i="301"/>
  <c r="AE23" i="301" s="1"/>
  <c r="AJ11" i="300"/>
  <c r="AJ15" i="300" s="1"/>
  <c r="T14" i="300"/>
  <c r="Y6" i="300" s="1"/>
  <c r="AC5" i="300" s="1"/>
  <c r="U7" i="300"/>
  <c r="Y13" i="300"/>
  <c r="G23" i="301"/>
  <c r="B52" i="301"/>
  <c r="B53" i="301" s="1"/>
  <c r="A17" i="298"/>
  <c r="AC23" i="301"/>
  <c r="A15" i="298"/>
  <c r="C14" i="298"/>
  <c r="B14" i="298"/>
  <c r="C16" i="298"/>
  <c r="C18" i="298" s="1"/>
  <c r="D15" i="298"/>
  <c r="B16" i="298"/>
  <c r="B17" i="298"/>
  <c r="A16" i="298"/>
  <c r="A14" i="298"/>
  <c r="AM40" i="300"/>
  <c r="AO35" i="300"/>
  <c r="AR12" i="297"/>
  <c r="AR16" i="297" s="1"/>
  <c r="AR17" i="297" s="1"/>
  <c r="AM37" i="300"/>
  <c r="AN39" i="300"/>
  <c r="D14" i="298"/>
  <c r="B15" i="298"/>
  <c r="B18" i="298" s="1"/>
  <c r="D17" i="298"/>
  <c r="C15" i="298"/>
  <c r="C17" i="298"/>
  <c r="M23" i="301"/>
  <c r="O23" i="301"/>
  <c r="U23" i="301"/>
  <c r="E23" i="301"/>
  <c r="Z5" i="300"/>
  <c r="AV4" i="300"/>
  <c r="AN38" i="300"/>
  <c r="AJ37" i="300"/>
  <c r="AL37" i="300"/>
  <c r="AN36" i="300"/>
  <c r="AK40" i="300"/>
  <c r="AK36" i="300"/>
  <c r="AO36" i="300"/>
  <c r="AV12" i="300"/>
  <c r="AL39" i="300"/>
  <c r="AN37" i="300"/>
  <c r="AL38" i="300"/>
  <c r="AK37" i="300"/>
  <c r="AO37" i="300"/>
  <c r="AO39" i="300"/>
  <c r="AJ39" i="300"/>
  <c r="AN40" i="300"/>
  <c r="AM35" i="300"/>
  <c r="AK39" i="300"/>
  <c r="AM38" i="300"/>
  <c r="AO38" i="300"/>
  <c r="AK38" i="300"/>
  <c r="AJ36" i="300"/>
  <c r="AL40" i="300"/>
  <c r="AJ38" i="300"/>
  <c r="AM36" i="300"/>
  <c r="AL35" i="300"/>
  <c r="AJ35" i="300"/>
  <c r="AJ40" i="300"/>
  <c r="AL36" i="300"/>
  <c r="AK35" i="300"/>
  <c r="AO40" i="300"/>
  <c r="AV16" i="300"/>
  <c r="AN35" i="300"/>
  <c r="O18" i="297"/>
  <c r="O13" i="297"/>
  <c r="Q7" i="297"/>
  <c r="R5" i="297" s="1"/>
  <c r="S5" i="297" s="1"/>
  <c r="G11" i="297"/>
  <c r="A10" i="297"/>
  <c r="J45" i="297"/>
  <c r="AR21" i="297"/>
  <c r="T5" i="297"/>
  <c r="O25" i="297"/>
  <c r="G26" i="296"/>
  <c r="E26" i="296"/>
  <c r="S17" i="300" l="1"/>
  <c r="X10" i="300" s="1"/>
  <c r="U12" i="300"/>
  <c r="AC7" i="300"/>
  <c r="Z8" i="300"/>
  <c r="AA7" i="300" s="1"/>
  <c r="AB7" i="300" s="1"/>
  <c r="U16" i="300"/>
  <c r="U14" i="300"/>
  <c r="AR15" i="300"/>
  <c r="AR16" i="300" s="1"/>
  <c r="T17" i="300"/>
  <c r="Y10" i="300" s="1"/>
  <c r="AW22" i="300" s="1"/>
  <c r="AW23" i="300" s="1"/>
  <c r="BA21" i="300" s="1"/>
  <c r="AW8" i="300"/>
  <c r="AW5" i="300"/>
  <c r="AW25" i="300"/>
  <c r="AX25" i="300" s="1"/>
  <c r="Z13" i="300"/>
  <c r="AR18" i="297"/>
  <c r="AR19" i="297" s="1"/>
  <c r="D18" i="298"/>
  <c r="A18" i="298"/>
  <c r="G16" i="298"/>
  <c r="AJ17" i="300"/>
  <c r="AJ16" i="300"/>
  <c r="AV8" i="300"/>
  <c r="Z6" i="300"/>
  <c r="AA5" i="300" s="1"/>
  <c r="AB5" i="300" s="1"/>
  <c r="AW19" i="300"/>
  <c r="AW17" i="300"/>
  <c r="BA12" i="300"/>
  <c r="AV20" i="300"/>
  <c r="Z9" i="300"/>
  <c r="AV15" i="300"/>
  <c r="AX15" i="300" s="1"/>
  <c r="AV14" i="300"/>
  <c r="AX12" i="300"/>
  <c r="AV13" i="300"/>
  <c r="AX13" i="300" s="1"/>
  <c r="AX16" i="300"/>
  <c r="AV19" i="300"/>
  <c r="AV18" i="300"/>
  <c r="AV17" i="300"/>
  <c r="AV6" i="300"/>
  <c r="AX4" i="300"/>
  <c r="AV5" i="300"/>
  <c r="AV7" i="300"/>
  <c r="AX7" i="300" s="1"/>
  <c r="J46" i="297"/>
  <c r="J47" i="297"/>
  <c r="P12" i="297"/>
  <c r="R6" i="297"/>
  <c r="S6" i="297" s="1"/>
  <c r="G12" i="297"/>
  <c r="A11" i="297"/>
  <c r="P13" i="297"/>
  <c r="Q13" i="297" s="1"/>
  <c r="O27" i="297" s="1"/>
  <c r="A5" i="294"/>
  <c r="A6" i="294" s="1"/>
  <c r="A7" i="294" s="1"/>
  <c r="A8" i="294" s="1"/>
  <c r="A9" i="294" s="1"/>
  <c r="A10" i="294" s="1"/>
  <c r="A11" i="294" s="1"/>
  <c r="A12" i="294" s="1"/>
  <c r="A13" i="294" s="1"/>
  <c r="A14" i="294" s="1"/>
  <c r="A15" i="294" s="1"/>
  <c r="A16" i="294" s="1"/>
  <c r="A17" i="294" s="1"/>
  <c r="A18" i="294" s="1"/>
  <c r="A6" i="290"/>
  <c r="BA15" i="300" l="1"/>
  <c r="BA4" i="300"/>
  <c r="BA13" i="300"/>
  <c r="A7" i="290"/>
  <c r="P20" i="290"/>
  <c r="P32" i="290"/>
  <c r="P8" i="290"/>
  <c r="BA20" i="300"/>
  <c r="AR17" i="300"/>
  <c r="AR18" i="300" s="1"/>
  <c r="AW14" i="300" s="1"/>
  <c r="AX14" i="300" s="1"/>
  <c r="U17" i="300"/>
  <c r="AC9" i="300"/>
  <c r="AW11" i="300"/>
  <c r="AW9" i="300"/>
  <c r="AX5" i="300"/>
  <c r="J48" i="297"/>
  <c r="P17" i="297" s="1"/>
  <c r="AJ18" i="300"/>
  <c r="AW6" i="300" s="1"/>
  <c r="AX6" i="300" s="1"/>
  <c r="G15" i="298"/>
  <c r="G17" i="298" s="1"/>
  <c r="AX17" i="300"/>
  <c r="AY13" i="300" s="1"/>
  <c r="G23" i="298"/>
  <c r="G24" i="298"/>
  <c r="B7" i="299"/>
  <c r="B9" i="299" s="1"/>
  <c r="B11" i="299" s="1"/>
  <c r="B13" i="299" s="1"/>
  <c r="AX20" i="300"/>
  <c r="AV21" i="300"/>
  <c r="AX21" i="300" s="1"/>
  <c r="AR37" i="300"/>
  <c r="AR38" i="300"/>
  <c r="AV10" i="300"/>
  <c r="AV11" i="300"/>
  <c r="AV9" i="300"/>
  <c r="AX8" i="300"/>
  <c r="AY4" i="300" s="1"/>
  <c r="AV22" i="300"/>
  <c r="Z10" i="300"/>
  <c r="AA9" i="300" s="1"/>
  <c r="AB9" i="300" s="1"/>
  <c r="AX19" i="300"/>
  <c r="AY15" i="300" s="1"/>
  <c r="AY12" i="300"/>
  <c r="A12" i="297"/>
  <c r="G13" i="297"/>
  <c r="T12" i="297"/>
  <c r="Q12" i="297"/>
  <c r="BA7" i="300" l="1"/>
  <c r="BA5" i="300"/>
  <c r="A8" i="290"/>
  <c r="P21" i="290"/>
  <c r="P33" i="290"/>
  <c r="P9" i="290"/>
  <c r="AX9" i="300"/>
  <c r="AY5" i="300" s="1"/>
  <c r="AX11" i="300"/>
  <c r="AY7" i="300" s="1"/>
  <c r="P18" i="297"/>
  <c r="Q18" i="297" s="1"/>
  <c r="AW18" i="300"/>
  <c r="AW10" i="300"/>
  <c r="G25" i="298"/>
  <c r="B19" i="299" s="1"/>
  <c r="B20" i="299" s="1"/>
  <c r="B22" i="299" s="1"/>
  <c r="B24" i="299" s="1"/>
  <c r="AR39" i="300"/>
  <c r="AV23" i="300"/>
  <c r="AX23" i="300" s="1"/>
  <c r="AY21" i="300" s="1"/>
  <c r="AZ21" i="300" s="1"/>
  <c r="AX22" i="300"/>
  <c r="AY20" i="300" s="1"/>
  <c r="AZ20" i="300" s="1"/>
  <c r="Q17" i="297"/>
  <c r="G14" i="297"/>
  <c r="A13" i="297"/>
  <c r="O26" i="297"/>
  <c r="R12" i="297"/>
  <c r="S12" i="297" s="1"/>
  <c r="BA6" i="300" l="1"/>
  <c r="AX18" i="300"/>
  <c r="AY14" i="300" s="1"/>
  <c r="A9" i="290"/>
  <c r="P22" i="290"/>
  <c r="P10" i="290"/>
  <c r="P34" i="290"/>
  <c r="T17" i="297"/>
  <c r="R17" i="297"/>
  <c r="S17" i="297" s="1"/>
  <c r="BA14" i="300"/>
  <c r="AX10" i="300"/>
  <c r="AY6" i="300" s="1"/>
  <c r="G15" i="297"/>
  <c r="A14" i="297"/>
  <c r="O28" i="297"/>
  <c r="A10" i="290" l="1"/>
  <c r="P23" i="290"/>
  <c r="P11" i="290"/>
  <c r="P35" i="290"/>
  <c r="O29" i="297"/>
  <c r="O30" i="297" s="1"/>
  <c r="G16" i="297"/>
  <c r="A15" i="297"/>
  <c r="A11" i="290" l="1"/>
  <c r="P36" i="290"/>
  <c r="P24" i="290"/>
  <c r="P12" i="290"/>
  <c r="G17" i="297"/>
  <c r="A16" i="297"/>
  <c r="A12" i="290" l="1"/>
  <c r="P25" i="290"/>
  <c r="P37" i="290"/>
  <c r="P13" i="290"/>
  <c r="G18" i="297"/>
  <c r="A17" i="297"/>
  <c r="P38" i="290" l="1"/>
  <c r="P26" i="290"/>
  <c r="P14" i="290"/>
  <c r="G19" i="297"/>
  <c r="A18" i="297"/>
  <c r="G20" i="297" s="1"/>
  <c r="T311" i="282"/>
  <c r="U311" i="282" s="1"/>
  <c r="V311" i="282" s="1"/>
  <c r="L311" i="282"/>
  <c r="M311" i="282" s="1"/>
  <c r="N311" i="282" s="1"/>
  <c r="D311" i="282"/>
  <c r="E311" i="282" s="1"/>
  <c r="F311" i="282" s="1"/>
  <c r="T295" i="282"/>
  <c r="U295" i="282" s="1"/>
  <c r="V295" i="282" s="1"/>
  <c r="L295" i="282"/>
  <c r="M295" i="282" s="1"/>
  <c r="N295" i="282" s="1"/>
  <c r="D295" i="282"/>
  <c r="E295" i="282" s="1"/>
  <c r="F295" i="282" s="1"/>
  <c r="T279" i="282"/>
  <c r="U279" i="282" s="1"/>
  <c r="V279" i="282" s="1"/>
  <c r="L279" i="282"/>
  <c r="M279" i="282" s="1"/>
  <c r="N279" i="282" s="1"/>
  <c r="D279" i="282"/>
  <c r="E279" i="282" s="1"/>
  <c r="F279" i="282" s="1"/>
  <c r="T263" i="282"/>
  <c r="U263" i="282" s="1"/>
  <c r="V263" i="282" s="1"/>
  <c r="L263" i="282"/>
  <c r="M263" i="282" s="1"/>
  <c r="N263" i="282" s="1"/>
  <c r="D263" i="282"/>
  <c r="E263" i="282" s="1"/>
  <c r="F263" i="282" s="1"/>
  <c r="T247" i="282"/>
  <c r="U247" i="282" s="1"/>
  <c r="V247" i="282" s="1"/>
  <c r="L247" i="282"/>
  <c r="M247" i="282" s="1"/>
  <c r="N247" i="282" s="1"/>
  <c r="D247" i="282"/>
  <c r="E247" i="282" s="1"/>
  <c r="F247" i="282" s="1"/>
  <c r="T231" i="282"/>
  <c r="U231" i="282" s="1"/>
  <c r="V231" i="282" s="1"/>
  <c r="L231" i="282"/>
  <c r="M231" i="282" s="1"/>
  <c r="N231" i="282" s="1"/>
  <c r="D231" i="282"/>
  <c r="E231" i="282" s="1"/>
  <c r="F231" i="282" s="1"/>
  <c r="T215" i="282"/>
  <c r="U215" i="282" s="1"/>
  <c r="V215" i="282" s="1"/>
  <c r="L215" i="282"/>
  <c r="M215" i="282" s="1"/>
  <c r="N215" i="282" s="1"/>
  <c r="D215" i="282"/>
  <c r="E215" i="282" s="1"/>
  <c r="F215" i="282" s="1"/>
  <c r="T199" i="282"/>
  <c r="U199" i="282" s="1"/>
  <c r="V199" i="282" s="1"/>
  <c r="L199" i="282"/>
  <c r="M199" i="282" s="1"/>
  <c r="N199" i="282" s="1"/>
  <c r="D199" i="282"/>
  <c r="E199" i="282" s="1"/>
  <c r="F199" i="282" s="1"/>
  <c r="T183" i="282"/>
  <c r="U183" i="282" s="1"/>
  <c r="V183" i="282" s="1"/>
  <c r="L183" i="282"/>
  <c r="M183" i="282" s="1"/>
  <c r="N183" i="282" s="1"/>
  <c r="D183" i="282"/>
  <c r="E183" i="282" s="1"/>
  <c r="F183" i="282" s="1"/>
  <c r="T167" i="282"/>
  <c r="U167" i="282" s="1"/>
  <c r="V167" i="282" s="1"/>
  <c r="L167" i="282"/>
  <c r="M167" i="282" s="1"/>
  <c r="N167" i="282" s="1"/>
  <c r="D167" i="282"/>
  <c r="E167" i="282" s="1"/>
  <c r="F167" i="282" s="1"/>
  <c r="T151" i="282"/>
  <c r="U151" i="282" s="1"/>
  <c r="V151" i="282" s="1"/>
  <c r="L151" i="282"/>
  <c r="M151" i="282" s="1"/>
  <c r="N151" i="282" s="1"/>
  <c r="D151" i="282"/>
  <c r="E151" i="282" s="1"/>
  <c r="F151" i="282" s="1"/>
  <c r="T135" i="282"/>
  <c r="U135" i="282" s="1"/>
  <c r="V135" i="282" s="1"/>
  <c r="L135" i="282"/>
  <c r="M135" i="282" s="1"/>
  <c r="N135" i="282" s="1"/>
  <c r="D135" i="282"/>
  <c r="E135" i="282" s="1"/>
  <c r="F135" i="282" s="1"/>
  <c r="T119" i="282"/>
  <c r="U119" i="282" s="1"/>
  <c r="V119" i="282" s="1"/>
  <c r="L119" i="282"/>
  <c r="M119" i="282" s="1"/>
  <c r="N119" i="282" s="1"/>
  <c r="D119" i="282"/>
  <c r="E119" i="282" s="1"/>
  <c r="F119" i="282" s="1"/>
  <c r="T103" i="282"/>
  <c r="U103" i="282" s="1"/>
  <c r="V103" i="282" s="1"/>
  <c r="L103" i="282"/>
  <c r="M103" i="282" s="1"/>
  <c r="N103" i="282" s="1"/>
  <c r="D103" i="282"/>
  <c r="E103" i="282" s="1"/>
  <c r="F103" i="282" s="1"/>
  <c r="T87" i="282"/>
  <c r="U87" i="282" s="1"/>
  <c r="V87" i="282" s="1"/>
  <c r="L87" i="282"/>
  <c r="M87" i="282" s="1"/>
  <c r="N87" i="282" s="1"/>
  <c r="D87" i="282"/>
  <c r="E87" i="282" s="1"/>
  <c r="F87" i="282" s="1"/>
  <c r="T71" i="282"/>
  <c r="U71" i="282" s="1"/>
  <c r="V71" i="282" s="1"/>
  <c r="L71" i="282"/>
  <c r="M71" i="282" s="1"/>
  <c r="N71" i="282" s="1"/>
  <c r="D71" i="282"/>
  <c r="E71" i="282" s="1"/>
  <c r="F71" i="282" s="1"/>
  <c r="T55" i="282"/>
  <c r="U55" i="282" s="1"/>
  <c r="V55" i="282" s="1"/>
  <c r="L55" i="282"/>
  <c r="M55" i="282" s="1"/>
  <c r="N55" i="282" s="1"/>
  <c r="D55" i="282"/>
  <c r="E55" i="282" s="1"/>
  <c r="F55" i="282" s="1"/>
  <c r="T39" i="282"/>
  <c r="U39" i="282" s="1"/>
  <c r="V39" i="282" s="1"/>
  <c r="L39" i="282"/>
  <c r="M39" i="282" s="1"/>
  <c r="N39" i="282" s="1"/>
  <c r="D39" i="282"/>
  <c r="E39" i="282" s="1"/>
  <c r="F39" i="282" s="1"/>
  <c r="N18" i="279"/>
  <c r="M18" i="279"/>
  <c r="E19" i="282" s="1"/>
  <c r="L18" i="279"/>
  <c r="D19" i="282" s="1"/>
  <c r="K18" i="279"/>
  <c r="C19" i="282" s="1"/>
  <c r="N17" i="279"/>
  <c r="F18" i="282" s="1"/>
  <c r="M17" i="279"/>
  <c r="E18" i="282" s="1"/>
  <c r="L17" i="279"/>
  <c r="K17" i="279"/>
  <c r="N15" i="279"/>
  <c r="M15" i="279"/>
  <c r="L15" i="279"/>
  <c r="D16" i="282" s="1"/>
  <c r="K15" i="279"/>
  <c r="N14" i="279"/>
  <c r="M14" i="279"/>
  <c r="E15" i="282" s="1"/>
  <c r="L14" i="279"/>
  <c r="D15" i="282" s="1"/>
  <c r="K14" i="279"/>
  <c r="N13" i="279"/>
  <c r="M13" i="279"/>
  <c r="L13" i="279"/>
  <c r="D14" i="282" s="1"/>
  <c r="K13" i="279"/>
  <c r="C14" i="282" s="1"/>
  <c r="F18" i="279"/>
  <c r="F17" i="279"/>
  <c r="E18" i="279"/>
  <c r="E17" i="279"/>
  <c r="D18" i="279"/>
  <c r="D17" i="279"/>
  <c r="C18" i="279"/>
  <c r="C17" i="279"/>
  <c r="C13" i="279"/>
  <c r="F15" i="279"/>
  <c r="F14" i="279"/>
  <c r="F13" i="279"/>
  <c r="E15" i="279"/>
  <c r="E14" i="279"/>
  <c r="E13" i="279"/>
  <c r="D15" i="279"/>
  <c r="D14" i="279"/>
  <c r="D13" i="279"/>
  <c r="C15" i="279"/>
  <c r="C14" i="279"/>
  <c r="N11" i="279"/>
  <c r="M11" i="279"/>
  <c r="L11" i="279"/>
  <c r="K11" i="279"/>
  <c r="O10" i="279"/>
  <c r="O9" i="279"/>
  <c r="O8" i="279"/>
  <c r="G9" i="282" s="1"/>
  <c r="O7" i="279"/>
  <c r="G8" i="282" s="1"/>
  <c r="O6" i="279"/>
  <c r="O5" i="279"/>
  <c r="L4" i="279"/>
  <c r="M4" i="279" s="1"/>
  <c r="N4" i="279" s="1"/>
  <c r="S7" i="282"/>
  <c r="T7" i="282"/>
  <c r="U7" i="282"/>
  <c r="V7" i="282"/>
  <c r="S8" i="282"/>
  <c r="T8" i="282"/>
  <c r="U8" i="282"/>
  <c r="V8" i="282"/>
  <c r="S9" i="282"/>
  <c r="T9" i="282"/>
  <c r="U9" i="282"/>
  <c r="V9" i="282"/>
  <c r="S10" i="282"/>
  <c r="T10" i="282"/>
  <c r="U10" i="282"/>
  <c r="V10" i="282"/>
  <c r="S11" i="282"/>
  <c r="T11" i="282"/>
  <c r="U11" i="282"/>
  <c r="V11" i="282"/>
  <c r="T6" i="282"/>
  <c r="U6" i="282"/>
  <c r="V6" i="282"/>
  <c r="S6" i="282"/>
  <c r="T23" i="282"/>
  <c r="U23" i="282" s="1"/>
  <c r="V23" i="282" s="1"/>
  <c r="L23" i="282"/>
  <c r="M23" i="282" s="1"/>
  <c r="N23" i="282" s="1"/>
  <c r="D23" i="282"/>
  <c r="E23" i="282" s="1"/>
  <c r="F23" i="282" s="1"/>
  <c r="D5" i="282"/>
  <c r="E5" i="282" s="1"/>
  <c r="F5" i="282" s="1"/>
  <c r="T5" i="282"/>
  <c r="U5" i="282" s="1"/>
  <c r="V5" i="282" s="1"/>
  <c r="G5" i="278"/>
  <c r="D4" i="279"/>
  <c r="E4" i="279" s="1"/>
  <c r="F4" i="279" s="1"/>
  <c r="E8" i="281"/>
  <c r="E7" i="281"/>
  <c r="E6" i="281"/>
  <c r="D9" i="281"/>
  <c r="C9" i="281"/>
  <c r="B9" i="281"/>
  <c r="G6" i="278"/>
  <c r="H6" i="278"/>
  <c r="I6" i="278"/>
  <c r="J6" i="278"/>
  <c r="G7" i="278"/>
  <c r="H7" i="278"/>
  <c r="I7" i="278"/>
  <c r="J7" i="278"/>
  <c r="H5" i="278"/>
  <c r="I5" i="278"/>
  <c r="J5" i="278"/>
  <c r="E8" i="278"/>
  <c r="E7" i="277"/>
  <c r="F7" i="277"/>
  <c r="G7" i="277"/>
  <c r="E8" i="277"/>
  <c r="F8" i="277"/>
  <c r="G8" i="277"/>
  <c r="E9" i="277"/>
  <c r="F9" i="277"/>
  <c r="G9" i="277"/>
  <c r="E10" i="277"/>
  <c r="F10" i="277"/>
  <c r="G10" i="277"/>
  <c r="E11" i="277"/>
  <c r="F11" i="277"/>
  <c r="G11" i="277"/>
  <c r="E12" i="277"/>
  <c r="F12" i="277"/>
  <c r="G12" i="277"/>
  <c r="E13" i="277"/>
  <c r="F13" i="277"/>
  <c r="G13" i="277"/>
  <c r="E14" i="277"/>
  <c r="F14" i="277"/>
  <c r="G14" i="277"/>
  <c r="E15" i="277"/>
  <c r="F15" i="277"/>
  <c r="G15" i="277"/>
  <c r="E16" i="277"/>
  <c r="F16" i="277"/>
  <c r="G16" i="277"/>
  <c r="E17" i="277"/>
  <c r="F17" i="277"/>
  <c r="G17" i="277"/>
  <c r="G6" i="277"/>
  <c r="F6" i="277"/>
  <c r="E6" i="277"/>
  <c r="D7" i="277"/>
  <c r="D8" i="277"/>
  <c r="J8" i="277" s="1"/>
  <c r="D9" i="277"/>
  <c r="H9" i="277" s="1"/>
  <c r="D10" i="277"/>
  <c r="D11" i="277"/>
  <c r="D12" i="277"/>
  <c r="J12" i="277" s="1"/>
  <c r="D13" i="277"/>
  <c r="H13" i="277" s="1"/>
  <c r="D14" i="277"/>
  <c r="D15" i="277"/>
  <c r="D16" i="277"/>
  <c r="J16" i="277" s="1"/>
  <c r="D17" i="277"/>
  <c r="H17" i="277" s="1"/>
  <c r="D6" i="277"/>
  <c r="C63" i="276"/>
  <c r="C66" i="276"/>
  <c r="D67" i="276"/>
  <c r="K67" i="276" s="1"/>
  <c r="E64" i="276"/>
  <c r="L64" i="276" s="1"/>
  <c r="C61" i="276"/>
  <c r="E84" i="276"/>
  <c r="L84" i="276" s="1"/>
  <c r="D84" i="276"/>
  <c r="K84" i="276" s="1"/>
  <c r="C84" i="276"/>
  <c r="E83" i="276"/>
  <c r="L83" i="276" s="1"/>
  <c r="D83" i="276"/>
  <c r="K83" i="276" s="1"/>
  <c r="C83" i="276"/>
  <c r="E81" i="276"/>
  <c r="L81" i="276" s="1"/>
  <c r="D81" i="276"/>
  <c r="K81" i="276" s="1"/>
  <c r="C81" i="276"/>
  <c r="E80" i="276"/>
  <c r="L80" i="276" s="1"/>
  <c r="D80" i="276"/>
  <c r="K80" i="276" s="1"/>
  <c r="C80" i="276"/>
  <c r="E78" i="276"/>
  <c r="L78" i="276" s="1"/>
  <c r="D78" i="276"/>
  <c r="K78" i="276" s="1"/>
  <c r="C78" i="276"/>
  <c r="F77" i="276"/>
  <c r="M77" i="276" s="1"/>
  <c r="F76" i="276"/>
  <c r="M76" i="276" s="1"/>
  <c r="F75" i="276"/>
  <c r="M75" i="276" s="1"/>
  <c r="F74" i="276"/>
  <c r="M74" i="276" s="1"/>
  <c r="E67" i="276"/>
  <c r="L67" i="276" s="1"/>
  <c r="C67" i="276"/>
  <c r="E66" i="276"/>
  <c r="L66" i="276" s="1"/>
  <c r="C64" i="276"/>
  <c r="D63" i="276"/>
  <c r="K63" i="276" s="1"/>
  <c r="F58" i="276"/>
  <c r="M58" i="276" s="1"/>
  <c r="U257" i="273"/>
  <c r="U275" i="273"/>
  <c r="U293" i="273"/>
  <c r="U131" i="273"/>
  <c r="E50" i="276"/>
  <c r="L50" i="276" s="1"/>
  <c r="D50" i="276"/>
  <c r="K50" i="276" s="1"/>
  <c r="C50" i="276"/>
  <c r="E49" i="276"/>
  <c r="L49" i="276" s="1"/>
  <c r="D49" i="276"/>
  <c r="K49" i="276" s="1"/>
  <c r="C49" i="276"/>
  <c r="E47" i="276"/>
  <c r="L47" i="276" s="1"/>
  <c r="D47" i="276"/>
  <c r="K47" i="276" s="1"/>
  <c r="C47" i="276"/>
  <c r="E46" i="276"/>
  <c r="L46" i="276" s="1"/>
  <c r="D46" i="276"/>
  <c r="K46" i="276" s="1"/>
  <c r="C46" i="276"/>
  <c r="E44" i="276"/>
  <c r="L44" i="276" s="1"/>
  <c r="D44" i="276"/>
  <c r="K44" i="276" s="1"/>
  <c r="C44" i="276"/>
  <c r="F43" i="276"/>
  <c r="M43" i="276" s="1"/>
  <c r="F42" i="276"/>
  <c r="M42" i="276" s="1"/>
  <c r="F41" i="276"/>
  <c r="M41" i="276" s="1"/>
  <c r="F40" i="276"/>
  <c r="M40" i="276" s="1"/>
  <c r="E33" i="276"/>
  <c r="L33" i="276" s="1"/>
  <c r="D33" i="276"/>
  <c r="K33" i="276" s="1"/>
  <c r="C33" i="276"/>
  <c r="J33" i="276" s="1"/>
  <c r="E32" i="276"/>
  <c r="L32" i="276" s="1"/>
  <c r="D32" i="276"/>
  <c r="K32" i="276" s="1"/>
  <c r="C32" i="276"/>
  <c r="J32" i="276" s="1"/>
  <c r="E30" i="276"/>
  <c r="L30" i="276" s="1"/>
  <c r="D30" i="276"/>
  <c r="K30" i="276" s="1"/>
  <c r="C30" i="276"/>
  <c r="J30" i="276" s="1"/>
  <c r="E29" i="276"/>
  <c r="L29" i="276" s="1"/>
  <c r="D29" i="276"/>
  <c r="K29" i="276" s="1"/>
  <c r="C29" i="276"/>
  <c r="J29" i="276" s="1"/>
  <c r="E27" i="276"/>
  <c r="L27" i="276" s="1"/>
  <c r="D27" i="276"/>
  <c r="K27" i="276" s="1"/>
  <c r="C27" i="276"/>
  <c r="J27" i="276" s="1"/>
  <c r="F26" i="276"/>
  <c r="M26" i="276" s="1"/>
  <c r="F25" i="276"/>
  <c r="M25" i="276" s="1"/>
  <c r="F24" i="276"/>
  <c r="M24" i="276" s="1"/>
  <c r="F23" i="276"/>
  <c r="M23" i="276" s="1"/>
  <c r="E16" i="276"/>
  <c r="L16" i="276" s="1"/>
  <c r="D16" i="276"/>
  <c r="K16" i="276" s="1"/>
  <c r="C16" i="276"/>
  <c r="J16" i="276" s="1"/>
  <c r="E15" i="276"/>
  <c r="L15" i="276" s="1"/>
  <c r="D15" i="276"/>
  <c r="K15" i="276" s="1"/>
  <c r="C15" i="276"/>
  <c r="J15" i="276" s="1"/>
  <c r="E13" i="276"/>
  <c r="D13" i="276"/>
  <c r="K13" i="276" s="1"/>
  <c r="C13" i="276"/>
  <c r="J13" i="276" s="1"/>
  <c r="E12" i="276"/>
  <c r="D12" i="276"/>
  <c r="K12" i="276" s="1"/>
  <c r="C12" i="276"/>
  <c r="J12" i="276" s="1"/>
  <c r="E10" i="276"/>
  <c r="L10" i="276" s="1"/>
  <c r="D10" i="276"/>
  <c r="K10" i="276" s="1"/>
  <c r="C10" i="276"/>
  <c r="J10" i="276" s="1"/>
  <c r="F9" i="276"/>
  <c r="M9" i="276" s="1"/>
  <c r="F8" i="276"/>
  <c r="M8" i="276" s="1"/>
  <c r="F7" i="276"/>
  <c r="M7" i="276" s="1"/>
  <c r="F6" i="276"/>
  <c r="M6" i="276" s="1"/>
  <c r="F49" i="276" l="1"/>
  <c r="M49" i="276" s="1"/>
  <c r="J6" i="277"/>
  <c r="H14" i="277"/>
  <c r="H10" i="277"/>
  <c r="I17" i="277"/>
  <c r="H16" i="277"/>
  <c r="I13" i="277"/>
  <c r="H12" i="277"/>
  <c r="I9" i="277"/>
  <c r="H8" i="277"/>
  <c r="J8" i="278"/>
  <c r="C18" i="282"/>
  <c r="C15" i="282"/>
  <c r="K7" i="278"/>
  <c r="A14" i="278" s="1"/>
  <c r="F47" i="276"/>
  <c r="M47" i="276" s="1"/>
  <c r="F12" i="276"/>
  <c r="M12" i="276" s="1"/>
  <c r="K6" i="276" s="1"/>
  <c r="F81" i="276"/>
  <c r="M81" i="276" s="1"/>
  <c r="G11" i="282"/>
  <c r="C16" i="282"/>
  <c r="D18" i="282"/>
  <c r="F16" i="282"/>
  <c r="L12" i="276"/>
  <c r="G7" i="282"/>
  <c r="F15" i="282"/>
  <c r="F19" i="282"/>
  <c r="G19" i="282" s="1"/>
  <c r="G10" i="282"/>
  <c r="E14" i="282"/>
  <c r="E16" i="282"/>
  <c r="F13" i="276"/>
  <c r="M13" i="276" s="1"/>
  <c r="J9" i="276" s="1"/>
  <c r="L13" i="276"/>
  <c r="F84" i="276"/>
  <c r="M84" i="276" s="1"/>
  <c r="O11" i="279"/>
  <c r="G6" i="282"/>
  <c r="F83" i="276"/>
  <c r="M83" i="276" s="1"/>
  <c r="F10" i="276"/>
  <c r="M10" i="276" s="1"/>
  <c r="F16" i="276"/>
  <c r="M16" i="276" s="1"/>
  <c r="F27" i="276"/>
  <c r="M27" i="276" s="1"/>
  <c r="F29" i="276"/>
  <c r="M29" i="276" s="1"/>
  <c r="F30" i="276"/>
  <c r="M30" i="276" s="1"/>
  <c r="F32" i="276"/>
  <c r="M32" i="276" s="1"/>
  <c r="F33" i="276"/>
  <c r="M33" i="276" s="1"/>
  <c r="F46" i="276"/>
  <c r="M46" i="276" s="1"/>
  <c r="F80" i="276"/>
  <c r="M80" i="276" s="1"/>
  <c r="F15" i="276"/>
  <c r="M15" i="276" s="1"/>
  <c r="F44" i="276"/>
  <c r="M44" i="276" s="1"/>
  <c r="F50" i="276"/>
  <c r="M50" i="276" s="1"/>
  <c r="F78" i="276"/>
  <c r="M78" i="276" s="1"/>
  <c r="F14" i="282"/>
  <c r="K5" i="278"/>
  <c r="B12" i="278" s="1"/>
  <c r="O13" i="279"/>
  <c r="O15" i="279"/>
  <c r="O17" i="279"/>
  <c r="O18" i="279"/>
  <c r="V15" i="282"/>
  <c r="V18" i="282"/>
  <c r="T15" i="282"/>
  <c r="U15" i="282"/>
  <c r="T16" i="282"/>
  <c r="S16" i="282"/>
  <c r="S15" i="282"/>
  <c r="V14" i="282"/>
  <c r="U12" i="282"/>
  <c r="V19" i="282"/>
  <c r="T19" i="282"/>
  <c r="T18" i="282"/>
  <c r="S19" i="282"/>
  <c r="U16" i="282"/>
  <c r="U19" i="282"/>
  <c r="S14" i="282"/>
  <c r="V16" i="282"/>
  <c r="U14" i="282"/>
  <c r="T14" i="282"/>
  <c r="S18" i="282"/>
  <c r="U18" i="282"/>
  <c r="D12" i="282"/>
  <c r="O14" i="279"/>
  <c r="G8" i="279"/>
  <c r="W11" i="282"/>
  <c r="W8" i="282"/>
  <c r="W9" i="282"/>
  <c r="F27" i="282" s="1"/>
  <c r="W7" i="282"/>
  <c r="W10" i="282"/>
  <c r="V12" i="282"/>
  <c r="T12" i="282"/>
  <c r="W6" i="282"/>
  <c r="S12" i="282"/>
  <c r="E11" i="279"/>
  <c r="C11" i="279"/>
  <c r="G10" i="279"/>
  <c r="G9" i="279"/>
  <c r="D11" i="279"/>
  <c r="G5" i="279"/>
  <c r="G7" i="279"/>
  <c r="E9" i="281"/>
  <c r="I9" i="281"/>
  <c r="K8" i="281"/>
  <c r="C16" i="281" s="1"/>
  <c r="J9" i="281"/>
  <c r="H9" i="281"/>
  <c r="K7" i="281"/>
  <c r="B15" i="281" s="1"/>
  <c r="K6" i="281"/>
  <c r="H8" i="278"/>
  <c r="G8" i="278"/>
  <c r="K6" i="278"/>
  <c r="D13" i="278" s="1"/>
  <c r="I8" i="278"/>
  <c r="I15" i="277"/>
  <c r="I11" i="277"/>
  <c r="I7" i="277"/>
  <c r="J17" i="277"/>
  <c r="I16" i="277"/>
  <c r="J13" i="277"/>
  <c r="I12" i="277"/>
  <c r="J9" i="277"/>
  <c r="I8" i="277"/>
  <c r="H15" i="277"/>
  <c r="H11" i="277"/>
  <c r="H7" i="277"/>
  <c r="H6" i="277"/>
  <c r="J14" i="277"/>
  <c r="I6" i="277"/>
  <c r="J15" i="277"/>
  <c r="I14" i="277"/>
  <c r="J11" i="277"/>
  <c r="I10" i="277"/>
  <c r="J7" i="277"/>
  <c r="J10" i="277"/>
  <c r="F59" i="276"/>
  <c r="M59" i="276" s="1"/>
  <c r="F60" i="276"/>
  <c r="M60" i="276" s="1"/>
  <c r="D61" i="276"/>
  <c r="K61" i="276" s="1"/>
  <c r="D64" i="276"/>
  <c r="K64" i="276" s="1"/>
  <c r="F67" i="276"/>
  <c r="M67" i="276" s="1"/>
  <c r="E61" i="276"/>
  <c r="L61" i="276" s="1"/>
  <c r="D66" i="276"/>
  <c r="K66" i="276" s="1"/>
  <c r="E63" i="276"/>
  <c r="L63" i="276" s="1"/>
  <c r="F57" i="276"/>
  <c r="M57" i="276" s="1"/>
  <c r="J78" i="276"/>
  <c r="J81" i="276"/>
  <c r="J80" i="276"/>
  <c r="J83" i="276"/>
  <c r="J84" i="276"/>
  <c r="J61" i="276"/>
  <c r="J63" i="276"/>
  <c r="J64" i="276"/>
  <c r="J66" i="276"/>
  <c r="J67" i="276"/>
  <c r="J44" i="276"/>
  <c r="J46" i="276"/>
  <c r="J47" i="276"/>
  <c r="J49" i="276"/>
  <c r="J50" i="276"/>
  <c r="L6" i="276" l="1"/>
  <c r="L76" i="276"/>
  <c r="D14" i="278"/>
  <c r="B14" i="278"/>
  <c r="C14" i="278"/>
  <c r="D29" i="282"/>
  <c r="C12" i="282"/>
  <c r="D25" i="282"/>
  <c r="L42" i="276"/>
  <c r="L7" i="276"/>
  <c r="J6" i="276"/>
  <c r="F12" i="282"/>
  <c r="J7" i="276"/>
  <c r="K7" i="276"/>
  <c r="G14" i="282"/>
  <c r="G15" i="282"/>
  <c r="J24" i="276"/>
  <c r="L9" i="276"/>
  <c r="K77" i="276"/>
  <c r="D24" i="282"/>
  <c r="J42" i="276"/>
  <c r="J76" i="276"/>
  <c r="K23" i="276"/>
  <c r="E12" i="282"/>
  <c r="G12" i="282"/>
  <c r="J77" i="276"/>
  <c r="C12" i="278"/>
  <c r="A12" i="278"/>
  <c r="K8" i="278"/>
  <c r="D12" i="278"/>
  <c r="L26" i="276"/>
  <c r="K8" i="276"/>
  <c r="K76" i="276"/>
  <c r="J74" i="276"/>
  <c r="L75" i="276"/>
  <c r="J75" i="276"/>
  <c r="K74" i="276"/>
  <c r="K75" i="276"/>
  <c r="L74" i="276"/>
  <c r="K43" i="276"/>
  <c r="L8" i="276"/>
  <c r="L23" i="276"/>
  <c r="L24" i="276"/>
  <c r="K42" i="276"/>
  <c r="G16" i="282"/>
  <c r="J23" i="276"/>
  <c r="K9" i="276"/>
  <c r="K24" i="276"/>
  <c r="J26" i="276"/>
  <c r="J25" i="276"/>
  <c r="F25" i="282"/>
  <c r="K40" i="276"/>
  <c r="K41" i="276"/>
  <c r="L40" i="276"/>
  <c r="J41" i="276"/>
  <c r="J40" i="276"/>
  <c r="L41" i="276"/>
  <c r="J43" i="276"/>
  <c r="L77" i="276"/>
  <c r="J8" i="276"/>
  <c r="L43" i="276"/>
  <c r="L25" i="276"/>
  <c r="K26" i="276"/>
  <c r="K25" i="276"/>
  <c r="F29" i="282"/>
  <c r="C24" i="282"/>
  <c r="E24" i="282"/>
  <c r="W16" i="282"/>
  <c r="F24" i="282"/>
  <c r="W19" i="282"/>
  <c r="D26" i="282"/>
  <c r="F26" i="282"/>
  <c r="C26" i="282"/>
  <c r="C27" i="282"/>
  <c r="E26" i="282"/>
  <c r="C28" i="282"/>
  <c r="E28" i="282"/>
  <c r="E29" i="282"/>
  <c r="C29" i="282"/>
  <c r="F28" i="282"/>
  <c r="E27" i="282"/>
  <c r="D27" i="282"/>
  <c r="C25" i="282"/>
  <c r="E25" i="282"/>
  <c r="D28" i="282"/>
  <c r="W14" i="282"/>
  <c r="F11" i="279"/>
  <c r="G18" i="279"/>
  <c r="G6" i="279"/>
  <c r="G11" i="279" s="1"/>
  <c r="G14" i="279"/>
  <c r="W15" i="282"/>
  <c r="W18" i="282"/>
  <c r="W12" i="282"/>
  <c r="G18" i="282"/>
  <c r="G15" i="279"/>
  <c r="G13" i="279"/>
  <c r="G17" i="279"/>
  <c r="C15" i="281"/>
  <c r="D16" i="281"/>
  <c r="B16" i="281"/>
  <c r="D14" i="281"/>
  <c r="B14" i="281"/>
  <c r="K9" i="281"/>
  <c r="C14" i="281"/>
  <c r="D15" i="281"/>
  <c r="A13" i="278"/>
  <c r="B13" i="278"/>
  <c r="C13" i="278"/>
  <c r="F61" i="276"/>
  <c r="M61" i="276" s="1"/>
  <c r="F64" i="276"/>
  <c r="M64" i="276" s="1"/>
  <c r="F66" i="276"/>
  <c r="M66" i="276" s="1"/>
  <c r="F63" i="276"/>
  <c r="M63" i="276" s="1"/>
  <c r="D15" i="278" l="1"/>
  <c r="J12" i="278" s="1"/>
  <c r="E14" i="278"/>
  <c r="C32" i="282"/>
  <c r="K24" i="282" s="1"/>
  <c r="E12" i="278"/>
  <c r="E15" i="281"/>
  <c r="E16" i="281"/>
  <c r="F34" i="282"/>
  <c r="N29" i="282" s="1"/>
  <c r="C37" i="282"/>
  <c r="G25" i="282"/>
  <c r="F37" i="282"/>
  <c r="F33" i="282"/>
  <c r="N27" i="282" s="1"/>
  <c r="E30" i="282"/>
  <c r="E34" i="282"/>
  <c r="M29" i="282" s="1"/>
  <c r="D33" i="282"/>
  <c r="L26" i="282" s="1"/>
  <c r="G27" i="282"/>
  <c r="G29" i="282"/>
  <c r="D34" i="282"/>
  <c r="L29" i="282" s="1"/>
  <c r="G24" i="282"/>
  <c r="E36" i="282"/>
  <c r="E32" i="282"/>
  <c r="M24" i="282" s="1"/>
  <c r="F36" i="282"/>
  <c r="F32" i="282"/>
  <c r="N24" i="282" s="1"/>
  <c r="E33" i="282"/>
  <c r="M27" i="282" s="1"/>
  <c r="D37" i="282"/>
  <c r="C33" i="282"/>
  <c r="K26" i="282" s="1"/>
  <c r="D32" i="282"/>
  <c r="D36" i="282"/>
  <c r="C34" i="282"/>
  <c r="K29" i="282" s="1"/>
  <c r="C36" i="282"/>
  <c r="E37" i="282"/>
  <c r="F30" i="282"/>
  <c r="G26" i="282"/>
  <c r="D30" i="282"/>
  <c r="C30" i="282"/>
  <c r="G28" i="282"/>
  <c r="B17" i="281"/>
  <c r="E14" i="281"/>
  <c r="C17" i="281"/>
  <c r="D17" i="281"/>
  <c r="J16" i="281" s="1"/>
  <c r="J13" i="278"/>
  <c r="C15" i="278"/>
  <c r="B15" i="278"/>
  <c r="E13" i="278"/>
  <c r="A15" i="278"/>
  <c r="G12" i="278" s="1"/>
  <c r="E7" i="275"/>
  <c r="A7" i="275"/>
  <c r="B7" i="275"/>
  <c r="A8" i="275"/>
  <c r="B8" i="275"/>
  <c r="A9" i="275"/>
  <c r="B9" i="275"/>
  <c r="B6" i="275"/>
  <c r="A6" i="275"/>
  <c r="D5" i="275"/>
  <c r="E5" i="275"/>
  <c r="S5" i="275" s="1"/>
  <c r="C5" i="275"/>
  <c r="Q5" i="275" s="1"/>
  <c r="B5" i="275"/>
  <c r="A5" i="275"/>
  <c r="C7" i="275"/>
  <c r="D7" i="275"/>
  <c r="C8" i="275"/>
  <c r="D8" i="275"/>
  <c r="E8" i="275"/>
  <c r="C9" i="275"/>
  <c r="D9" i="275"/>
  <c r="E9" i="275"/>
  <c r="D6" i="275"/>
  <c r="E6" i="275"/>
  <c r="C6" i="275"/>
  <c r="L15" i="272"/>
  <c r="D17" i="273" s="1"/>
  <c r="L14" i="272"/>
  <c r="D16" i="273" s="1"/>
  <c r="L13" i="272"/>
  <c r="D15" i="273" s="1"/>
  <c r="J68" i="273" s="1"/>
  <c r="L12" i="272"/>
  <c r="D14" i="273" s="1"/>
  <c r="L11" i="272"/>
  <c r="D13" i="273" s="1"/>
  <c r="L10" i="272"/>
  <c r="D12" i="273" s="1"/>
  <c r="L8" i="272"/>
  <c r="D10" i="273" s="1"/>
  <c r="D36" i="273" s="1"/>
  <c r="L7" i="272"/>
  <c r="D9" i="273" s="1"/>
  <c r="L6" i="272"/>
  <c r="D8" i="273" s="1"/>
  <c r="L5" i="272"/>
  <c r="D7" i="273" s="1"/>
  <c r="D33" i="273" s="1"/>
  <c r="L4" i="272"/>
  <c r="D6" i="273" s="1"/>
  <c r="J275" i="273" s="1"/>
  <c r="C8" i="272"/>
  <c r="D8" i="272"/>
  <c r="S16" i="275"/>
  <c r="R16" i="275"/>
  <c r="Q16" i="275"/>
  <c r="S15" i="275"/>
  <c r="R15" i="275"/>
  <c r="Q15" i="275"/>
  <c r="S13" i="275"/>
  <c r="R13" i="275"/>
  <c r="Q13" i="275"/>
  <c r="S12" i="275"/>
  <c r="R12" i="275"/>
  <c r="Q12" i="275"/>
  <c r="S10" i="275"/>
  <c r="R10" i="275"/>
  <c r="Q10" i="275"/>
  <c r="T9" i="275"/>
  <c r="T8" i="275"/>
  <c r="T7" i="275"/>
  <c r="T6" i="275"/>
  <c r="C83" i="273"/>
  <c r="C84" i="273"/>
  <c r="C82" i="273"/>
  <c r="B78" i="273"/>
  <c r="B77" i="273"/>
  <c r="A73" i="273"/>
  <c r="A72" i="273"/>
  <c r="C66" i="273"/>
  <c r="C67" i="273"/>
  <c r="C68" i="273"/>
  <c r="C64" i="273"/>
  <c r="C65" i="273"/>
  <c r="C63" i="273"/>
  <c r="B67" i="273"/>
  <c r="B68" i="273"/>
  <c r="B64" i="273"/>
  <c r="B65" i="273"/>
  <c r="B66" i="273"/>
  <c r="B63" i="273"/>
  <c r="C55" i="273"/>
  <c r="C58" i="273" s="1"/>
  <c r="C56" i="273"/>
  <c r="C59" i="273" s="1"/>
  <c r="A57" i="273"/>
  <c r="A58" i="273" s="1"/>
  <c r="A59" i="273" s="1"/>
  <c r="C54" i="273"/>
  <c r="C57" i="273" s="1"/>
  <c r="A54" i="273"/>
  <c r="A55" i="273" s="1"/>
  <c r="A56" i="273" s="1"/>
  <c r="B48" i="273"/>
  <c r="B50" i="273" s="1"/>
  <c r="B47" i="273"/>
  <c r="B49" i="273" s="1"/>
  <c r="A49" i="273"/>
  <c r="A50" i="273" s="1"/>
  <c r="A47" i="273"/>
  <c r="A48" i="273" s="1"/>
  <c r="E81" i="273"/>
  <c r="D81" i="273"/>
  <c r="C81" i="273"/>
  <c r="B81" i="273"/>
  <c r="A81" i="273"/>
  <c r="E76" i="273"/>
  <c r="D76" i="273"/>
  <c r="C76" i="273"/>
  <c r="B76" i="273"/>
  <c r="A76" i="273"/>
  <c r="E71" i="273"/>
  <c r="D71" i="273"/>
  <c r="C71" i="273"/>
  <c r="B71" i="273"/>
  <c r="A71" i="273"/>
  <c r="E62" i="273"/>
  <c r="D62" i="273"/>
  <c r="C62" i="273"/>
  <c r="B62" i="273"/>
  <c r="A62" i="273"/>
  <c r="E53" i="273"/>
  <c r="D53" i="273"/>
  <c r="C53" i="273"/>
  <c r="B53" i="273"/>
  <c r="A53" i="273"/>
  <c r="D46" i="273"/>
  <c r="C46" i="273"/>
  <c r="B46" i="273"/>
  <c r="A46" i="273"/>
  <c r="B26" i="273"/>
  <c r="C26" i="273"/>
  <c r="A26" i="273"/>
  <c r="D31" i="273"/>
  <c r="C43" i="273"/>
  <c r="B43" i="273"/>
  <c r="A43" i="273"/>
  <c r="C42" i="273"/>
  <c r="B42" i="273"/>
  <c r="A42" i="273"/>
  <c r="C41" i="273"/>
  <c r="B41" i="273"/>
  <c r="A41" i="273"/>
  <c r="C40" i="273"/>
  <c r="B40" i="273"/>
  <c r="A40" i="273"/>
  <c r="C39" i="273"/>
  <c r="B39" i="273"/>
  <c r="A39" i="273"/>
  <c r="C38" i="273"/>
  <c r="B38" i="273"/>
  <c r="A38" i="273"/>
  <c r="C37" i="273"/>
  <c r="B37" i="273"/>
  <c r="A37" i="273"/>
  <c r="C36" i="273"/>
  <c r="B36" i="273"/>
  <c r="A36" i="273"/>
  <c r="C35" i="273"/>
  <c r="B35" i="273"/>
  <c r="A35" i="273"/>
  <c r="C34" i="273"/>
  <c r="B34" i="273"/>
  <c r="A34" i="273"/>
  <c r="C33" i="273"/>
  <c r="B33" i="273"/>
  <c r="A33" i="273"/>
  <c r="C32" i="273"/>
  <c r="B32" i="273"/>
  <c r="A32" i="273"/>
  <c r="C31" i="273"/>
  <c r="B31" i="273"/>
  <c r="A31" i="273"/>
  <c r="I322" i="273"/>
  <c r="H322" i="273"/>
  <c r="G322" i="273"/>
  <c r="I321" i="273"/>
  <c r="H321" i="273"/>
  <c r="G321" i="273"/>
  <c r="I320" i="273"/>
  <c r="H320" i="273"/>
  <c r="G320" i="273"/>
  <c r="I319" i="273"/>
  <c r="H319" i="273"/>
  <c r="G319" i="273"/>
  <c r="I318" i="273"/>
  <c r="H318" i="273"/>
  <c r="G318" i="273"/>
  <c r="I317" i="273"/>
  <c r="H317" i="273"/>
  <c r="G317" i="273"/>
  <c r="I316" i="273"/>
  <c r="H316" i="273"/>
  <c r="G316" i="273"/>
  <c r="I315" i="273"/>
  <c r="H315" i="273"/>
  <c r="G315" i="273"/>
  <c r="I314" i="273"/>
  <c r="H314" i="273"/>
  <c r="G314" i="273"/>
  <c r="I313" i="273"/>
  <c r="H313" i="273"/>
  <c r="G313" i="273"/>
  <c r="I312" i="273"/>
  <c r="H312" i="273"/>
  <c r="G312" i="273"/>
  <c r="I311" i="273"/>
  <c r="H311" i="273"/>
  <c r="G311" i="273"/>
  <c r="I310" i="273"/>
  <c r="H310" i="273"/>
  <c r="G310" i="273"/>
  <c r="I340" i="273"/>
  <c r="H340" i="273"/>
  <c r="G340" i="273"/>
  <c r="I339" i="273"/>
  <c r="H339" i="273"/>
  <c r="G339" i="273"/>
  <c r="I338" i="273"/>
  <c r="H338" i="273"/>
  <c r="G338" i="273"/>
  <c r="I337" i="273"/>
  <c r="H337" i="273"/>
  <c r="G337" i="273"/>
  <c r="I336" i="273"/>
  <c r="H336" i="273"/>
  <c r="G336" i="273"/>
  <c r="I335" i="273"/>
  <c r="H335" i="273"/>
  <c r="G335" i="273"/>
  <c r="I334" i="273"/>
  <c r="H334" i="273"/>
  <c r="G334" i="273"/>
  <c r="I333" i="273"/>
  <c r="H333" i="273"/>
  <c r="G333" i="273"/>
  <c r="I332" i="273"/>
  <c r="H332" i="273"/>
  <c r="G332" i="273"/>
  <c r="I331" i="273"/>
  <c r="H331" i="273"/>
  <c r="G331" i="273"/>
  <c r="I330" i="273"/>
  <c r="H330" i="273"/>
  <c r="G330" i="273"/>
  <c r="I329" i="273"/>
  <c r="H329" i="273"/>
  <c r="G329" i="273"/>
  <c r="I328" i="273"/>
  <c r="H328" i="273"/>
  <c r="G328" i="273"/>
  <c r="I304" i="273"/>
  <c r="H304" i="273"/>
  <c r="G304" i="273"/>
  <c r="I303" i="273"/>
  <c r="H303" i="273"/>
  <c r="G303" i="273"/>
  <c r="I302" i="273"/>
  <c r="H302" i="273"/>
  <c r="G302" i="273"/>
  <c r="I301" i="273"/>
  <c r="H301" i="273"/>
  <c r="G301" i="273"/>
  <c r="I300" i="273"/>
  <c r="H300" i="273"/>
  <c r="G300" i="273"/>
  <c r="I299" i="273"/>
  <c r="H299" i="273"/>
  <c r="G299" i="273"/>
  <c r="I298" i="273"/>
  <c r="H298" i="273"/>
  <c r="G298" i="273"/>
  <c r="I297" i="273"/>
  <c r="H297" i="273"/>
  <c r="G297" i="273"/>
  <c r="I296" i="273"/>
  <c r="H296" i="273"/>
  <c r="G296" i="273"/>
  <c r="I295" i="273"/>
  <c r="H295" i="273"/>
  <c r="G295" i="273"/>
  <c r="I294" i="273"/>
  <c r="H294" i="273"/>
  <c r="G294" i="273"/>
  <c r="I293" i="273"/>
  <c r="H293" i="273"/>
  <c r="G293" i="273"/>
  <c r="I292" i="273"/>
  <c r="H292" i="273"/>
  <c r="G292" i="273"/>
  <c r="I286" i="273"/>
  <c r="H286" i="273"/>
  <c r="G286" i="273"/>
  <c r="I285" i="273"/>
  <c r="H285" i="273"/>
  <c r="G285" i="273"/>
  <c r="I284" i="273"/>
  <c r="H284" i="273"/>
  <c r="G284" i="273"/>
  <c r="I283" i="273"/>
  <c r="H283" i="273"/>
  <c r="G283" i="273"/>
  <c r="I282" i="273"/>
  <c r="H282" i="273"/>
  <c r="G282" i="273"/>
  <c r="I281" i="273"/>
  <c r="H281" i="273"/>
  <c r="G281" i="273"/>
  <c r="I280" i="273"/>
  <c r="H280" i="273"/>
  <c r="G280" i="273"/>
  <c r="I279" i="273"/>
  <c r="H279" i="273"/>
  <c r="G279" i="273"/>
  <c r="I278" i="273"/>
  <c r="H278" i="273"/>
  <c r="G278" i="273"/>
  <c r="I277" i="273"/>
  <c r="H277" i="273"/>
  <c r="G277" i="273"/>
  <c r="I276" i="273"/>
  <c r="H276" i="273"/>
  <c r="G276" i="273"/>
  <c r="I275" i="273"/>
  <c r="H275" i="273"/>
  <c r="G275" i="273"/>
  <c r="I274" i="273"/>
  <c r="H274" i="273"/>
  <c r="G274" i="273"/>
  <c r="I268" i="273"/>
  <c r="H268" i="273"/>
  <c r="G268" i="273"/>
  <c r="I267" i="273"/>
  <c r="H267" i="273"/>
  <c r="G267" i="273"/>
  <c r="I266" i="273"/>
  <c r="H266" i="273"/>
  <c r="G266" i="273"/>
  <c r="I265" i="273"/>
  <c r="H265" i="273"/>
  <c r="G265" i="273"/>
  <c r="I264" i="273"/>
  <c r="H264" i="273"/>
  <c r="G264" i="273"/>
  <c r="I263" i="273"/>
  <c r="H263" i="273"/>
  <c r="G263" i="273"/>
  <c r="I262" i="273"/>
  <c r="H262" i="273"/>
  <c r="G262" i="273"/>
  <c r="I261" i="273"/>
  <c r="H261" i="273"/>
  <c r="G261" i="273"/>
  <c r="I260" i="273"/>
  <c r="H260" i="273"/>
  <c r="G260" i="273"/>
  <c r="I259" i="273"/>
  <c r="H259" i="273"/>
  <c r="G259" i="273"/>
  <c r="I258" i="273"/>
  <c r="H258" i="273"/>
  <c r="G258" i="273"/>
  <c r="I257" i="273"/>
  <c r="H257" i="273"/>
  <c r="G257" i="273"/>
  <c r="I256" i="273"/>
  <c r="H256" i="273"/>
  <c r="G256" i="273"/>
  <c r="I250" i="273"/>
  <c r="H250" i="273"/>
  <c r="G250" i="273"/>
  <c r="I249" i="273"/>
  <c r="H249" i="273"/>
  <c r="G249" i="273"/>
  <c r="I248" i="273"/>
  <c r="H248" i="273"/>
  <c r="G248" i="273"/>
  <c r="I247" i="273"/>
  <c r="H247" i="273"/>
  <c r="G247" i="273"/>
  <c r="I246" i="273"/>
  <c r="H246" i="273"/>
  <c r="G246" i="273"/>
  <c r="I245" i="273"/>
  <c r="H245" i="273"/>
  <c r="G245" i="273"/>
  <c r="I244" i="273"/>
  <c r="H244" i="273"/>
  <c r="G244" i="273"/>
  <c r="I243" i="273"/>
  <c r="H243" i="273"/>
  <c r="G243" i="273"/>
  <c r="I242" i="273"/>
  <c r="H242" i="273"/>
  <c r="G242" i="273"/>
  <c r="I241" i="273"/>
  <c r="H241" i="273"/>
  <c r="G241" i="273"/>
  <c r="I240" i="273"/>
  <c r="H240" i="273"/>
  <c r="G240" i="273"/>
  <c r="I239" i="273"/>
  <c r="H239" i="273"/>
  <c r="G239" i="273"/>
  <c r="I238" i="273"/>
  <c r="H238" i="273"/>
  <c r="G238" i="273"/>
  <c r="I232" i="273"/>
  <c r="H232" i="273"/>
  <c r="G232" i="273"/>
  <c r="I231" i="273"/>
  <c r="H231" i="273"/>
  <c r="G231" i="273"/>
  <c r="I230" i="273"/>
  <c r="H230" i="273"/>
  <c r="G230" i="273"/>
  <c r="I229" i="273"/>
  <c r="H229" i="273"/>
  <c r="G229" i="273"/>
  <c r="I228" i="273"/>
  <c r="H228" i="273"/>
  <c r="G228" i="273"/>
  <c r="I227" i="273"/>
  <c r="H227" i="273"/>
  <c r="G227" i="273"/>
  <c r="I226" i="273"/>
  <c r="H226" i="273"/>
  <c r="G226" i="273"/>
  <c r="I225" i="273"/>
  <c r="H225" i="273"/>
  <c r="G225" i="273"/>
  <c r="I224" i="273"/>
  <c r="H224" i="273"/>
  <c r="G224" i="273"/>
  <c r="I223" i="273"/>
  <c r="H223" i="273"/>
  <c r="G223" i="273"/>
  <c r="I222" i="273"/>
  <c r="H222" i="273"/>
  <c r="G222" i="273"/>
  <c r="I221" i="273"/>
  <c r="H221" i="273"/>
  <c r="G221" i="273"/>
  <c r="I220" i="273"/>
  <c r="H220" i="273"/>
  <c r="G220" i="273"/>
  <c r="I214" i="273"/>
  <c r="H214" i="273"/>
  <c r="G214" i="273"/>
  <c r="I213" i="273"/>
  <c r="H213" i="273"/>
  <c r="G213" i="273"/>
  <c r="I212" i="273"/>
  <c r="H212" i="273"/>
  <c r="G212" i="273"/>
  <c r="I211" i="273"/>
  <c r="H211" i="273"/>
  <c r="G211" i="273"/>
  <c r="I210" i="273"/>
  <c r="H210" i="273"/>
  <c r="G210" i="273"/>
  <c r="I209" i="273"/>
  <c r="H209" i="273"/>
  <c r="G209" i="273"/>
  <c r="I208" i="273"/>
  <c r="H208" i="273"/>
  <c r="G208" i="273"/>
  <c r="I207" i="273"/>
  <c r="H207" i="273"/>
  <c r="G207" i="273"/>
  <c r="I206" i="273"/>
  <c r="H206" i="273"/>
  <c r="G206" i="273"/>
  <c r="I205" i="273"/>
  <c r="H205" i="273"/>
  <c r="G205" i="273"/>
  <c r="I204" i="273"/>
  <c r="H204" i="273"/>
  <c r="G204" i="273"/>
  <c r="I203" i="273"/>
  <c r="H203" i="273"/>
  <c r="G203" i="273"/>
  <c r="I202" i="273"/>
  <c r="H202" i="273"/>
  <c r="G202" i="273"/>
  <c r="I196" i="273"/>
  <c r="H196" i="273"/>
  <c r="G196" i="273"/>
  <c r="I195" i="273"/>
  <c r="H195" i="273"/>
  <c r="G195" i="273"/>
  <c r="I194" i="273"/>
  <c r="H194" i="273"/>
  <c r="G194" i="273"/>
  <c r="I193" i="273"/>
  <c r="H193" i="273"/>
  <c r="G193" i="273"/>
  <c r="I192" i="273"/>
  <c r="H192" i="273"/>
  <c r="G192" i="273"/>
  <c r="I191" i="273"/>
  <c r="H191" i="273"/>
  <c r="G191" i="273"/>
  <c r="I190" i="273"/>
  <c r="H190" i="273"/>
  <c r="G190" i="273"/>
  <c r="I189" i="273"/>
  <c r="H189" i="273"/>
  <c r="G189" i="273"/>
  <c r="I188" i="273"/>
  <c r="H188" i="273"/>
  <c r="G188" i="273"/>
  <c r="I187" i="273"/>
  <c r="H187" i="273"/>
  <c r="G187" i="273"/>
  <c r="I186" i="273"/>
  <c r="H186" i="273"/>
  <c r="G186" i="273"/>
  <c r="I185" i="273"/>
  <c r="H185" i="273"/>
  <c r="G185" i="273"/>
  <c r="I184" i="273"/>
  <c r="H184" i="273"/>
  <c r="G184" i="273"/>
  <c r="I178" i="273"/>
  <c r="H178" i="273"/>
  <c r="G178" i="273"/>
  <c r="I177" i="273"/>
  <c r="H177" i="273"/>
  <c r="G177" i="273"/>
  <c r="I176" i="273"/>
  <c r="H176" i="273"/>
  <c r="G176" i="273"/>
  <c r="I175" i="273"/>
  <c r="H175" i="273"/>
  <c r="G175" i="273"/>
  <c r="I174" i="273"/>
  <c r="H174" i="273"/>
  <c r="G174" i="273"/>
  <c r="I173" i="273"/>
  <c r="H173" i="273"/>
  <c r="G173" i="273"/>
  <c r="I172" i="273"/>
  <c r="H172" i="273"/>
  <c r="G172" i="273"/>
  <c r="I171" i="273"/>
  <c r="H171" i="273"/>
  <c r="G171" i="273"/>
  <c r="I170" i="273"/>
  <c r="H170" i="273"/>
  <c r="G170" i="273"/>
  <c r="I169" i="273"/>
  <c r="H169" i="273"/>
  <c r="G169" i="273"/>
  <c r="I168" i="273"/>
  <c r="H168" i="273"/>
  <c r="G168" i="273"/>
  <c r="I167" i="273"/>
  <c r="H167" i="273"/>
  <c r="G167" i="273"/>
  <c r="I166" i="273"/>
  <c r="H166" i="273"/>
  <c r="G166" i="273"/>
  <c r="I160" i="273"/>
  <c r="H160" i="273"/>
  <c r="G160" i="273"/>
  <c r="I159" i="273"/>
  <c r="H159" i="273"/>
  <c r="G159" i="273"/>
  <c r="I158" i="273"/>
  <c r="H158" i="273"/>
  <c r="G158" i="273"/>
  <c r="I157" i="273"/>
  <c r="H157" i="273"/>
  <c r="G157" i="273"/>
  <c r="I156" i="273"/>
  <c r="H156" i="273"/>
  <c r="G156" i="273"/>
  <c r="I155" i="273"/>
  <c r="H155" i="273"/>
  <c r="G155" i="273"/>
  <c r="I154" i="273"/>
  <c r="H154" i="273"/>
  <c r="G154" i="273"/>
  <c r="I153" i="273"/>
  <c r="H153" i="273"/>
  <c r="G153" i="273"/>
  <c r="I152" i="273"/>
  <c r="H152" i="273"/>
  <c r="G152" i="273"/>
  <c r="I151" i="273"/>
  <c r="H151" i="273"/>
  <c r="G151" i="273"/>
  <c r="I150" i="273"/>
  <c r="H150" i="273"/>
  <c r="G150" i="273"/>
  <c r="I149" i="273"/>
  <c r="H149" i="273"/>
  <c r="G149" i="273"/>
  <c r="I148" i="273"/>
  <c r="H148" i="273"/>
  <c r="G148" i="273"/>
  <c r="I142" i="273"/>
  <c r="H142" i="273"/>
  <c r="G142" i="273"/>
  <c r="I141" i="273"/>
  <c r="H141" i="273"/>
  <c r="G141" i="273"/>
  <c r="I140" i="273"/>
  <c r="H140" i="273"/>
  <c r="G140" i="273"/>
  <c r="I139" i="273"/>
  <c r="H139" i="273"/>
  <c r="G139" i="273"/>
  <c r="I138" i="273"/>
  <c r="H138" i="273"/>
  <c r="G138" i="273"/>
  <c r="I137" i="273"/>
  <c r="H137" i="273"/>
  <c r="G137" i="273"/>
  <c r="I136" i="273"/>
  <c r="H136" i="273"/>
  <c r="G136" i="273"/>
  <c r="I135" i="273"/>
  <c r="H135" i="273"/>
  <c r="G135" i="273"/>
  <c r="I134" i="273"/>
  <c r="H134" i="273"/>
  <c r="G134" i="273"/>
  <c r="I133" i="273"/>
  <c r="H133" i="273"/>
  <c r="G133" i="273"/>
  <c r="I132" i="273"/>
  <c r="H132" i="273"/>
  <c r="G132" i="273"/>
  <c r="I131" i="273"/>
  <c r="H131" i="273"/>
  <c r="G131" i="273"/>
  <c r="I130" i="273"/>
  <c r="H130" i="273"/>
  <c r="G130" i="273"/>
  <c r="I124" i="273"/>
  <c r="H124" i="273"/>
  <c r="G124" i="273"/>
  <c r="I123" i="273"/>
  <c r="H123" i="273"/>
  <c r="G123" i="273"/>
  <c r="I122" i="273"/>
  <c r="H122" i="273"/>
  <c r="G122" i="273"/>
  <c r="I121" i="273"/>
  <c r="H121" i="273"/>
  <c r="G121" i="273"/>
  <c r="I120" i="273"/>
  <c r="H120" i="273"/>
  <c r="G120" i="273"/>
  <c r="I119" i="273"/>
  <c r="H119" i="273"/>
  <c r="G119" i="273"/>
  <c r="I118" i="273"/>
  <c r="H118" i="273"/>
  <c r="G118" i="273"/>
  <c r="I117" i="273"/>
  <c r="H117" i="273"/>
  <c r="G117" i="273"/>
  <c r="I116" i="273"/>
  <c r="H116" i="273"/>
  <c r="G116" i="273"/>
  <c r="I115" i="273"/>
  <c r="H115" i="273"/>
  <c r="G115" i="273"/>
  <c r="I114" i="273"/>
  <c r="H114" i="273"/>
  <c r="G114" i="273"/>
  <c r="I113" i="273"/>
  <c r="H113" i="273"/>
  <c r="G113" i="273"/>
  <c r="I112" i="273"/>
  <c r="H112" i="273"/>
  <c r="G112" i="273"/>
  <c r="I106" i="273"/>
  <c r="H106" i="273"/>
  <c r="G106" i="273"/>
  <c r="I105" i="273"/>
  <c r="H105" i="273"/>
  <c r="G105" i="273"/>
  <c r="I104" i="273"/>
  <c r="H104" i="273"/>
  <c r="G104" i="273"/>
  <c r="I103" i="273"/>
  <c r="H103" i="273"/>
  <c r="G103" i="273"/>
  <c r="I102" i="273"/>
  <c r="H102" i="273"/>
  <c r="G102" i="273"/>
  <c r="I101" i="273"/>
  <c r="H101" i="273"/>
  <c r="G101" i="273"/>
  <c r="I100" i="273"/>
  <c r="H100" i="273"/>
  <c r="G100" i="273"/>
  <c r="I99" i="273"/>
  <c r="H99" i="273"/>
  <c r="G99" i="273"/>
  <c r="I98" i="273"/>
  <c r="H98" i="273"/>
  <c r="G98" i="273"/>
  <c r="I97" i="273"/>
  <c r="H97" i="273"/>
  <c r="G97" i="273"/>
  <c r="I96" i="273"/>
  <c r="H96" i="273"/>
  <c r="G96" i="273"/>
  <c r="I95" i="273"/>
  <c r="H95" i="273"/>
  <c r="G95" i="273"/>
  <c r="I94" i="273"/>
  <c r="H94" i="273"/>
  <c r="G94" i="273"/>
  <c r="I88" i="273"/>
  <c r="H88" i="273"/>
  <c r="G88" i="273"/>
  <c r="I87" i="273"/>
  <c r="H87" i="273"/>
  <c r="G87" i="273"/>
  <c r="I86" i="273"/>
  <c r="H86" i="273"/>
  <c r="G86" i="273"/>
  <c r="I85" i="273"/>
  <c r="H85" i="273"/>
  <c r="G85" i="273"/>
  <c r="I84" i="273"/>
  <c r="H84" i="273"/>
  <c r="G84" i="273"/>
  <c r="I83" i="273"/>
  <c r="H83" i="273"/>
  <c r="G83" i="273"/>
  <c r="I82" i="273"/>
  <c r="H82" i="273"/>
  <c r="G82" i="273"/>
  <c r="I81" i="273"/>
  <c r="H81" i="273"/>
  <c r="G81" i="273"/>
  <c r="I80" i="273"/>
  <c r="H80" i="273"/>
  <c r="G80" i="273"/>
  <c r="I79" i="273"/>
  <c r="H79" i="273"/>
  <c r="G79" i="273"/>
  <c r="I78" i="273"/>
  <c r="H78" i="273"/>
  <c r="G78" i="273"/>
  <c r="I77" i="273"/>
  <c r="H77" i="273"/>
  <c r="G77" i="273"/>
  <c r="I76" i="273"/>
  <c r="H76" i="273"/>
  <c r="G76" i="273"/>
  <c r="I70" i="273"/>
  <c r="H70" i="273"/>
  <c r="G70" i="273"/>
  <c r="I69" i="273"/>
  <c r="H69" i="273"/>
  <c r="G69" i="273"/>
  <c r="I68" i="273"/>
  <c r="H68" i="273"/>
  <c r="G68" i="273"/>
  <c r="I67" i="273"/>
  <c r="H67" i="273"/>
  <c r="G67" i="273"/>
  <c r="I66" i="273"/>
  <c r="H66" i="273"/>
  <c r="G66" i="273"/>
  <c r="I65" i="273"/>
  <c r="H65" i="273"/>
  <c r="G65" i="273"/>
  <c r="I64" i="273"/>
  <c r="H64" i="273"/>
  <c r="G64" i="273"/>
  <c r="I63" i="273"/>
  <c r="H63" i="273"/>
  <c r="G63" i="273"/>
  <c r="I62" i="273"/>
  <c r="H62" i="273"/>
  <c r="G62" i="273"/>
  <c r="I61" i="273"/>
  <c r="H61" i="273"/>
  <c r="G61" i="273"/>
  <c r="I60" i="273"/>
  <c r="H60" i="273"/>
  <c r="G60" i="273"/>
  <c r="I59" i="273"/>
  <c r="H59" i="273"/>
  <c r="G59" i="273"/>
  <c r="I58" i="273"/>
  <c r="H58" i="273"/>
  <c r="G58" i="273"/>
  <c r="I53" i="273"/>
  <c r="H53" i="273"/>
  <c r="G53" i="273"/>
  <c r="I52" i="273"/>
  <c r="H52" i="273"/>
  <c r="G52" i="273"/>
  <c r="I51" i="273"/>
  <c r="H51" i="273"/>
  <c r="G51" i="273"/>
  <c r="I50" i="273"/>
  <c r="H50" i="273"/>
  <c r="G50" i="273"/>
  <c r="I49" i="273"/>
  <c r="H49" i="273"/>
  <c r="G49" i="273"/>
  <c r="I48" i="273"/>
  <c r="H48" i="273"/>
  <c r="G48" i="273"/>
  <c r="I47" i="273"/>
  <c r="H47" i="273"/>
  <c r="G47" i="273"/>
  <c r="I46" i="273"/>
  <c r="H46" i="273"/>
  <c r="G46" i="273"/>
  <c r="I45" i="273"/>
  <c r="H45" i="273"/>
  <c r="G45" i="273"/>
  <c r="I44" i="273"/>
  <c r="H44" i="273"/>
  <c r="G44" i="273"/>
  <c r="I43" i="273"/>
  <c r="H43" i="273"/>
  <c r="G43" i="273"/>
  <c r="I42" i="273"/>
  <c r="H42" i="273"/>
  <c r="G42" i="273"/>
  <c r="I41" i="273"/>
  <c r="H41" i="273"/>
  <c r="G41" i="273"/>
  <c r="G29" i="273"/>
  <c r="G12" i="273"/>
  <c r="I36" i="273"/>
  <c r="H36" i="273"/>
  <c r="G36" i="273"/>
  <c r="I35" i="273"/>
  <c r="H35" i="273"/>
  <c r="G35" i="273"/>
  <c r="I34" i="273"/>
  <c r="H34" i="273"/>
  <c r="G34" i="273"/>
  <c r="I33" i="273"/>
  <c r="H33" i="273"/>
  <c r="G33" i="273"/>
  <c r="I32" i="273"/>
  <c r="H32" i="273"/>
  <c r="G32" i="273"/>
  <c r="I31" i="273"/>
  <c r="H31" i="273"/>
  <c r="G31" i="273"/>
  <c r="I30" i="273"/>
  <c r="H30" i="273"/>
  <c r="G30" i="273"/>
  <c r="I29" i="273"/>
  <c r="H29" i="273"/>
  <c r="I28" i="273"/>
  <c r="H28" i="273"/>
  <c r="G28" i="273"/>
  <c r="I27" i="273"/>
  <c r="H27" i="273"/>
  <c r="G27" i="273"/>
  <c r="I26" i="273"/>
  <c r="H26" i="273"/>
  <c r="G26" i="273"/>
  <c r="I25" i="273"/>
  <c r="H25" i="273"/>
  <c r="G25" i="273"/>
  <c r="I24" i="273"/>
  <c r="H24" i="273"/>
  <c r="G24" i="273"/>
  <c r="I19" i="273"/>
  <c r="I18" i="273"/>
  <c r="I17" i="273"/>
  <c r="I16" i="273"/>
  <c r="I15" i="273"/>
  <c r="I14" i="273"/>
  <c r="I13" i="273"/>
  <c r="I12" i="273"/>
  <c r="I11" i="273"/>
  <c r="I10" i="273"/>
  <c r="I9" i="273"/>
  <c r="I8" i="273"/>
  <c r="I7" i="273"/>
  <c r="H7" i="273"/>
  <c r="G7" i="273"/>
  <c r="G19" i="273"/>
  <c r="G18" i="273"/>
  <c r="G17" i="273"/>
  <c r="G16" i="273"/>
  <c r="G15" i="273"/>
  <c r="G14" i="273"/>
  <c r="G13" i="273"/>
  <c r="H19" i="273"/>
  <c r="H18" i="273"/>
  <c r="H17" i="273"/>
  <c r="H16" i="273"/>
  <c r="H15" i="273"/>
  <c r="H14" i="273"/>
  <c r="H13" i="273"/>
  <c r="H12" i="273"/>
  <c r="H11" i="273"/>
  <c r="H10" i="273"/>
  <c r="H9" i="273"/>
  <c r="H8" i="273"/>
  <c r="G11" i="273"/>
  <c r="G10" i="273"/>
  <c r="G9" i="273"/>
  <c r="G8" i="273"/>
  <c r="U329" i="273"/>
  <c r="U332" i="273" s="1"/>
  <c r="U311" i="273"/>
  <c r="U314" i="273" s="1"/>
  <c r="U278" i="273"/>
  <c r="U239" i="273"/>
  <c r="U242" i="273" s="1"/>
  <c r="U221" i="273"/>
  <c r="U224" i="273" s="1"/>
  <c r="U203" i="273"/>
  <c r="U206" i="273" s="1"/>
  <c r="U185" i="273"/>
  <c r="U188" i="273" s="1"/>
  <c r="U167" i="273"/>
  <c r="U170" i="273" s="1"/>
  <c r="U149" i="273"/>
  <c r="U134" i="273"/>
  <c r="U113" i="273"/>
  <c r="E107" i="273"/>
  <c r="C107" i="273"/>
  <c r="U95" i="273"/>
  <c r="C103" i="273" s="1"/>
  <c r="B133" i="273" s="1"/>
  <c r="U77" i="273"/>
  <c r="U59" i="273"/>
  <c r="C102" i="273" s="1"/>
  <c r="C133" i="273" s="1"/>
  <c r="U42" i="273"/>
  <c r="C100" i="273" s="1"/>
  <c r="U25" i="273"/>
  <c r="C101" i="273" s="1"/>
  <c r="E14" i="272"/>
  <c r="D14" i="272"/>
  <c r="C14" i="272"/>
  <c r="E13" i="272"/>
  <c r="D13" i="272"/>
  <c r="C13" i="272"/>
  <c r="E11" i="272"/>
  <c r="E21" i="272" s="1"/>
  <c r="D11" i="272"/>
  <c r="D21" i="272" s="1"/>
  <c r="C11" i="272"/>
  <c r="E10" i="272"/>
  <c r="E20" i="272" s="1"/>
  <c r="D10" i="272"/>
  <c r="D20" i="272" s="1"/>
  <c r="C10" i="272"/>
  <c r="F7" i="272"/>
  <c r="D26" i="272" s="1"/>
  <c r="F6" i="272"/>
  <c r="C26" i="272" s="1"/>
  <c r="F5" i="272"/>
  <c r="D25" i="272" s="1"/>
  <c r="F4" i="272"/>
  <c r="C25" i="272" s="1"/>
  <c r="J14" i="278" l="1"/>
  <c r="J15" i="278" s="1"/>
  <c r="C15" i="275"/>
  <c r="K25" i="282"/>
  <c r="K32" i="282" s="1"/>
  <c r="E22" i="272"/>
  <c r="D133" i="273"/>
  <c r="D136" i="273" s="1"/>
  <c r="C89" i="273"/>
  <c r="C27" i="272"/>
  <c r="C21" i="272"/>
  <c r="F11" i="272"/>
  <c r="P6" i="275"/>
  <c r="B21" i="275"/>
  <c r="C20" i="272"/>
  <c r="F10" i="272"/>
  <c r="I9" i="275"/>
  <c r="B24" i="275"/>
  <c r="D27" i="272"/>
  <c r="D22" i="272"/>
  <c r="F14" i="272"/>
  <c r="O9" i="275"/>
  <c r="A24" i="275"/>
  <c r="O7" i="275"/>
  <c r="A22" i="275"/>
  <c r="L28" i="282"/>
  <c r="O8" i="275"/>
  <c r="A23" i="275"/>
  <c r="P7" i="275"/>
  <c r="B22" i="275"/>
  <c r="F13" i="272"/>
  <c r="C98" i="273"/>
  <c r="O6" i="275"/>
  <c r="A21" i="275"/>
  <c r="P8" i="275"/>
  <c r="B23" i="275"/>
  <c r="N28" i="282"/>
  <c r="N34" i="282" s="1"/>
  <c r="M26" i="282"/>
  <c r="N26" i="282"/>
  <c r="K27" i="282"/>
  <c r="M28" i="282"/>
  <c r="L25" i="282"/>
  <c r="L24" i="282"/>
  <c r="K28" i="282"/>
  <c r="K34" i="282" s="1"/>
  <c r="L27" i="282"/>
  <c r="M25" i="282"/>
  <c r="M37" i="282" s="1"/>
  <c r="U27" i="282" s="1"/>
  <c r="N25" i="282"/>
  <c r="G36" i="282"/>
  <c r="G37" i="282"/>
  <c r="G33" i="282"/>
  <c r="G32" i="282"/>
  <c r="G30" i="282"/>
  <c r="G34" i="282"/>
  <c r="I16" i="281"/>
  <c r="I15" i="281"/>
  <c r="J15" i="281"/>
  <c r="J14" i="281"/>
  <c r="E17" i="281"/>
  <c r="H16" i="281"/>
  <c r="H15" i="281"/>
  <c r="I14" i="281"/>
  <c r="H14" i="281"/>
  <c r="G14" i="278"/>
  <c r="H12" i="278"/>
  <c r="H14" i="278"/>
  <c r="H13" i="278"/>
  <c r="I14" i="278"/>
  <c r="I12" i="278"/>
  <c r="G13" i="278"/>
  <c r="I13" i="278"/>
  <c r="E15" i="278"/>
  <c r="E13" i="275"/>
  <c r="J314" i="273"/>
  <c r="L314" i="273" s="1"/>
  <c r="J332" i="273"/>
  <c r="L332" i="273" s="1"/>
  <c r="J296" i="273"/>
  <c r="L296" i="273" s="1"/>
  <c r="J98" i="273"/>
  <c r="L98" i="273" s="1"/>
  <c r="J170" i="273"/>
  <c r="L170" i="273" s="1"/>
  <c r="J337" i="273"/>
  <c r="L337" i="273" s="1"/>
  <c r="J175" i="273"/>
  <c r="L175" i="273" s="1"/>
  <c r="J227" i="273"/>
  <c r="L227" i="273" s="1"/>
  <c r="J191" i="273"/>
  <c r="L191" i="273" s="1"/>
  <c r="J173" i="273"/>
  <c r="L173" i="273" s="1"/>
  <c r="J14" i="273"/>
  <c r="M14" i="273" s="1"/>
  <c r="O14" i="273" s="1"/>
  <c r="J119" i="273"/>
  <c r="L119" i="273" s="1"/>
  <c r="J65" i="273"/>
  <c r="L65" i="273" s="1"/>
  <c r="D38" i="273"/>
  <c r="J281" i="273"/>
  <c r="L281" i="273" s="1"/>
  <c r="J137" i="273"/>
  <c r="L137" i="273" s="1"/>
  <c r="J83" i="273"/>
  <c r="L83" i="273" s="1"/>
  <c r="J48" i="273"/>
  <c r="L48" i="273" s="1"/>
  <c r="J31" i="273"/>
  <c r="L31" i="273" s="1"/>
  <c r="J335" i="273"/>
  <c r="L335" i="273" s="1"/>
  <c r="J299" i="273"/>
  <c r="L299" i="273" s="1"/>
  <c r="J245" i="273"/>
  <c r="L245" i="273" s="1"/>
  <c r="J209" i="273"/>
  <c r="L209" i="273" s="1"/>
  <c r="J101" i="273"/>
  <c r="L101" i="273" s="1"/>
  <c r="J317" i="273"/>
  <c r="L317" i="273" s="1"/>
  <c r="J263" i="273"/>
  <c r="L263" i="273" s="1"/>
  <c r="J155" i="273"/>
  <c r="L155" i="273" s="1"/>
  <c r="D42" i="273"/>
  <c r="D67" i="273" s="1"/>
  <c r="M225" i="273" s="1"/>
  <c r="M231" i="273" s="1"/>
  <c r="J285" i="273"/>
  <c r="L285" i="273" s="1"/>
  <c r="J249" i="273"/>
  <c r="L249" i="273" s="1"/>
  <c r="J141" i="273"/>
  <c r="L141" i="273" s="1"/>
  <c r="J87" i="273"/>
  <c r="L87" i="273" s="1"/>
  <c r="J52" i="273"/>
  <c r="L52" i="273" s="1"/>
  <c r="J35" i="273"/>
  <c r="L35" i="273" s="1"/>
  <c r="J195" i="273"/>
  <c r="L195" i="273" s="1"/>
  <c r="J18" i="273"/>
  <c r="M18" i="273" s="1"/>
  <c r="O18" i="273" s="1"/>
  <c r="J339" i="273"/>
  <c r="L339" i="273" s="1"/>
  <c r="J303" i="273"/>
  <c r="L303" i="273" s="1"/>
  <c r="J213" i="273"/>
  <c r="L213" i="273" s="1"/>
  <c r="J177" i="273"/>
  <c r="L177" i="273" s="1"/>
  <c r="J105" i="273"/>
  <c r="L105" i="273" s="1"/>
  <c r="J321" i="273"/>
  <c r="L321" i="273" s="1"/>
  <c r="J267" i="273"/>
  <c r="L267" i="273" s="1"/>
  <c r="J159" i="273"/>
  <c r="L159" i="273" s="1"/>
  <c r="J123" i="273"/>
  <c r="L123" i="273" s="1"/>
  <c r="J69" i="273"/>
  <c r="L69" i="273" s="1"/>
  <c r="J231" i="273"/>
  <c r="L231" i="273" s="1"/>
  <c r="J313" i="273"/>
  <c r="L313" i="273" s="1"/>
  <c r="J331" i="273"/>
  <c r="L331" i="273" s="1"/>
  <c r="J295" i="273"/>
  <c r="L295" i="273" s="1"/>
  <c r="J259" i="273"/>
  <c r="L259" i="273" s="1"/>
  <c r="J151" i="273"/>
  <c r="L151" i="273" s="1"/>
  <c r="J115" i="273"/>
  <c r="L115" i="273" s="1"/>
  <c r="J97" i="273"/>
  <c r="L97" i="273" s="1"/>
  <c r="J61" i="273"/>
  <c r="L61" i="273" s="1"/>
  <c r="J241" i="273"/>
  <c r="L241" i="273" s="1"/>
  <c r="J223" i="273"/>
  <c r="L223" i="273" s="1"/>
  <c r="J187" i="273"/>
  <c r="L187" i="273" s="1"/>
  <c r="J27" i="273"/>
  <c r="L27" i="273" s="1"/>
  <c r="J10" i="273"/>
  <c r="D34" i="273"/>
  <c r="J277" i="273"/>
  <c r="L277" i="273" s="1"/>
  <c r="J169" i="273"/>
  <c r="L169" i="273" s="1"/>
  <c r="J133" i="273"/>
  <c r="L133" i="273" s="1"/>
  <c r="J79" i="273"/>
  <c r="L79" i="273" s="1"/>
  <c r="J44" i="273"/>
  <c r="L44" i="273" s="1"/>
  <c r="J205" i="273"/>
  <c r="L205" i="273" s="1"/>
  <c r="J318" i="273"/>
  <c r="L318" i="273" s="1"/>
  <c r="J174" i="273"/>
  <c r="L174" i="273" s="1"/>
  <c r="J246" i="273"/>
  <c r="L246" i="273" s="1"/>
  <c r="J322" i="273"/>
  <c r="L322" i="273" s="1"/>
  <c r="J340" i="273"/>
  <c r="L340" i="273" s="1"/>
  <c r="J304" i="273"/>
  <c r="L304" i="273" s="1"/>
  <c r="J106" i="273"/>
  <c r="L106" i="273" s="1"/>
  <c r="E8" i="272"/>
  <c r="F8" i="272" s="1"/>
  <c r="L9" i="272"/>
  <c r="D11" i="273" s="1"/>
  <c r="J30" i="273" s="1"/>
  <c r="L30" i="273" s="1"/>
  <c r="J8" i="273"/>
  <c r="J232" i="273"/>
  <c r="L232" i="273" s="1"/>
  <c r="J300" i="273"/>
  <c r="L300" i="273" s="1"/>
  <c r="J171" i="273"/>
  <c r="L171" i="273" s="1"/>
  <c r="J84" i="273"/>
  <c r="L84" i="273" s="1"/>
  <c r="J102" i="273"/>
  <c r="L102" i="273" s="1"/>
  <c r="J156" i="273"/>
  <c r="L156" i="273" s="1"/>
  <c r="J224" i="273"/>
  <c r="L224" i="273" s="1"/>
  <c r="J242" i="273"/>
  <c r="L242" i="273" s="1"/>
  <c r="J250" i="273"/>
  <c r="L250" i="273" s="1"/>
  <c r="J311" i="273"/>
  <c r="L311" i="273" s="1"/>
  <c r="J59" i="273"/>
  <c r="L59" i="273" s="1"/>
  <c r="J95" i="273"/>
  <c r="L95" i="273" s="1"/>
  <c r="J96" i="273"/>
  <c r="L96" i="273" s="1"/>
  <c r="J99" i="273"/>
  <c r="L99" i="273" s="1"/>
  <c r="J100" i="273"/>
  <c r="L100" i="273" s="1"/>
  <c r="J103" i="273"/>
  <c r="L103" i="273" s="1"/>
  <c r="J104" i="273"/>
  <c r="L104" i="273" s="1"/>
  <c r="J167" i="273"/>
  <c r="L167" i="273" s="1"/>
  <c r="J190" i="273"/>
  <c r="L190" i="273" s="1"/>
  <c r="J80" i="273"/>
  <c r="L80" i="273" s="1"/>
  <c r="J88" i="273"/>
  <c r="L88" i="273" s="1"/>
  <c r="J152" i="273"/>
  <c r="L152" i="273" s="1"/>
  <c r="J160" i="273"/>
  <c r="L160" i="273" s="1"/>
  <c r="J178" i="273"/>
  <c r="L178" i="273" s="1"/>
  <c r="J228" i="273"/>
  <c r="L228" i="273" s="1"/>
  <c r="J336" i="273"/>
  <c r="L336" i="273" s="1"/>
  <c r="J320" i="273"/>
  <c r="L320" i="273" s="1"/>
  <c r="J284" i="273"/>
  <c r="L284" i="273" s="1"/>
  <c r="J266" i="273"/>
  <c r="L266" i="273" s="1"/>
  <c r="J194" i="273"/>
  <c r="L194" i="273" s="1"/>
  <c r="J122" i="273"/>
  <c r="L122" i="273" s="1"/>
  <c r="J51" i="273"/>
  <c r="L51" i="273" s="1"/>
  <c r="J302" i="273"/>
  <c r="D41" i="273"/>
  <c r="J230" i="273"/>
  <c r="L230" i="273" s="1"/>
  <c r="J140" i="273"/>
  <c r="L140" i="273" s="1"/>
  <c r="J86" i="273"/>
  <c r="L86" i="273" s="1"/>
  <c r="J338" i="273"/>
  <c r="L338" i="273" s="1"/>
  <c r="J248" i="273"/>
  <c r="L248" i="273" s="1"/>
  <c r="J212" i="273"/>
  <c r="L212" i="273" s="1"/>
  <c r="J158" i="273"/>
  <c r="L158" i="273" s="1"/>
  <c r="J34" i="273"/>
  <c r="L34" i="273" s="1"/>
  <c r="J17" i="273"/>
  <c r="M17" i="273" s="1"/>
  <c r="P17" i="273" s="1"/>
  <c r="Q17" i="273" s="1"/>
  <c r="J176" i="273"/>
  <c r="L176" i="273" s="1"/>
  <c r="J276" i="273"/>
  <c r="L276" i="273" s="1"/>
  <c r="J258" i="273"/>
  <c r="L258" i="273" s="1"/>
  <c r="J222" i="273"/>
  <c r="L222" i="273" s="1"/>
  <c r="J186" i="273"/>
  <c r="L186" i="273" s="1"/>
  <c r="J150" i="273"/>
  <c r="L150" i="273" s="1"/>
  <c r="J114" i="273"/>
  <c r="L114" i="273" s="1"/>
  <c r="J78" i="273"/>
  <c r="L78" i="273" s="1"/>
  <c r="J43" i="273"/>
  <c r="L43" i="273" s="1"/>
  <c r="J294" i="273"/>
  <c r="L294" i="273" s="1"/>
  <c r="J204" i="273"/>
  <c r="L204" i="273" s="1"/>
  <c r="J26" i="273"/>
  <c r="L26" i="273" s="1"/>
  <c r="J168" i="273"/>
  <c r="L168" i="273" s="1"/>
  <c r="J60" i="273"/>
  <c r="L60" i="273" s="1"/>
  <c r="J330" i="273"/>
  <c r="J240" i="273"/>
  <c r="L240" i="273" s="1"/>
  <c r="J132" i="273"/>
  <c r="L132" i="273" s="1"/>
  <c r="J312" i="273"/>
  <c r="L312" i="273" s="1"/>
  <c r="J9" i="273"/>
  <c r="L9" i="273" s="1"/>
  <c r="D13" i="275"/>
  <c r="D10" i="275"/>
  <c r="D32" i="273"/>
  <c r="J257" i="273"/>
  <c r="L257" i="273" s="1"/>
  <c r="J221" i="273"/>
  <c r="L221" i="273" s="1"/>
  <c r="J185" i="273"/>
  <c r="L185" i="273" s="1"/>
  <c r="J149" i="273"/>
  <c r="L149" i="273" s="1"/>
  <c r="J113" i="273"/>
  <c r="L113" i="273" s="1"/>
  <c r="J77" i="273"/>
  <c r="L77" i="273" s="1"/>
  <c r="J42" i="273"/>
  <c r="L42" i="273" s="1"/>
  <c r="J131" i="273"/>
  <c r="L131" i="273" s="1"/>
  <c r="J239" i="273"/>
  <c r="L239" i="273" s="1"/>
  <c r="J243" i="273"/>
  <c r="J247" i="273"/>
  <c r="J329" i="273"/>
  <c r="L329" i="273" s="1"/>
  <c r="J333" i="273"/>
  <c r="L333" i="273" s="1"/>
  <c r="C12" i="275"/>
  <c r="D40" i="273"/>
  <c r="D65" i="273" s="1"/>
  <c r="J16" i="273"/>
  <c r="M16" i="273" s="1"/>
  <c r="P16" i="273" s="1"/>
  <c r="Q16" i="273" s="1"/>
  <c r="R5" i="275"/>
  <c r="D20" i="275" s="1"/>
  <c r="D33" i="275" s="1"/>
  <c r="D46" i="275" s="1"/>
  <c r="D59" i="275" s="1"/>
  <c r="D72" i="275" s="1"/>
  <c r="K5" i="275"/>
  <c r="J12" i="273"/>
  <c r="L12" i="273" s="1"/>
  <c r="J25" i="273"/>
  <c r="L25" i="273" s="1"/>
  <c r="J203" i="273"/>
  <c r="L203" i="273" s="1"/>
  <c r="J293" i="273"/>
  <c r="L293" i="273" s="1"/>
  <c r="F6" i="275"/>
  <c r="D21" i="275" s="1"/>
  <c r="C13" i="275"/>
  <c r="C10" i="275"/>
  <c r="C20" i="275"/>
  <c r="E20" i="275"/>
  <c r="P9" i="275"/>
  <c r="H9" i="275"/>
  <c r="H7" i="275"/>
  <c r="A12" i="275"/>
  <c r="A27" i="275" s="1"/>
  <c r="I7" i="275"/>
  <c r="B16" i="275"/>
  <c r="B31" i="275" s="1"/>
  <c r="E12" i="275"/>
  <c r="H6" i="275"/>
  <c r="I8" i="275"/>
  <c r="J5" i="275"/>
  <c r="A13" i="275"/>
  <c r="A28" i="275" s="1"/>
  <c r="F8" i="275"/>
  <c r="E23" i="275" s="1"/>
  <c r="D15" i="275"/>
  <c r="E15" i="275"/>
  <c r="D16" i="275"/>
  <c r="I6" i="275"/>
  <c r="H8" i="275"/>
  <c r="L5" i="275"/>
  <c r="B15" i="275"/>
  <c r="B30" i="275" s="1"/>
  <c r="F9" i="275"/>
  <c r="E10" i="275"/>
  <c r="C16" i="275"/>
  <c r="E16" i="275"/>
  <c r="F7" i="275"/>
  <c r="C22" i="275" s="1"/>
  <c r="D12" i="275"/>
  <c r="J81" i="273"/>
  <c r="L81" i="273" s="1"/>
  <c r="J157" i="273"/>
  <c r="J225" i="273"/>
  <c r="L225" i="273" s="1"/>
  <c r="J297" i="273"/>
  <c r="L297" i="273" s="1"/>
  <c r="J301" i="273"/>
  <c r="L301" i="273" s="1"/>
  <c r="J29" i="273"/>
  <c r="L29" i="273" s="1"/>
  <c r="J32" i="273"/>
  <c r="J33" i="273"/>
  <c r="J36" i="273"/>
  <c r="J62" i="273"/>
  <c r="L62" i="273" s="1"/>
  <c r="J63" i="273"/>
  <c r="J66" i="273"/>
  <c r="J67" i="273"/>
  <c r="L67" i="273" s="1"/>
  <c r="J70" i="273"/>
  <c r="L70" i="273" s="1"/>
  <c r="J134" i="273"/>
  <c r="J135" i="273"/>
  <c r="L135" i="273" s="1"/>
  <c r="J138" i="273"/>
  <c r="J139" i="273"/>
  <c r="J142" i="273"/>
  <c r="J206" i="273"/>
  <c r="L206" i="273" s="1"/>
  <c r="J207" i="273"/>
  <c r="L207" i="273" s="1"/>
  <c r="J210" i="273"/>
  <c r="J211" i="273"/>
  <c r="L211" i="273" s="1"/>
  <c r="J214" i="273"/>
  <c r="L214" i="273" s="1"/>
  <c r="J278" i="273"/>
  <c r="L278" i="273" s="1"/>
  <c r="J279" i="273"/>
  <c r="J282" i="273"/>
  <c r="L282" i="273" s="1"/>
  <c r="J283" i="273"/>
  <c r="J286" i="273"/>
  <c r="L286" i="273" s="1"/>
  <c r="D35" i="273"/>
  <c r="D39" i="273"/>
  <c r="D43" i="273"/>
  <c r="J85" i="273"/>
  <c r="L85" i="273" s="1"/>
  <c r="J153" i="273"/>
  <c r="J229" i="273"/>
  <c r="L229" i="273" s="1"/>
  <c r="J11" i="273"/>
  <c r="M11" i="273" s="1"/>
  <c r="O11" i="273" s="1"/>
  <c r="J15" i="273"/>
  <c r="J19" i="273"/>
  <c r="M19" i="273" s="1"/>
  <c r="O19" i="273" s="1"/>
  <c r="J28" i="273"/>
  <c r="J45" i="273"/>
  <c r="J46" i="273"/>
  <c r="L46" i="273" s="1"/>
  <c r="J49" i="273"/>
  <c r="L49" i="273" s="1"/>
  <c r="J50" i="273"/>
  <c r="L50" i="273" s="1"/>
  <c r="J53" i="273"/>
  <c r="J116" i="273"/>
  <c r="L116" i="273" s="1"/>
  <c r="J117" i="273"/>
  <c r="J120" i="273"/>
  <c r="L120" i="273" s="1"/>
  <c r="J121" i="273"/>
  <c r="L121" i="273" s="1"/>
  <c r="J124" i="273"/>
  <c r="L124" i="273" s="1"/>
  <c r="J188" i="273"/>
  <c r="J189" i="273"/>
  <c r="L189" i="273" s="1"/>
  <c r="J192" i="273"/>
  <c r="L192" i="273" s="1"/>
  <c r="J193" i="273"/>
  <c r="L193" i="273" s="1"/>
  <c r="J196" i="273"/>
  <c r="L196" i="273" s="1"/>
  <c r="J260" i="273"/>
  <c r="L260" i="273" s="1"/>
  <c r="J261" i="273"/>
  <c r="J264" i="273"/>
  <c r="L264" i="273" s="1"/>
  <c r="J265" i="273"/>
  <c r="L265" i="273" s="1"/>
  <c r="J268" i="273"/>
  <c r="L268" i="273" s="1"/>
  <c r="J315" i="273"/>
  <c r="L315" i="273" s="1"/>
  <c r="J319" i="273"/>
  <c r="L319" i="273" s="1"/>
  <c r="T10" i="275"/>
  <c r="E22" i="275"/>
  <c r="C106" i="273"/>
  <c r="C96" i="273"/>
  <c r="C97" i="273"/>
  <c r="C92" i="273"/>
  <c r="U98" i="273"/>
  <c r="C99" i="273"/>
  <c r="C91" i="273"/>
  <c r="U62" i="273"/>
  <c r="C94" i="273"/>
  <c r="U28" i="273"/>
  <c r="D55" i="273"/>
  <c r="U80" i="273"/>
  <c r="C104" i="273"/>
  <c r="U152" i="273"/>
  <c r="C90" i="273"/>
  <c r="U116" i="273"/>
  <c r="C105" i="273"/>
  <c r="C93" i="273"/>
  <c r="U260" i="273"/>
  <c r="U45" i="273"/>
  <c r="L68" i="273"/>
  <c r="U296" i="273"/>
  <c r="C95" i="273"/>
  <c r="L275" i="273"/>
  <c r="L302" i="273"/>
  <c r="C79" i="256"/>
  <c r="B79" i="256"/>
  <c r="D78" i="256"/>
  <c r="D77" i="256"/>
  <c r="C62" i="256"/>
  <c r="B62" i="256"/>
  <c r="D61" i="256"/>
  <c r="D60" i="256"/>
  <c r="C45" i="256"/>
  <c r="B45" i="256"/>
  <c r="D44" i="256"/>
  <c r="D43" i="256"/>
  <c r="C28" i="256"/>
  <c r="B28" i="256"/>
  <c r="D27" i="256"/>
  <c r="D26" i="256"/>
  <c r="C10" i="256"/>
  <c r="B10" i="256"/>
  <c r="D9" i="256"/>
  <c r="D8" i="256"/>
  <c r="E5" i="270"/>
  <c r="E6" i="270"/>
  <c r="E7" i="270"/>
  <c r="E4" i="270"/>
  <c r="N36" i="282" l="1"/>
  <c r="V24" i="282" s="1"/>
  <c r="K25" i="272"/>
  <c r="K26" i="272" s="1"/>
  <c r="M32" i="282"/>
  <c r="F13" i="275"/>
  <c r="C22" i="272"/>
  <c r="K20" i="272" s="1"/>
  <c r="K21" i="272" s="1"/>
  <c r="B124" i="273"/>
  <c r="B115" i="273"/>
  <c r="I23" i="275"/>
  <c r="P23" i="275" s="1"/>
  <c r="B36" i="275"/>
  <c r="B49" i="275" s="1"/>
  <c r="B62" i="275" s="1"/>
  <c r="B75" i="275" s="1"/>
  <c r="B88" i="275" s="1"/>
  <c r="B101" i="275" s="1"/>
  <c r="B114" i="275" s="1"/>
  <c r="B127" i="275" s="1"/>
  <c r="B140" i="275" s="1"/>
  <c r="B153" i="275" s="1"/>
  <c r="H23" i="275"/>
  <c r="O23" i="275" s="1"/>
  <c r="A36" i="275"/>
  <c r="A49" i="275" s="1"/>
  <c r="A62" i="275" s="1"/>
  <c r="A75" i="275" s="1"/>
  <c r="A88" i="275" s="1"/>
  <c r="A101" i="275" s="1"/>
  <c r="A114" i="275" s="1"/>
  <c r="A127" i="275" s="1"/>
  <c r="A140" i="275" s="1"/>
  <c r="A153" i="275" s="1"/>
  <c r="U29" i="282"/>
  <c r="I21" i="275"/>
  <c r="P21" i="275" s="1"/>
  <c r="B34" i="275"/>
  <c r="B47" i="275" s="1"/>
  <c r="B60" i="275" s="1"/>
  <c r="B73" i="275" s="1"/>
  <c r="B86" i="275" s="1"/>
  <c r="B99" i="275" s="1"/>
  <c r="B112" i="275" s="1"/>
  <c r="B125" i="275" s="1"/>
  <c r="B138" i="275" s="1"/>
  <c r="B151" i="275" s="1"/>
  <c r="C115" i="273"/>
  <c r="C124" i="273"/>
  <c r="A40" i="275"/>
  <c r="A53" i="275" s="1"/>
  <c r="A66" i="275" s="1"/>
  <c r="A79" i="275" s="1"/>
  <c r="A92" i="275" s="1"/>
  <c r="A105" i="275" s="1"/>
  <c r="A118" i="275" s="1"/>
  <c r="A131" i="275" s="1"/>
  <c r="A144" i="275" s="1"/>
  <c r="A157" i="275" s="1"/>
  <c r="H27" i="275"/>
  <c r="O27" i="275" s="1"/>
  <c r="H21" i="275"/>
  <c r="O21" i="275" s="1"/>
  <c r="A34" i="275"/>
  <c r="A47" i="275" s="1"/>
  <c r="A60" i="275" s="1"/>
  <c r="A73" i="275" s="1"/>
  <c r="A86" i="275" s="1"/>
  <c r="A99" i="275" s="1"/>
  <c r="A112" i="275" s="1"/>
  <c r="A125" i="275" s="1"/>
  <c r="A138" i="275" s="1"/>
  <c r="A151" i="275" s="1"/>
  <c r="I24" i="275"/>
  <c r="P24" i="275" s="1"/>
  <c r="B37" i="275"/>
  <c r="B50" i="275" s="1"/>
  <c r="B63" i="275" s="1"/>
  <c r="B76" i="275" s="1"/>
  <c r="B89" i="275" s="1"/>
  <c r="B102" i="275" s="1"/>
  <c r="B115" i="275" s="1"/>
  <c r="B128" i="275" s="1"/>
  <c r="B141" i="275" s="1"/>
  <c r="B154" i="275" s="1"/>
  <c r="B44" i="275"/>
  <c r="B57" i="275" s="1"/>
  <c r="B70" i="275" s="1"/>
  <c r="B83" i="275" s="1"/>
  <c r="B96" i="275" s="1"/>
  <c r="B109" i="275" s="1"/>
  <c r="B122" i="275" s="1"/>
  <c r="B135" i="275" s="1"/>
  <c r="B148" i="275" s="1"/>
  <c r="B161" i="275" s="1"/>
  <c r="I31" i="275"/>
  <c r="P31" i="275" s="1"/>
  <c r="H22" i="275"/>
  <c r="O22" i="275" s="1"/>
  <c r="A35" i="275"/>
  <c r="A48" i="275" s="1"/>
  <c r="A61" i="275" s="1"/>
  <c r="A74" i="275" s="1"/>
  <c r="A87" i="275" s="1"/>
  <c r="A100" i="275" s="1"/>
  <c r="A113" i="275" s="1"/>
  <c r="A126" i="275" s="1"/>
  <c r="A139" i="275" s="1"/>
  <c r="A152" i="275" s="1"/>
  <c r="B43" i="275"/>
  <c r="B56" i="275" s="1"/>
  <c r="B69" i="275" s="1"/>
  <c r="B82" i="275" s="1"/>
  <c r="B95" i="275" s="1"/>
  <c r="B108" i="275" s="1"/>
  <c r="B121" i="275" s="1"/>
  <c r="B134" i="275" s="1"/>
  <c r="B147" i="275" s="1"/>
  <c r="B160" i="275" s="1"/>
  <c r="I30" i="275"/>
  <c r="P30" i="275" s="1"/>
  <c r="A41" i="275"/>
  <c r="A54" i="275" s="1"/>
  <c r="A67" i="275" s="1"/>
  <c r="A80" i="275" s="1"/>
  <c r="A93" i="275" s="1"/>
  <c r="A106" i="275" s="1"/>
  <c r="A119" i="275" s="1"/>
  <c r="A132" i="275" s="1"/>
  <c r="A145" i="275" s="1"/>
  <c r="A158" i="275" s="1"/>
  <c r="H28" i="275"/>
  <c r="O28" i="275" s="1"/>
  <c r="I22" i="275"/>
  <c r="P22" i="275" s="1"/>
  <c r="B35" i="275"/>
  <c r="B48" i="275" s="1"/>
  <c r="B61" i="275" s="1"/>
  <c r="B74" i="275" s="1"/>
  <c r="B87" i="275" s="1"/>
  <c r="B100" i="275" s="1"/>
  <c r="B113" i="275" s="1"/>
  <c r="B126" i="275" s="1"/>
  <c r="B139" i="275" s="1"/>
  <c r="B152" i="275" s="1"/>
  <c r="H24" i="275"/>
  <c r="O24" i="275" s="1"/>
  <c r="A37" i="275"/>
  <c r="A50" i="275" s="1"/>
  <c r="A63" i="275" s="1"/>
  <c r="A76" i="275" s="1"/>
  <c r="A89" i="275" s="1"/>
  <c r="A102" i="275" s="1"/>
  <c r="A115" i="275" s="1"/>
  <c r="A128" i="275" s="1"/>
  <c r="A141" i="275" s="1"/>
  <c r="A154" i="275" s="1"/>
  <c r="L37" i="282"/>
  <c r="T29" i="282" s="1"/>
  <c r="K36" i="282"/>
  <c r="O25" i="282"/>
  <c r="L32" i="282"/>
  <c r="U25" i="282"/>
  <c r="O24" i="282"/>
  <c r="L36" i="282"/>
  <c r="T26" i="282" s="1"/>
  <c r="M33" i="282"/>
  <c r="N32" i="282"/>
  <c r="N30" i="282"/>
  <c r="M34" i="282"/>
  <c r="O27" i="282"/>
  <c r="K37" i="282"/>
  <c r="M36" i="282"/>
  <c r="U28" i="282" s="1"/>
  <c r="L34" i="282"/>
  <c r="K33" i="282"/>
  <c r="O26" i="282"/>
  <c r="L30" i="282"/>
  <c r="K30" i="282"/>
  <c r="L33" i="282"/>
  <c r="N37" i="282"/>
  <c r="M30" i="282"/>
  <c r="O29" i="282"/>
  <c r="O28" i="282"/>
  <c r="N33" i="282"/>
  <c r="I15" i="278"/>
  <c r="H17" i="281"/>
  <c r="K14" i="281"/>
  <c r="I17" i="281"/>
  <c r="K15" i="281"/>
  <c r="J17" i="281"/>
  <c r="K16" i="281"/>
  <c r="H15" i="278"/>
  <c r="K14" i="278"/>
  <c r="D19" i="278" s="1"/>
  <c r="K13" i="278"/>
  <c r="A18" i="278" s="1"/>
  <c r="K12" i="278"/>
  <c r="D17" i="278" s="1"/>
  <c r="G15" i="278"/>
  <c r="F16" i="275"/>
  <c r="F15" i="275"/>
  <c r="F12" i="275"/>
  <c r="D85" i="275"/>
  <c r="D98" i="275" s="1"/>
  <c r="D111" i="275" s="1"/>
  <c r="D124" i="275" s="1"/>
  <c r="D137" i="275" s="1"/>
  <c r="D150" i="275" s="1"/>
  <c r="K20" i="275"/>
  <c r="K33" i="275" s="1"/>
  <c r="K46" i="275" s="1"/>
  <c r="K59" i="275" s="1"/>
  <c r="K72" i="275" s="1"/>
  <c r="K85" i="275" s="1"/>
  <c r="K98" i="275" s="1"/>
  <c r="K111" i="275" s="1"/>
  <c r="K124" i="275" s="1"/>
  <c r="K137" i="275" s="1"/>
  <c r="K150" i="275" s="1"/>
  <c r="D59" i="273"/>
  <c r="M247" i="273" s="1"/>
  <c r="D83" i="273"/>
  <c r="M117" i="273" s="1"/>
  <c r="J118" i="273"/>
  <c r="L118" i="273" s="1"/>
  <c r="J316" i="273"/>
  <c r="L316" i="273" s="1"/>
  <c r="J208" i="273"/>
  <c r="L208" i="273" s="1"/>
  <c r="L11" i="273"/>
  <c r="R11" i="273" s="1"/>
  <c r="J244" i="273"/>
  <c r="L244" i="273" s="1"/>
  <c r="P18" i="273"/>
  <c r="Q18" i="273" s="1"/>
  <c r="J334" i="273"/>
  <c r="L334" i="273" s="1"/>
  <c r="L17" i="273"/>
  <c r="L18" i="273"/>
  <c r="R18" i="273" s="1"/>
  <c r="L14" i="273"/>
  <c r="R14" i="273" s="1"/>
  <c r="J13" i="273"/>
  <c r="J262" i="273"/>
  <c r="J154" i="273"/>
  <c r="J64" i="273"/>
  <c r="J280" i="273"/>
  <c r="L280" i="273" s="1"/>
  <c r="L16" i="272"/>
  <c r="L10" i="273"/>
  <c r="M10" i="273"/>
  <c r="D64" i="273"/>
  <c r="M222" i="273" s="1"/>
  <c r="J82" i="273"/>
  <c r="L82" i="273" s="1"/>
  <c r="D37" i="273"/>
  <c r="D44" i="273" s="1"/>
  <c r="J298" i="273"/>
  <c r="L16" i="273"/>
  <c r="P14" i="273"/>
  <c r="Q14" i="273" s="1"/>
  <c r="D18" i="273"/>
  <c r="K204" i="273" s="1"/>
  <c r="J172" i="273"/>
  <c r="J47" i="273"/>
  <c r="L47" i="273" s="1"/>
  <c r="J226" i="273"/>
  <c r="L226" i="273" s="1"/>
  <c r="J136" i="273"/>
  <c r="D22" i="275"/>
  <c r="D27" i="275" s="1"/>
  <c r="K21" i="275" s="1"/>
  <c r="M8" i="273"/>
  <c r="D58" i="273"/>
  <c r="M246" i="273" s="1"/>
  <c r="P246" i="273" s="1"/>
  <c r="Q246" i="273" s="1"/>
  <c r="D77" i="273"/>
  <c r="D73" i="273"/>
  <c r="L8" i="273"/>
  <c r="M9" i="273"/>
  <c r="P9" i="273" s="1"/>
  <c r="Q9" i="273" s="1"/>
  <c r="C23" i="275"/>
  <c r="D57" i="273"/>
  <c r="L247" i="273"/>
  <c r="M12" i="273"/>
  <c r="O12" i="273" s="1"/>
  <c r="R12" i="273" s="1"/>
  <c r="K228" i="273"/>
  <c r="D49" i="273"/>
  <c r="C21" i="275"/>
  <c r="C27" i="275" s="1"/>
  <c r="J21" i="275" s="1"/>
  <c r="L330" i="273"/>
  <c r="K118" i="273"/>
  <c r="E21" i="275"/>
  <c r="E27" i="275" s="1"/>
  <c r="L22" i="275" s="1"/>
  <c r="D82" i="273"/>
  <c r="M185" i="273" s="1"/>
  <c r="M194" i="273" s="1"/>
  <c r="P194" i="273" s="1"/>
  <c r="Q194" i="273" s="1"/>
  <c r="L261" i="273"/>
  <c r="L53" i="273"/>
  <c r="L283" i="273"/>
  <c r="L138" i="273"/>
  <c r="L243" i="273"/>
  <c r="L188" i="273"/>
  <c r="L117" i="273"/>
  <c r="L32" i="273"/>
  <c r="D47" i="273"/>
  <c r="M203" i="273" s="1"/>
  <c r="D50" i="273"/>
  <c r="D63" i="273"/>
  <c r="M221" i="273" s="1"/>
  <c r="M227" i="273" s="1"/>
  <c r="O227" i="273" s="1"/>
  <c r="R227" i="273" s="1"/>
  <c r="D23" i="275"/>
  <c r="I16" i="275"/>
  <c r="P16" i="275"/>
  <c r="E33" i="275"/>
  <c r="E46" i="275" s="1"/>
  <c r="E59" i="275" s="1"/>
  <c r="E72" i="275" s="1"/>
  <c r="L20" i="275"/>
  <c r="I15" i="275"/>
  <c r="P15" i="275"/>
  <c r="C33" i="275"/>
  <c r="C46" i="275" s="1"/>
  <c r="C59" i="275" s="1"/>
  <c r="C72" i="275" s="1"/>
  <c r="J20" i="275"/>
  <c r="O13" i="275"/>
  <c r="H13" i="275"/>
  <c r="O12" i="275"/>
  <c r="H12" i="275"/>
  <c r="E24" i="275"/>
  <c r="E31" i="275" s="1"/>
  <c r="C24" i="275"/>
  <c r="D24" i="275"/>
  <c r="F10" i="275"/>
  <c r="P19" i="273"/>
  <c r="Q19" i="273" s="1"/>
  <c r="L19" i="273"/>
  <c r="R19" i="273" s="1"/>
  <c r="L66" i="273"/>
  <c r="L157" i="273"/>
  <c r="L142" i="273"/>
  <c r="D54" i="273"/>
  <c r="D66" i="273"/>
  <c r="L139" i="273"/>
  <c r="L63" i="273"/>
  <c r="L33" i="273"/>
  <c r="L210" i="273"/>
  <c r="L36" i="273"/>
  <c r="L153" i="273"/>
  <c r="L279" i="273"/>
  <c r="L28" i="273"/>
  <c r="L134" i="273"/>
  <c r="P11" i="273"/>
  <c r="Q11" i="273" s="1"/>
  <c r="L45" i="273"/>
  <c r="L15" i="273"/>
  <c r="M15" i="273"/>
  <c r="O225" i="273"/>
  <c r="R225" i="273" s="1"/>
  <c r="P225" i="273"/>
  <c r="Q225" i="273" s="1"/>
  <c r="M240" i="273"/>
  <c r="P240" i="273" s="1"/>
  <c r="Q240" i="273" s="1"/>
  <c r="M223" i="273"/>
  <c r="O16" i="273"/>
  <c r="O17" i="273"/>
  <c r="O231" i="273"/>
  <c r="R231" i="273" s="1"/>
  <c r="P231" i="273"/>
  <c r="Q231" i="273" s="1"/>
  <c r="AD13" i="256"/>
  <c r="AD14" i="256" s="1"/>
  <c r="AI13" i="256"/>
  <c r="AI14" i="256" s="1"/>
  <c r="AN13" i="256"/>
  <c r="AN14" i="256" s="1"/>
  <c r="D28" i="256"/>
  <c r="D45" i="256"/>
  <c r="D62" i="256"/>
  <c r="D79" i="256"/>
  <c r="D10" i="256"/>
  <c r="C16" i="256" s="1"/>
  <c r="D115" i="273" l="1"/>
  <c r="D118" i="273" s="1"/>
  <c r="H37" i="275"/>
  <c r="O37" i="275" s="1"/>
  <c r="V28" i="282"/>
  <c r="V26" i="282"/>
  <c r="M186" i="273"/>
  <c r="M195" i="273" s="1"/>
  <c r="P195" i="273" s="1"/>
  <c r="Q195" i="273" s="1"/>
  <c r="I36" i="275"/>
  <c r="P36" i="275" s="1"/>
  <c r="H34" i="275"/>
  <c r="O34" i="275" s="1"/>
  <c r="O9" i="273"/>
  <c r="R9" i="273" s="1"/>
  <c r="I34" i="275"/>
  <c r="P34" i="275" s="1"/>
  <c r="H36" i="275"/>
  <c r="O36" i="275" s="1"/>
  <c r="I35" i="275"/>
  <c r="P35" i="275" s="1"/>
  <c r="M33" i="273"/>
  <c r="P33" i="273" s="1"/>
  <c r="Q33" i="273" s="1"/>
  <c r="D124" i="273"/>
  <c r="D127" i="273" s="1"/>
  <c r="H35" i="275"/>
  <c r="O35" i="275" s="1"/>
  <c r="T25" i="282"/>
  <c r="T27" i="282"/>
  <c r="O32" i="282"/>
  <c r="V29" i="282"/>
  <c r="V27" i="282"/>
  <c r="S24" i="282"/>
  <c r="S26" i="282"/>
  <c r="S28" i="282"/>
  <c r="V25" i="282"/>
  <c r="T24" i="282"/>
  <c r="U24" i="282"/>
  <c r="U26" i="282"/>
  <c r="T28" i="282"/>
  <c r="S25" i="282"/>
  <c r="S29" i="282"/>
  <c r="S27" i="282"/>
  <c r="U37" i="282"/>
  <c r="O30" i="282"/>
  <c r="O36" i="282"/>
  <c r="O34" i="282"/>
  <c r="U34" i="282"/>
  <c r="O37" i="282"/>
  <c r="O33" i="282"/>
  <c r="K17" i="281"/>
  <c r="K15" i="278"/>
  <c r="C17" i="278"/>
  <c r="C19" i="278"/>
  <c r="B19" i="278"/>
  <c r="A17" i="278"/>
  <c r="A19" i="278"/>
  <c r="C18" i="278"/>
  <c r="D18" i="278"/>
  <c r="B18" i="278"/>
  <c r="B17" i="278"/>
  <c r="E85" i="275"/>
  <c r="E98" i="275" s="1"/>
  <c r="E111" i="275" s="1"/>
  <c r="E124" i="275" s="1"/>
  <c r="E137" i="275" s="1"/>
  <c r="E150" i="275" s="1"/>
  <c r="C85" i="275"/>
  <c r="C98" i="275" s="1"/>
  <c r="C111" i="275" s="1"/>
  <c r="C124" i="275" s="1"/>
  <c r="C137" i="275" s="1"/>
  <c r="C150" i="275" s="1"/>
  <c r="R20" i="275"/>
  <c r="R33" i="275" s="1"/>
  <c r="R46" i="275" s="1"/>
  <c r="R59" i="275" s="1"/>
  <c r="R72" i="275" s="1"/>
  <c r="R85" i="275" s="1"/>
  <c r="R98" i="275" s="1"/>
  <c r="R111" i="275" s="1"/>
  <c r="R124" i="275" s="1"/>
  <c r="R137" i="275" s="1"/>
  <c r="R150" i="275" s="1"/>
  <c r="M191" i="273"/>
  <c r="P191" i="273" s="1"/>
  <c r="Q191" i="273" s="1"/>
  <c r="K239" i="273"/>
  <c r="R17" i="273"/>
  <c r="K36" i="273"/>
  <c r="F23" i="275"/>
  <c r="K192" i="273"/>
  <c r="M85" i="273"/>
  <c r="P85" i="273" s="1"/>
  <c r="Q85" i="273" s="1"/>
  <c r="K318" i="273"/>
  <c r="M114" i="273"/>
  <c r="P114" i="273" s="1"/>
  <c r="Q114" i="273" s="1"/>
  <c r="K260" i="273"/>
  <c r="K151" i="273"/>
  <c r="F22" i="275"/>
  <c r="K311" i="273"/>
  <c r="K80" i="273"/>
  <c r="K206" i="273"/>
  <c r="M49" i="273"/>
  <c r="N49" i="273" s="1"/>
  <c r="R16" i="273"/>
  <c r="M138" i="273"/>
  <c r="N138" i="273" s="1"/>
  <c r="N19" i="273"/>
  <c r="K177" i="273"/>
  <c r="K178" i="273"/>
  <c r="K27" i="273"/>
  <c r="K133" i="273"/>
  <c r="K267" i="273"/>
  <c r="K315" i="273"/>
  <c r="K247" i="273"/>
  <c r="M120" i="273"/>
  <c r="P120" i="273" s="1"/>
  <c r="Q120" i="273" s="1"/>
  <c r="K66" i="273"/>
  <c r="K301" i="273"/>
  <c r="K35" i="273"/>
  <c r="K250" i="273"/>
  <c r="K332" i="273"/>
  <c r="K152" i="273"/>
  <c r="K104" i="273"/>
  <c r="K14" i="273"/>
  <c r="K168" i="273"/>
  <c r="K87" i="273"/>
  <c r="K266" i="273"/>
  <c r="M123" i="273"/>
  <c r="P123" i="273" s="1"/>
  <c r="Q123" i="273" s="1"/>
  <c r="K211" i="273"/>
  <c r="K276" i="273"/>
  <c r="P12" i="273"/>
  <c r="Q12" i="273" s="1"/>
  <c r="N17" i="273"/>
  <c r="M276" i="273"/>
  <c r="O276" i="273" s="1"/>
  <c r="R276" i="273" s="1"/>
  <c r="K26" i="273"/>
  <c r="K135" i="273"/>
  <c r="K176" i="273"/>
  <c r="K300" i="273"/>
  <c r="K303" i="273"/>
  <c r="K321" i="273"/>
  <c r="K286" i="273"/>
  <c r="K257" i="273"/>
  <c r="K42" i="273"/>
  <c r="K82" i="273"/>
  <c r="M60" i="273"/>
  <c r="O60" i="273" s="1"/>
  <c r="R60" i="273" s="1"/>
  <c r="M79" i="273"/>
  <c r="N79" i="273" s="1"/>
  <c r="M167" i="273"/>
  <c r="M168" i="273" s="1"/>
  <c r="O168" i="273" s="1"/>
  <c r="R168" i="273" s="1"/>
  <c r="L136" i="273"/>
  <c r="K136" i="273"/>
  <c r="K69" i="273"/>
  <c r="N11" i="273"/>
  <c r="K302" i="273"/>
  <c r="K191" i="273"/>
  <c r="K209" i="273"/>
  <c r="K319" i="273"/>
  <c r="K123" i="273"/>
  <c r="K114" i="273"/>
  <c r="K170" i="273"/>
  <c r="K106" i="273"/>
  <c r="K264" i="273"/>
  <c r="K150" i="273"/>
  <c r="K13" i="273"/>
  <c r="K285" i="273"/>
  <c r="K231" i="273"/>
  <c r="K245" i="273"/>
  <c r="K279" i="273"/>
  <c r="K85" i="273"/>
  <c r="K105" i="273"/>
  <c r="M311" i="273"/>
  <c r="N311" i="273" s="1"/>
  <c r="K132" i="273"/>
  <c r="K95" i="273"/>
  <c r="K283" i="273"/>
  <c r="K243" i="273"/>
  <c r="K86" i="273"/>
  <c r="K61" i="273"/>
  <c r="K240" i="273"/>
  <c r="K316" i="273"/>
  <c r="K295" i="273"/>
  <c r="K96" i="273"/>
  <c r="K223" i="273"/>
  <c r="K158" i="273"/>
  <c r="K195" i="273"/>
  <c r="K17" i="273"/>
  <c r="K115" i="273"/>
  <c r="K304" i="273"/>
  <c r="K52" i="273"/>
  <c r="K249" i="273"/>
  <c r="K337" i="273"/>
  <c r="K294" i="273"/>
  <c r="K280" i="273"/>
  <c r="K175" i="273"/>
  <c r="K103" i="273"/>
  <c r="K232" i="273"/>
  <c r="K296" i="273"/>
  <c r="K173" i="273"/>
  <c r="K48" i="273"/>
  <c r="K67" i="273"/>
  <c r="K131" i="273"/>
  <c r="K212" i="273"/>
  <c r="K25" i="273"/>
  <c r="K9" i="273"/>
  <c r="K268" i="273"/>
  <c r="K139" i="273"/>
  <c r="K229" i="273"/>
  <c r="K121" i="273"/>
  <c r="K78" i="273"/>
  <c r="K120" i="273"/>
  <c r="K208" i="273"/>
  <c r="K339" i="273"/>
  <c r="K335" i="273"/>
  <c r="K47" i="273"/>
  <c r="K330" i="273"/>
  <c r="K242" i="273"/>
  <c r="K137" i="273"/>
  <c r="K34" i="273"/>
  <c r="K259" i="273"/>
  <c r="K258" i="273"/>
  <c r="K246" i="273"/>
  <c r="K100" i="273"/>
  <c r="K149" i="273"/>
  <c r="K140" i="273"/>
  <c r="K221" i="273"/>
  <c r="K169" i="273"/>
  <c r="K62" i="273"/>
  <c r="K230" i="273"/>
  <c r="K261" i="273"/>
  <c r="K138" i="273"/>
  <c r="K117" i="273"/>
  <c r="K32" i="273"/>
  <c r="K60" i="273"/>
  <c r="N14" i="273"/>
  <c r="K113" i="273"/>
  <c r="K336" i="273"/>
  <c r="K224" i="273"/>
  <c r="K70" i="273"/>
  <c r="K185" i="273"/>
  <c r="K248" i="273"/>
  <c r="K277" i="273"/>
  <c r="K190" i="273"/>
  <c r="K282" i="273"/>
  <c r="K331" i="273"/>
  <c r="K225" i="273"/>
  <c r="K222" i="273"/>
  <c r="K244" i="273"/>
  <c r="K278" i="273"/>
  <c r="K281" i="273"/>
  <c r="K322" i="273"/>
  <c r="K156" i="273"/>
  <c r="K167" i="273"/>
  <c r="K340" i="273"/>
  <c r="K49" i="273"/>
  <c r="K88" i="273"/>
  <c r="K157" i="273"/>
  <c r="K124" i="273"/>
  <c r="K29" i="273"/>
  <c r="K83" i="273"/>
  <c r="K50" i="273"/>
  <c r="K19" i="273"/>
  <c r="K33" i="273"/>
  <c r="K265" i="273"/>
  <c r="K153" i="273"/>
  <c r="K31" i="273"/>
  <c r="K189" i="273"/>
  <c r="K45" i="273"/>
  <c r="K12" i="273"/>
  <c r="K210" i="273"/>
  <c r="D56" i="273"/>
  <c r="D78" i="273"/>
  <c r="M141" i="273" s="1"/>
  <c r="P141" i="273" s="1"/>
  <c r="Q141" i="273" s="1"/>
  <c r="D68" i="273"/>
  <c r="M226" i="273" s="1"/>
  <c r="O226" i="273" s="1"/>
  <c r="R226" i="273" s="1"/>
  <c r="D84" i="273"/>
  <c r="M277" i="273" s="1"/>
  <c r="D72" i="273"/>
  <c r="D48" i="273"/>
  <c r="L154" i="273"/>
  <c r="K154" i="273"/>
  <c r="N12" i="273"/>
  <c r="K196" i="273"/>
  <c r="K226" i="273"/>
  <c r="K11" i="273"/>
  <c r="K186" i="273"/>
  <c r="K214" i="273"/>
  <c r="K28" i="273"/>
  <c r="K329" i="273"/>
  <c r="K44" i="273"/>
  <c r="K102" i="273"/>
  <c r="K65" i="273"/>
  <c r="K263" i="273"/>
  <c r="K227" i="273"/>
  <c r="K98" i="273"/>
  <c r="K97" i="273"/>
  <c r="K299" i="273"/>
  <c r="K241" i="273"/>
  <c r="K119" i="273"/>
  <c r="K174" i="273"/>
  <c r="K10" i="273"/>
  <c r="K53" i="273"/>
  <c r="K77" i="273"/>
  <c r="K333" i="273"/>
  <c r="K194" i="273"/>
  <c r="K314" i="273"/>
  <c r="K205" i="273"/>
  <c r="K134" i="273"/>
  <c r="K18" i="273"/>
  <c r="K207" i="273"/>
  <c r="K116" i="273"/>
  <c r="K79" i="273"/>
  <c r="N16" i="273"/>
  <c r="M65" i="273"/>
  <c r="N65" i="273" s="1"/>
  <c r="M50" i="273"/>
  <c r="P50" i="273" s="1"/>
  <c r="Q50" i="273" s="1"/>
  <c r="K15" i="273"/>
  <c r="K81" i="273"/>
  <c r="K213" i="273"/>
  <c r="K63" i="273"/>
  <c r="M25" i="273"/>
  <c r="P25" i="273" s="1"/>
  <c r="Q25" i="273" s="1"/>
  <c r="K160" i="273"/>
  <c r="K284" i="273"/>
  <c r="K16" i="273"/>
  <c r="K193" i="273"/>
  <c r="K99" i="273"/>
  <c r="K203" i="273"/>
  <c r="K122" i="273"/>
  <c r="K84" i="273"/>
  <c r="K171" i="273"/>
  <c r="K313" i="273"/>
  <c r="K141" i="273"/>
  <c r="K159" i="273"/>
  <c r="K101" i="273"/>
  <c r="N18" i="273"/>
  <c r="K188" i="273"/>
  <c r="K275" i="273"/>
  <c r="K46" i="273"/>
  <c r="K312" i="273"/>
  <c r="K293" i="273"/>
  <c r="K30" i="273"/>
  <c r="K334" i="273"/>
  <c r="K317" i="273"/>
  <c r="K142" i="273"/>
  <c r="M300" i="273"/>
  <c r="P300" i="273" s="1"/>
  <c r="Q300" i="273" s="1"/>
  <c r="M52" i="273"/>
  <c r="N52" i="273" s="1"/>
  <c r="K320" i="273"/>
  <c r="M105" i="273"/>
  <c r="K59" i="273"/>
  <c r="K43" i="273"/>
  <c r="K51" i="273"/>
  <c r="K155" i="273"/>
  <c r="K187" i="273"/>
  <c r="K68" i="273"/>
  <c r="K297" i="273"/>
  <c r="M31" i="273"/>
  <c r="N31" i="273" s="1"/>
  <c r="K338" i="273"/>
  <c r="P8" i="273"/>
  <c r="Q8" i="273" s="1"/>
  <c r="N8" i="273"/>
  <c r="K8" i="273"/>
  <c r="K172" i="273"/>
  <c r="L172" i="273"/>
  <c r="L298" i="273"/>
  <c r="K298" i="273"/>
  <c r="O10" i="273"/>
  <c r="R10" i="273" s="1"/>
  <c r="P10" i="273"/>
  <c r="Q10" i="273" s="1"/>
  <c r="N10" i="273"/>
  <c r="L64" i="273"/>
  <c r="K64" i="273"/>
  <c r="N185" i="273"/>
  <c r="M84" i="273"/>
  <c r="P84" i="273" s="1"/>
  <c r="Q84" i="273" s="1"/>
  <c r="M13" i="273"/>
  <c r="L13" i="273"/>
  <c r="L262" i="273"/>
  <c r="K262" i="273"/>
  <c r="M69" i="273"/>
  <c r="O69" i="273" s="1"/>
  <c r="R69" i="273" s="1"/>
  <c r="M106" i="273"/>
  <c r="M103" i="273"/>
  <c r="M119" i="273"/>
  <c r="O119" i="273" s="1"/>
  <c r="R119" i="273" s="1"/>
  <c r="M209" i="273"/>
  <c r="M210" i="273" s="1"/>
  <c r="P210" i="273" s="1"/>
  <c r="Q210" i="273" s="1"/>
  <c r="M299" i="273"/>
  <c r="P185" i="273"/>
  <c r="Q185" i="273" s="1"/>
  <c r="O185" i="273"/>
  <c r="R185" i="273" s="1"/>
  <c r="M188" i="273"/>
  <c r="O188" i="273" s="1"/>
  <c r="R188" i="273" s="1"/>
  <c r="C30" i="275"/>
  <c r="O8" i="273"/>
  <c r="R8" i="273" s="1"/>
  <c r="M68" i="273"/>
  <c r="O68" i="273" s="1"/>
  <c r="R68" i="273" s="1"/>
  <c r="M101" i="273"/>
  <c r="M102" i="273"/>
  <c r="M83" i="273"/>
  <c r="P83" i="273" s="1"/>
  <c r="Q83" i="273" s="1"/>
  <c r="M104" i="273"/>
  <c r="N227" i="273"/>
  <c r="M59" i="273"/>
  <c r="N59" i="273" s="1"/>
  <c r="M155" i="273"/>
  <c r="M156" i="273" s="1"/>
  <c r="P156" i="273" s="1"/>
  <c r="Q156" i="273" s="1"/>
  <c r="F21" i="275"/>
  <c r="N9" i="273"/>
  <c r="M212" i="273"/>
  <c r="M213" i="273" s="1"/>
  <c r="M26" i="273"/>
  <c r="P26" i="273" s="1"/>
  <c r="Q26" i="273" s="1"/>
  <c r="M32" i="273"/>
  <c r="P32" i="273" s="1"/>
  <c r="Q32" i="273" s="1"/>
  <c r="M245" i="273"/>
  <c r="P245" i="273" s="1"/>
  <c r="Q245" i="273" s="1"/>
  <c r="M66" i="273"/>
  <c r="P66" i="273" s="1"/>
  <c r="Q66" i="273" s="1"/>
  <c r="M78" i="273"/>
  <c r="P78" i="273" s="1"/>
  <c r="Q78" i="273" s="1"/>
  <c r="M275" i="273"/>
  <c r="P275" i="273" s="1"/>
  <c r="Q275" i="273" s="1"/>
  <c r="E30" i="275"/>
  <c r="M263" i="273"/>
  <c r="O263" i="273" s="1"/>
  <c r="R263" i="273" s="1"/>
  <c r="M239" i="273"/>
  <c r="M242" i="273" s="1"/>
  <c r="P242" i="273" s="1"/>
  <c r="Q242" i="273" s="1"/>
  <c r="N221" i="273"/>
  <c r="M137" i="273"/>
  <c r="P137" i="273" s="1"/>
  <c r="Q137" i="273" s="1"/>
  <c r="M122" i="273"/>
  <c r="O122" i="273" s="1"/>
  <c r="R122" i="273" s="1"/>
  <c r="E25" i="275"/>
  <c r="M77" i="273"/>
  <c r="P77" i="273" s="1"/>
  <c r="Q77" i="273" s="1"/>
  <c r="N222" i="273"/>
  <c r="N225" i="273"/>
  <c r="P221" i="273"/>
  <c r="Q221" i="273" s="1"/>
  <c r="M48" i="273"/>
  <c r="P48" i="273" s="1"/>
  <c r="Q48" i="273" s="1"/>
  <c r="N231" i="273"/>
  <c r="N117" i="273"/>
  <c r="M113" i="273"/>
  <c r="P113" i="273" s="1"/>
  <c r="Q113" i="273" s="1"/>
  <c r="P227" i="273"/>
  <c r="Q227" i="273" s="1"/>
  <c r="O221" i="273"/>
  <c r="R221" i="273" s="1"/>
  <c r="D28" i="275"/>
  <c r="K24" i="275" s="1"/>
  <c r="L21" i="275"/>
  <c r="L27" i="275" s="1"/>
  <c r="D30" i="275"/>
  <c r="H62" i="275"/>
  <c r="O62" i="275" s="1"/>
  <c r="I60" i="275"/>
  <c r="P60" i="275" s="1"/>
  <c r="H61" i="275"/>
  <c r="O61" i="275" s="1"/>
  <c r="I62" i="275"/>
  <c r="P62" i="275" s="1"/>
  <c r="H63" i="275"/>
  <c r="O63" i="275" s="1"/>
  <c r="I61" i="275"/>
  <c r="P61" i="275" s="1"/>
  <c r="H60" i="275"/>
  <c r="O60" i="275" s="1"/>
  <c r="I49" i="275"/>
  <c r="P49" i="275" s="1"/>
  <c r="H48" i="275"/>
  <c r="O48" i="275" s="1"/>
  <c r="I37" i="275"/>
  <c r="P37" i="275" s="1"/>
  <c r="I48" i="275"/>
  <c r="P48" i="275" s="1"/>
  <c r="L33" i="275"/>
  <c r="L46" i="275" s="1"/>
  <c r="L59" i="275" s="1"/>
  <c r="L72" i="275" s="1"/>
  <c r="L85" i="275" s="1"/>
  <c r="L98" i="275" s="1"/>
  <c r="L111" i="275" s="1"/>
  <c r="L124" i="275" s="1"/>
  <c r="L137" i="275" s="1"/>
  <c r="L150" i="275" s="1"/>
  <c r="S20" i="275"/>
  <c r="S33" i="275" s="1"/>
  <c r="S46" i="275" s="1"/>
  <c r="S59" i="275" s="1"/>
  <c r="S72" i="275" s="1"/>
  <c r="S85" i="275" s="1"/>
  <c r="S98" i="275" s="1"/>
  <c r="S111" i="275" s="1"/>
  <c r="S124" i="275" s="1"/>
  <c r="S137" i="275" s="1"/>
  <c r="S150" i="275" s="1"/>
  <c r="H47" i="275"/>
  <c r="O47" i="275" s="1"/>
  <c r="H50" i="275"/>
  <c r="O50" i="275" s="1"/>
  <c r="H49" i="275"/>
  <c r="O49" i="275" s="1"/>
  <c r="Q20" i="275"/>
  <c r="Q33" i="275" s="1"/>
  <c r="Q46" i="275" s="1"/>
  <c r="Q59" i="275" s="1"/>
  <c r="Q72" i="275" s="1"/>
  <c r="Q85" i="275" s="1"/>
  <c r="Q98" i="275" s="1"/>
  <c r="Q111" i="275" s="1"/>
  <c r="Q124" i="275" s="1"/>
  <c r="Q137" i="275" s="1"/>
  <c r="Q150" i="275" s="1"/>
  <c r="J33" i="275"/>
  <c r="J46" i="275" s="1"/>
  <c r="J59" i="275" s="1"/>
  <c r="J72" i="275" s="1"/>
  <c r="J85" i="275" s="1"/>
  <c r="J98" i="275" s="1"/>
  <c r="J111" i="275" s="1"/>
  <c r="J124" i="275" s="1"/>
  <c r="J137" i="275" s="1"/>
  <c r="J150" i="275" s="1"/>
  <c r="I47" i="275"/>
  <c r="P47" i="275" s="1"/>
  <c r="F24" i="275"/>
  <c r="E28" i="275"/>
  <c r="L23" i="275" s="1"/>
  <c r="D25" i="275"/>
  <c r="C28" i="275"/>
  <c r="J23" i="275" s="1"/>
  <c r="C25" i="275"/>
  <c r="D31" i="275"/>
  <c r="C31" i="275"/>
  <c r="K22" i="275"/>
  <c r="K27" i="275" s="1"/>
  <c r="J22" i="275"/>
  <c r="M116" i="273"/>
  <c r="N116" i="273" s="1"/>
  <c r="O194" i="273"/>
  <c r="R194" i="273" s="1"/>
  <c r="O15" i="273"/>
  <c r="R15" i="273" s="1"/>
  <c r="N15" i="273"/>
  <c r="P15" i="273"/>
  <c r="Q15" i="273" s="1"/>
  <c r="M224" i="273"/>
  <c r="M51" i="273"/>
  <c r="N194" i="273"/>
  <c r="P222" i="273"/>
  <c r="Q222" i="273" s="1"/>
  <c r="M243" i="273"/>
  <c r="O243" i="273" s="1"/>
  <c r="R243" i="273" s="1"/>
  <c r="M228" i="273"/>
  <c r="O228" i="273" s="1"/>
  <c r="R228" i="273" s="1"/>
  <c r="O222" i="273"/>
  <c r="R222" i="273" s="1"/>
  <c r="N246" i="273"/>
  <c r="N240" i="273"/>
  <c r="O240" i="273"/>
  <c r="R240" i="273" s="1"/>
  <c r="M249" i="273"/>
  <c r="O249" i="273" s="1"/>
  <c r="R249" i="273" s="1"/>
  <c r="O246" i="273"/>
  <c r="R246" i="273" s="1"/>
  <c r="O117" i="273"/>
  <c r="R117" i="273" s="1"/>
  <c r="P117" i="273"/>
  <c r="Q117" i="273" s="1"/>
  <c r="N203" i="273"/>
  <c r="P203" i="273"/>
  <c r="Q203" i="273" s="1"/>
  <c r="M204" i="273"/>
  <c r="O203" i="273"/>
  <c r="R203" i="273" s="1"/>
  <c r="O247" i="273"/>
  <c r="R247" i="273" s="1"/>
  <c r="M250" i="273"/>
  <c r="P247" i="273"/>
  <c r="Q247" i="273" s="1"/>
  <c r="N247" i="273"/>
  <c r="P223" i="273"/>
  <c r="Q223" i="273" s="1"/>
  <c r="O223" i="273"/>
  <c r="R223" i="273" s="1"/>
  <c r="M229" i="273"/>
  <c r="N223" i="273"/>
  <c r="B17" i="256"/>
  <c r="C17" i="256"/>
  <c r="C18" i="256" s="1"/>
  <c r="B16" i="256"/>
  <c r="S29" i="269"/>
  <c r="S31" i="269" s="1"/>
  <c r="T14" i="269"/>
  <c r="S14" i="269"/>
  <c r="T13" i="269"/>
  <c r="S13" i="269"/>
  <c r="U8" i="269"/>
  <c r="T8" i="269"/>
  <c r="S8" i="269"/>
  <c r="U7" i="269"/>
  <c r="U6" i="269"/>
  <c r="B14" i="269"/>
  <c r="C14" i="269"/>
  <c r="C13" i="269"/>
  <c r="B13" i="269"/>
  <c r="I23" i="269"/>
  <c r="I22" i="269"/>
  <c r="I21" i="269"/>
  <c r="F21" i="269"/>
  <c r="F22" i="269" s="1"/>
  <c r="F23" i="269" s="1"/>
  <c r="I20" i="269"/>
  <c r="J9" i="269"/>
  <c r="K9" i="269" s="1"/>
  <c r="I9" i="269"/>
  <c r="J8" i="269"/>
  <c r="K8" i="269" s="1"/>
  <c r="I8" i="269"/>
  <c r="C8" i="269"/>
  <c r="B8" i="269"/>
  <c r="J7" i="269"/>
  <c r="H31" i="269" s="1"/>
  <c r="J31" i="269" s="1"/>
  <c r="I7" i="269"/>
  <c r="F7" i="269"/>
  <c r="F8" i="269" s="1"/>
  <c r="F9" i="269" s="1"/>
  <c r="D7" i="269"/>
  <c r="J6" i="269"/>
  <c r="K6" i="269" s="1"/>
  <c r="I6" i="269"/>
  <c r="D6" i="269"/>
  <c r="V36" i="282" l="1"/>
  <c r="V34" i="282"/>
  <c r="O300" i="273"/>
  <c r="R300" i="273" s="1"/>
  <c r="T37" i="282"/>
  <c r="N114" i="273"/>
  <c r="N195" i="273"/>
  <c r="N191" i="273"/>
  <c r="O195" i="273"/>
  <c r="R195" i="273" s="1"/>
  <c r="M189" i="273"/>
  <c r="N189" i="273" s="1"/>
  <c r="M192" i="273"/>
  <c r="O192" i="273" s="1"/>
  <c r="R192" i="273" s="1"/>
  <c r="P186" i="273"/>
  <c r="Q186" i="273" s="1"/>
  <c r="O186" i="273"/>
  <c r="R186" i="273" s="1"/>
  <c r="N186" i="273"/>
  <c r="D14" i="269"/>
  <c r="N33" i="273"/>
  <c r="O33" i="273"/>
  <c r="R33" i="273" s="1"/>
  <c r="N101" i="273"/>
  <c r="K12" i="277"/>
  <c r="N106" i="273"/>
  <c r="K17" i="277"/>
  <c r="P104" i="273"/>
  <c r="Q104" i="273" s="1"/>
  <c r="K15" i="277"/>
  <c r="O102" i="273"/>
  <c r="K13" i="277"/>
  <c r="P103" i="273"/>
  <c r="Q103" i="273" s="1"/>
  <c r="K14" i="277"/>
  <c r="P105" i="273"/>
  <c r="Q105" i="273" s="1"/>
  <c r="K16" i="277"/>
  <c r="S36" i="282"/>
  <c r="W28" i="282"/>
  <c r="D44" i="282" s="1"/>
  <c r="T34" i="282"/>
  <c r="T30" i="282"/>
  <c r="T36" i="282"/>
  <c r="T32" i="282"/>
  <c r="U33" i="282"/>
  <c r="S32" i="282"/>
  <c r="T33" i="282"/>
  <c r="V33" i="282"/>
  <c r="S33" i="282"/>
  <c r="W26" i="282"/>
  <c r="C42" i="282" s="1"/>
  <c r="W27" i="282"/>
  <c r="U32" i="282"/>
  <c r="U36" i="282"/>
  <c r="U30" i="282"/>
  <c r="W29" i="282"/>
  <c r="S34" i="282"/>
  <c r="S30" i="282"/>
  <c r="V37" i="282"/>
  <c r="V32" i="282"/>
  <c r="V30" i="282"/>
  <c r="W25" i="282"/>
  <c r="S37" i="282"/>
  <c r="W24" i="282"/>
  <c r="F40" i="282" s="1"/>
  <c r="D20" i="278"/>
  <c r="J18" i="278" s="1"/>
  <c r="A20" i="278"/>
  <c r="G18" i="278" s="1"/>
  <c r="E17" i="278"/>
  <c r="C20" i="278"/>
  <c r="I18" i="278" s="1"/>
  <c r="B20" i="278"/>
  <c r="H18" i="278" s="1"/>
  <c r="E19" i="278"/>
  <c r="E18" i="278"/>
  <c r="H30" i="269"/>
  <c r="J30" i="269" s="1"/>
  <c r="K7" i="269"/>
  <c r="K10" i="269" s="1"/>
  <c r="N6" i="269" s="1"/>
  <c r="P6" i="269" s="1"/>
  <c r="U14" i="269"/>
  <c r="O114" i="273"/>
  <c r="R114" i="273" s="1"/>
  <c r="O191" i="273"/>
  <c r="R191" i="273" s="1"/>
  <c r="M80" i="273"/>
  <c r="P80" i="273" s="1"/>
  <c r="Q80" i="273" s="1"/>
  <c r="N25" i="273"/>
  <c r="N32" i="273"/>
  <c r="N300" i="273"/>
  <c r="N119" i="273"/>
  <c r="N85" i="273"/>
  <c r="N226" i="273"/>
  <c r="P49" i="273"/>
  <c r="Q49" i="273" s="1"/>
  <c r="P119" i="273"/>
  <c r="Q119" i="273" s="1"/>
  <c r="P226" i="273"/>
  <c r="Q226" i="273" s="1"/>
  <c r="O123" i="273"/>
  <c r="R123" i="273" s="1"/>
  <c r="N120" i="273"/>
  <c r="D51" i="273"/>
  <c r="E48" i="273" s="1"/>
  <c r="O85" i="273"/>
  <c r="R85" i="273" s="1"/>
  <c r="M86" i="273"/>
  <c r="P86" i="273" s="1"/>
  <c r="Q86" i="273" s="1"/>
  <c r="N50" i="273"/>
  <c r="D79" i="273"/>
  <c r="M206" i="273"/>
  <c r="P206" i="273" s="1"/>
  <c r="Q206" i="273" s="1"/>
  <c r="O101" i="273"/>
  <c r="M140" i="273"/>
  <c r="P140" i="273" s="1"/>
  <c r="Q140" i="273" s="1"/>
  <c r="M28" i="273"/>
  <c r="O28" i="273" s="1"/>
  <c r="R28" i="273" s="1"/>
  <c r="M266" i="273"/>
  <c r="O266" i="273" s="1"/>
  <c r="R266" i="273" s="1"/>
  <c r="M87" i="273"/>
  <c r="P87" i="273" s="1"/>
  <c r="Q87" i="273" s="1"/>
  <c r="M260" i="273"/>
  <c r="P260" i="273" s="1"/>
  <c r="Q260" i="273" s="1"/>
  <c r="M30" i="273"/>
  <c r="P30" i="273" s="1"/>
  <c r="Q30" i="273" s="1"/>
  <c r="O26" i="273"/>
  <c r="R26" i="273" s="1"/>
  <c r="O66" i="273"/>
  <c r="R66" i="273" s="1"/>
  <c r="O50" i="273"/>
  <c r="R50" i="273" s="1"/>
  <c r="O78" i="273"/>
  <c r="R78" i="273" s="1"/>
  <c r="M63" i="273"/>
  <c r="N63" i="273" s="1"/>
  <c r="M278" i="273"/>
  <c r="N278" i="273" s="1"/>
  <c r="O31" i="273"/>
  <c r="R31" i="273" s="1"/>
  <c r="N105" i="273"/>
  <c r="M62" i="273"/>
  <c r="O62" i="273" s="1"/>
  <c r="R62" i="273" s="1"/>
  <c r="M81" i="273"/>
  <c r="P81" i="273" s="1"/>
  <c r="Q81" i="273" s="1"/>
  <c r="P65" i="273"/>
  <c r="Q65" i="273" s="1"/>
  <c r="F25" i="275"/>
  <c r="O156" i="273"/>
  <c r="R156" i="273" s="1"/>
  <c r="M257" i="273"/>
  <c r="M258" i="273" s="1"/>
  <c r="O258" i="273" s="1"/>
  <c r="R258" i="273" s="1"/>
  <c r="M264" i="273"/>
  <c r="M265" i="273" s="1"/>
  <c r="M157" i="273"/>
  <c r="O157" i="273" s="1"/>
  <c r="R157" i="273" s="1"/>
  <c r="O83" i="273"/>
  <c r="R83" i="273" s="1"/>
  <c r="O210" i="273"/>
  <c r="R210" i="273" s="1"/>
  <c r="N156" i="273"/>
  <c r="N83" i="273"/>
  <c r="N60" i="273"/>
  <c r="P239" i="273"/>
  <c r="Q239" i="273" s="1"/>
  <c r="O120" i="273"/>
  <c r="R120" i="273" s="1"/>
  <c r="M303" i="273"/>
  <c r="O303" i="273" s="1"/>
  <c r="R303" i="273" s="1"/>
  <c r="M53" i="273"/>
  <c r="O53" i="273" s="1"/>
  <c r="R53" i="273" s="1"/>
  <c r="M211" i="273"/>
  <c r="O211" i="273" s="1"/>
  <c r="R211" i="273" s="1"/>
  <c r="N123" i="273"/>
  <c r="P60" i="273"/>
  <c r="Q60" i="273" s="1"/>
  <c r="O49" i="273"/>
  <c r="R49" i="273" s="1"/>
  <c r="D69" i="273"/>
  <c r="N276" i="273"/>
  <c r="N263" i="273"/>
  <c r="P69" i="273"/>
  <c r="Q69" i="273" s="1"/>
  <c r="N69" i="273"/>
  <c r="N26" i="273"/>
  <c r="N209" i="273"/>
  <c r="N104" i="273"/>
  <c r="O104" i="273"/>
  <c r="P209" i="273"/>
  <c r="Q209" i="273" s="1"/>
  <c r="O138" i="273"/>
  <c r="R138" i="273" s="1"/>
  <c r="P263" i="273"/>
  <c r="Q263" i="273" s="1"/>
  <c r="M134" i="273"/>
  <c r="P134" i="273" s="1"/>
  <c r="Q134" i="273" s="1"/>
  <c r="M100" i="273"/>
  <c r="N68" i="273"/>
  <c r="P138" i="273"/>
  <c r="Q138" i="273" s="1"/>
  <c r="N210" i="273"/>
  <c r="O52" i="273"/>
  <c r="R52" i="273" s="1"/>
  <c r="M47" i="273"/>
  <c r="P47" i="273" s="1"/>
  <c r="Q47" i="273" s="1"/>
  <c r="P277" i="273"/>
  <c r="Q277" i="273" s="1"/>
  <c r="N277" i="273"/>
  <c r="M283" i="273"/>
  <c r="O283" i="273" s="1"/>
  <c r="R283" i="273" s="1"/>
  <c r="M139" i="273"/>
  <c r="O139" i="273" s="1"/>
  <c r="R139" i="273" s="1"/>
  <c r="P68" i="273"/>
  <c r="Q68" i="273" s="1"/>
  <c r="N188" i="273"/>
  <c r="M133" i="273"/>
  <c r="P133" i="273" s="1"/>
  <c r="Q133" i="273" s="1"/>
  <c r="M124" i="273"/>
  <c r="N124" i="273" s="1"/>
  <c r="O103" i="273"/>
  <c r="P101" i="273"/>
  <c r="Q101" i="273" s="1"/>
  <c r="O212" i="273"/>
  <c r="R212" i="273" s="1"/>
  <c r="O25" i="273"/>
  <c r="R25" i="273" s="1"/>
  <c r="M232" i="273"/>
  <c r="O232" i="273" s="1"/>
  <c r="R232" i="273" s="1"/>
  <c r="M82" i="273"/>
  <c r="M136" i="273"/>
  <c r="O136" i="273" s="1"/>
  <c r="R136" i="273" s="1"/>
  <c r="M70" i="273"/>
  <c r="O70" i="273" s="1"/>
  <c r="R70" i="273" s="1"/>
  <c r="M61" i="273"/>
  <c r="M88" i="273"/>
  <c r="N88" i="273" s="1"/>
  <c r="N66" i="273"/>
  <c r="P188" i="273"/>
  <c r="Q188" i="273" s="1"/>
  <c r="M301" i="273"/>
  <c r="P301" i="273" s="1"/>
  <c r="Q301" i="273" s="1"/>
  <c r="M248" i="273"/>
  <c r="N248" i="273" s="1"/>
  <c r="O79" i="273"/>
  <c r="R79" i="273" s="1"/>
  <c r="O105" i="273"/>
  <c r="P79" i="273"/>
  <c r="Q79" i="273" s="1"/>
  <c r="O275" i="273"/>
  <c r="R275" i="273" s="1"/>
  <c r="N275" i="273"/>
  <c r="M282" i="273"/>
  <c r="O282" i="273" s="1"/>
  <c r="R282" i="273" s="1"/>
  <c r="P276" i="273"/>
  <c r="Q276" i="273" s="1"/>
  <c r="M142" i="273"/>
  <c r="P142" i="273" s="1"/>
  <c r="Q142" i="273" s="1"/>
  <c r="M295" i="273"/>
  <c r="O295" i="273" s="1"/>
  <c r="R295" i="273" s="1"/>
  <c r="M241" i="273"/>
  <c r="M27" i="273"/>
  <c r="N103" i="273"/>
  <c r="M169" i="273"/>
  <c r="M131" i="273"/>
  <c r="M115" i="273"/>
  <c r="M187" i="273"/>
  <c r="M121" i="273"/>
  <c r="N167" i="273"/>
  <c r="M173" i="273"/>
  <c r="P167" i="273"/>
  <c r="Q167" i="273" s="1"/>
  <c r="O167" i="273"/>
  <c r="R167" i="273" s="1"/>
  <c r="P31" i="273"/>
  <c r="Q31" i="273" s="1"/>
  <c r="O245" i="273"/>
  <c r="R245" i="273" s="1"/>
  <c r="P212" i="273"/>
  <c r="Q212" i="273" s="1"/>
  <c r="O65" i="273"/>
  <c r="R65" i="273" s="1"/>
  <c r="N84" i="273"/>
  <c r="N239" i="273"/>
  <c r="O116" i="273"/>
  <c r="R116" i="273" s="1"/>
  <c r="P52" i="273"/>
  <c r="Q52" i="273" s="1"/>
  <c r="M149" i="273"/>
  <c r="N149" i="273" s="1"/>
  <c r="M42" i="273"/>
  <c r="P42" i="273" s="1"/>
  <c r="Q42" i="273" s="1"/>
  <c r="N155" i="273"/>
  <c r="M64" i="273"/>
  <c r="P64" i="273" s="1"/>
  <c r="Q64" i="273" s="1"/>
  <c r="M96" i="273"/>
  <c r="P155" i="273"/>
  <c r="Q155" i="273" s="1"/>
  <c r="M281" i="273"/>
  <c r="P281" i="273" s="1"/>
  <c r="Q281" i="273" s="1"/>
  <c r="M135" i="273"/>
  <c r="O135" i="273" s="1"/>
  <c r="R135" i="273" s="1"/>
  <c r="O155" i="273"/>
  <c r="R155" i="273" s="1"/>
  <c r="D85" i="273"/>
  <c r="D60" i="273"/>
  <c r="E84" i="273" s="1"/>
  <c r="M34" i="273"/>
  <c r="P311" i="273"/>
  <c r="Q311" i="273" s="1"/>
  <c r="O311" i="273"/>
  <c r="R311" i="273" s="1"/>
  <c r="M312" i="273"/>
  <c r="P13" i="273"/>
  <c r="Q13" i="273" s="1"/>
  <c r="O13" i="273"/>
  <c r="R13" i="273" s="1"/>
  <c r="R20" i="273" s="1"/>
  <c r="U7" i="273" s="1"/>
  <c r="B107" i="273" s="1"/>
  <c r="N13" i="273"/>
  <c r="M293" i="273"/>
  <c r="M46" i="273"/>
  <c r="N245" i="273"/>
  <c r="N212" i="273"/>
  <c r="N102" i="273"/>
  <c r="N122" i="273"/>
  <c r="D74" i="273"/>
  <c r="M43" i="273"/>
  <c r="P43" i="273" s="1"/>
  <c r="Q43" i="273" s="1"/>
  <c r="M95" i="273"/>
  <c r="O84" i="273"/>
  <c r="R84" i="273" s="1"/>
  <c r="M132" i="273"/>
  <c r="M44" i="273"/>
  <c r="M45" i="273"/>
  <c r="N45" i="273" s="1"/>
  <c r="M97" i="273"/>
  <c r="M294" i="273"/>
  <c r="M297" i="273" s="1"/>
  <c r="O297" i="273" s="1"/>
  <c r="R297" i="273" s="1"/>
  <c r="O277" i="273"/>
  <c r="R277" i="273" s="1"/>
  <c r="M98" i="273"/>
  <c r="M118" i="273"/>
  <c r="M67" i="273"/>
  <c r="M280" i="273"/>
  <c r="M99" i="273"/>
  <c r="K10" i="277" s="1"/>
  <c r="M170" i="273"/>
  <c r="M35" i="273"/>
  <c r="M36" i="273"/>
  <c r="M279" i="273"/>
  <c r="M29" i="273"/>
  <c r="K23" i="275"/>
  <c r="K30" i="275" s="1"/>
  <c r="R21" i="275" s="1"/>
  <c r="O299" i="273"/>
  <c r="R299" i="273" s="1"/>
  <c r="M302" i="273"/>
  <c r="N249" i="273"/>
  <c r="O32" i="273"/>
  <c r="R32" i="273" s="1"/>
  <c r="P106" i="273"/>
  <c r="Q106" i="273" s="1"/>
  <c r="P102" i="273"/>
  <c r="Q102" i="273" s="1"/>
  <c r="O113" i="273"/>
  <c r="R113" i="273" s="1"/>
  <c r="N78" i="273"/>
  <c r="O59" i="273"/>
  <c r="R59" i="273" s="1"/>
  <c r="P59" i="273"/>
  <c r="Q59" i="273" s="1"/>
  <c r="O106" i="273"/>
  <c r="O209" i="273"/>
  <c r="R209" i="273" s="1"/>
  <c r="N299" i="273"/>
  <c r="N48" i="273"/>
  <c r="P299" i="273"/>
  <c r="Q299" i="273" s="1"/>
  <c r="P168" i="273"/>
  <c r="Q168" i="273" s="1"/>
  <c r="N168" i="273"/>
  <c r="O77" i="273"/>
  <c r="R77" i="273" s="1"/>
  <c r="O239" i="273"/>
  <c r="R239" i="273" s="1"/>
  <c r="O48" i="273"/>
  <c r="R48" i="273" s="1"/>
  <c r="N77" i="273"/>
  <c r="N242" i="273"/>
  <c r="O242" i="273"/>
  <c r="R242" i="273" s="1"/>
  <c r="P122" i="273"/>
  <c r="Q122" i="273" s="1"/>
  <c r="M21" i="275"/>
  <c r="O137" i="273"/>
  <c r="R137" i="273" s="1"/>
  <c r="N137" i="273"/>
  <c r="N113" i="273"/>
  <c r="O141" i="273"/>
  <c r="R141" i="273" s="1"/>
  <c r="N141" i="273"/>
  <c r="P116" i="273"/>
  <c r="Q116" i="273" s="1"/>
  <c r="I63" i="275"/>
  <c r="P63" i="275" s="1"/>
  <c r="I75" i="275"/>
  <c r="P75" i="275" s="1"/>
  <c r="I73" i="275"/>
  <c r="P73" i="275" s="1"/>
  <c r="I74" i="275"/>
  <c r="P74" i="275" s="1"/>
  <c r="H73" i="275"/>
  <c r="O73" i="275" s="1"/>
  <c r="H76" i="275"/>
  <c r="O76" i="275" s="1"/>
  <c r="H74" i="275"/>
  <c r="O74" i="275" s="1"/>
  <c r="H75" i="275"/>
  <c r="O75" i="275" s="1"/>
  <c r="I44" i="275"/>
  <c r="P44" i="275" s="1"/>
  <c r="I50" i="275"/>
  <c r="P50" i="275" s="1"/>
  <c r="I43" i="275"/>
  <c r="P43" i="275" s="1"/>
  <c r="H41" i="275"/>
  <c r="O41" i="275" s="1"/>
  <c r="H40" i="275"/>
  <c r="O40" i="275" s="1"/>
  <c r="K31" i="275"/>
  <c r="R24" i="275" s="1"/>
  <c r="J24" i="275"/>
  <c r="J28" i="275" s="1"/>
  <c r="L30" i="275"/>
  <c r="S23" i="275" s="1"/>
  <c r="J30" i="275"/>
  <c r="L24" i="275"/>
  <c r="L31" i="275" s="1"/>
  <c r="S24" i="275" s="1"/>
  <c r="J27" i="275"/>
  <c r="M22" i="275"/>
  <c r="P51" i="273"/>
  <c r="Q51" i="273" s="1"/>
  <c r="N51" i="273"/>
  <c r="O51" i="273"/>
  <c r="R51" i="273" s="1"/>
  <c r="P224" i="273"/>
  <c r="Q224" i="273" s="1"/>
  <c r="N224" i="273"/>
  <c r="M230" i="273"/>
  <c r="O224" i="273"/>
  <c r="R224" i="273" s="1"/>
  <c r="N228" i="273"/>
  <c r="P228" i="273"/>
  <c r="Q228" i="273" s="1"/>
  <c r="P243" i="273"/>
  <c r="Q243" i="273" s="1"/>
  <c r="N243" i="273"/>
  <c r="P249" i="273"/>
  <c r="Q249" i="273" s="1"/>
  <c r="P229" i="273"/>
  <c r="Q229" i="273" s="1"/>
  <c r="O229" i="273"/>
  <c r="R229" i="273" s="1"/>
  <c r="N229" i="273"/>
  <c r="O250" i="273"/>
  <c r="R250" i="273" s="1"/>
  <c r="N250" i="273"/>
  <c r="P250" i="273"/>
  <c r="Q250" i="273" s="1"/>
  <c r="N204" i="273"/>
  <c r="M205" i="273"/>
  <c r="P204" i="273"/>
  <c r="Q204" i="273" s="1"/>
  <c r="O204" i="273"/>
  <c r="R204" i="273" s="1"/>
  <c r="M214" i="273"/>
  <c r="N213" i="273"/>
  <c r="P213" i="273"/>
  <c r="Q213" i="273" s="1"/>
  <c r="O213" i="273"/>
  <c r="R213" i="273" s="1"/>
  <c r="D17" i="256"/>
  <c r="D16" i="256"/>
  <c r="B18" i="256"/>
  <c r="D8" i="269"/>
  <c r="B21" i="269" s="1"/>
  <c r="J21" i="269" s="1"/>
  <c r="B15" i="269"/>
  <c r="D13" i="269"/>
  <c r="U13" i="269"/>
  <c r="H33" i="269"/>
  <c r="J33" i="269" s="1"/>
  <c r="T15" i="269"/>
  <c r="H32" i="269"/>
  <c r="C15" i="269"/>
  <c r="U15" i="269"/>
  <c r="S15" i="269"/>
  <c r="P189" i="273" l="1"/>
  <c r="Q189" i="273" s="1"/>
  <c r="O189" i="273"/>
  <c r="R189" i="273" s="1"/>
  <c r="P63" i="273"/>
  <c r="Q63" i="273" s="1"/>
  <c r="D15" i="269"/>
  <c r="N192" i="273"/>
  <c r="P192" i="273"/>
  <c r="Q192" i="273" s="1"/>
  <c r="N9" i="269"/>
  <c r="P9" i="269" s="1"/>
  <c r="R106" i="273"/>
  <c r="L17" i="277"/>
  <c r="O6" i="277" s="1"/>
  <c r="R101" i="273"/>
  <c r="L12" i="277"/>
  <c r="R102" i="273"/>
  <c r="L13" i="277"/>
  <c r="R104" i="273"/>
  <c r="L15" i="277"/>
  <c r="N97" i="273"/>
  <c r="K8" i="277"/>
  <c r="R105" i="273"/>
  <c r="L16" i="277"/>
  <c r="O98" i="273"/>
  <c r="K9" i="277"/>
  <c r="P95" i="273"/>
  <c r="Q95" i="273" s="1"/>
  <c r="K6" i="277"/>
  <c r="O100" i="273"/>
  <c r="K11" i="277"/>
  <c r="N96" i="273"/>
  <c r="K7" i="277"/>
  <c r="R103" i="273"/>
  <c r="L14" i="277"/>
  <c r="W34" i="282"/>
  <c r="E43" i="282"/>
  <c r="D43" i="282"/>
  <c r="C40" i="282"/>
  <c r="E40" i="282"/>
  <c r="D41" i="282"/>
  <c r="E41" i="282"/>
  <c r="D40" i="282"/>
  <c r="F43" i="282"/>
  <c r="F41" i="282"/>
  <c r="D45" i="282"/>
  <c r="D50" i="282" s="1"/>
  <c r="E45" i="282"/>
  <c r="C43" i="282"/>
  <c r="F42" i="282"/>
  <c r="D42" i="282"/>
  <c r="C45" i="282"/>
  <c r="E44" i="282"/>
  <c r="F44" i="282"/>
  <c r="C41" i="282"/>
  <c r="F45" i="282"/>
  <c r="C44" i="282"/>
  <c r="E42" i="282"/>
  <c r="W36" i="282"/>
  <c r="W33" i="282"/>
  <c r="W32" i="282"/>
  <c r="W30" i="282"/>
  <c r="W37" i="282"/>
  <c r="G19" i="278"/>
  <c r="H17" i="278"/>
  <c r="H19" i="278"/>
  <c r="K18" i="278"/>
  <c r="A23" i="278" s="1"/>
  <c r="J19" i="278"/>
  <c r="J17" i="278"/>
  <c r="I19" i="278"/>
  <c r="G17" i="278"/>
  <c r="I17" i="278"/>
  <c r="E20" i="278"/>
  <c r="N80" i="273"/>
  <c r="O80" i="273"/>
  <c r="R80" i="273" s="1"/>
  <c r="N266" i="273"/>
  <c r="O63" i="273"/>
  <c r="R63" i="273" s="1"/>
  <c r="N297" i="273"/>
  <c r="P264" i="273"/>
  <c r="Q264" i="273" s="1"/>
  <c r="E47" i="273"/>
  <c r="N301" i="273"/>
  <c r="E49" i="273"/>
  <c r="O30" i="273"/>
  <c r="R30" i="273" s="1"/>
  <c r="E50" i="273"/>
  <c r="O81" i="273"/>
  <c r="R81" i="273" s="1"/>
  <c r="N86" i="273"/>
  <c r="N206" i="273"/>
  <c r="O206" i="273"/>
  <c r="R206" i="273" s="1"/>
  <c r="N303" i="273"/>
  <c r="O149" i="273"/>
  <c r="R149" i="273" s="1"/>
  <c r="P62" i="273"/>
  <c r="Q62" i="273" s="1"/>
  <c r="M267" i="273"/>
  <c r="N267" i="273" s="1"/>
  <c r="M207" i="273"/>
  <c r="N207" i="273" s="1"/>
  <c r="N62" i="273"/>
  <c r="N87" i="273"/>
  <c r="P266" i="273"/>
  <c r="Q266" i="273" s="1"/>
  <c r="O278" i="273"/>
  <c r="R278" i="273" s="1"/>
  <c r="N283" i="273"/>
  <c r="N211" i="273"/>
  <c r="P149" i="273"/>
  <c r="Q149" i="273" s="1"/>
  <c r="P297" i="273"/>
  <c r="Q297" i="273" s="1"/>
  <c r="O86" i="273"/>
  <c r="R86" i="273" s="1"/>
  <c r="N257" i="273"/>
  <c r="P100" i="273"/>
  <c r="Q100" i="273" s="1"/>
  <c r="M304" i="273"/>
  <c r="N304" i="273" s="1"/>
  <c r="P211" i="273"/>
  <c r="Q211" i="273" s="1"/>
  <c r="N100" i="273"/>
  <c r="N81" i="273"/>
  <c r="P283" i="273"/>
  <c r="Q283" i="273" s="1"/>
  <c r="P53" i="273"/>
  <c r="Q53" i="273" s="1"/>
  <c r="N134" i="273"/>
  <c r="O87" i="273"/>
  <c r="R87" i="273" s="1"/>
  <c r="N30" i="273"/>
  <c r="N157" i="273"/>
  <c r="P248" i="273"/>
  <c r="Q248" i="273" s="1"/>
  <c r="P232" i="273"/>
  <c r="Q232" i="273" s="1"/>
  <c r="P282" i="273"/>
  <c r="Q282" i="273" s="1"/>
  <c r="N140" i="273"/>
  <c r="N282" i="273"/>
  <c r="O140" i="273"/>
  <c r="R140" i="273" s="1"/>
  <c r="N260" i="273"/>
  <c r="N28" i="273"/>
  <c r="O260" i="273"/>
  <c r="R260" i="273" s="1"/>
  <c r="M261" i="273"/>
  <c r="O261" i="273" s="1"/>
  <c r="R261" i="273" s="1"/>
  <c r="P28" i="273"/>
  <c r="Q28" i="273" s="1"/>
  <c r="M284" i="273"/>
  <c r="P278" i="273"/>
  <c r="Q278" i="273" s="1"/>
  <c r="N294" i="273"/>
  <c r="N135" i="273"/>
  <c r="M259" i="273"/>
  <c r="P259" i="273" s="1"/>
  <c r="Q259" i="273" s="1"/>
  <c r="M158" i="273"/>
  <c r="N158" i="273" s="1"/>
  <c r="P294" i="273"/>
  <c r="Q294" i="273" s="1"/>
  <c r="O257" i="273"/>
  <c r="R257" i="273" s="1"/>
  <c r="N258" i="273"/>
  <c r="O294" i="273"/>
  <c r="R294" i="273" s="1"/>
  <c r="P157" i="273"/>
  <c r="Q157" i="273" s="1"/>
  <c r="K28" i="275"/>
  <c r="M23" i="275"/>
  <c r="P257" i="273"/>
  <c r="Q257" i="273" s="1"/>
  <c r="P258" i="273"/>
  <c r="Q258" i="273" s="1"/>
  <c r="O47" i="273"/>
  <c r="R47" i="273" s="1"/>
  <c r="O265" i="273"/>
  <c r="R265" i="273" s="1"/>
  <c r="P265" i="273"/>
  <c r="Q265" i="273" s="1"/>
  <c r="N136" i="273"/>
  <c r="P124" i="273"/>
  <c r="Q124" i="273" s="1"/>
  <c r="N47" i="273"/>
  <c r="N42" i="273"/>
  <c r="N53" i="273"/>
  <c r="O134" i="273"/>
  <c r="R134" i="273" s="1"/>
  <c r="P303" i="273"/>
  <c r="Q303" i="273" s="1"/>
  <c r="M150" i="273"/>
  <c r="P150" i="273" s="1"/>
  <c r="Q150" i="273" s="1"/>
  <c r="N264" i="273"/>
  <c r="O264" i="273"/>
  <c r="R264" i="273" s="1"/>
  <c r="M298" i="273"/>
  <c r="N298" i="273" s="1"/>
  <c r="P136" i="273"/>
  <c r="Q136" i="273" s="1"/>
  <c r="N64" i="273"/>
  <c r="N70" i="273"/>
  <c r="P295" i="273"/>
  <c r="Q295" i="273" s="1"/>
  <c r="O95" i="273"/>
  <c r="O43" i="273"/>
  <c r="R43" i="273" s="1"/>
  <c r="N295" i="273"/>
  <c r="O124" i="273"/>
  <c r="R124" i="273" s="1"/>
  <c r="N150" i="273"/>
  <c r="P139" i="273"/>
  <c r="Q139" i="273" s="1"/>
  <c r="N61" i="273"/>
  <c r="O61" i="273"/>
  <c r="R61" i="273" s="1"/>
  <c r="O248" i="273"/>
  <c r="R248" i="273" s="1"/>
  <c r="O133" i="273"/>
  <c r="R133" i="273" s="1"/>
  <c r="O301" i="273"/>
  <c r="R301" i="273" s="1"/>
  <c r="O142" i="273"/>
  <c r="R142" i="273" s="1"/>
  <c r="N139" i="273"/>
  <c r="P88" i="273"/>
  <c r="Q88" i="273" s="1"/>
  <c r="P82" i="273"/>
  <c r="Q82" i="273" s="1"/>
  <c r="N82" i="273"/>
  <c r="O82" i="273"/>
  <c r="R82" i="273" s="1"/>
  <c r="N142" i="273"/>
  <c r="O88" i="273"/>
  <c r="R88" i="273" s="1"/>
  <c r="N232" i="273"/>
  <c r="N133" i="273"/>
  <c r="P97" i="273"/>
  <c r="Q97" i="273" s="1"/>
  <c r="P70" i="273"/>
  <c r="Q70" i="273" s="1"/>
  <c r="P61" i="273"/>
  <c r="Q61" i="273" s="1"/>
  <c r="P99" i="273"/>
  <c r="Q99" i="273" s="1"/>
  <c r="O99" i="273"/>
  <c r="N99" i="273"/>
  <c r="P293" i="273"/>
  <c r="Q293" i="273" s="1"/>
  <c r="M296" i="273"/>
  <c r="O293" i="273"/>
  <c r="R293" i="273" s="1"/>
  <c r="N293" i="273"/>
  <c r="E66" i="273"/>
  <c r="E57" i="273"/>
  <c r="E68" i="273"/>
  <c r="E63" i="273"/>
  <c r="E64" i="273"/>
  <c r="E59" i="273"/>
  <c r="E67" i="273"/>
  <c r="E58" i="273"/>
  <c r="E73" i="273"/>
  <c r="E78" i="273"/>
  <c r="M193" i="273"/>
  <c r="N187" i="273"/>
  <c r="P187" i="273"/>
  <c r="Q187" i="273" s="1"/>
  <c r="O187" i="273"/>
  <c r="R187" i="273" s="1"/>
  <c r="M196" i="273"/>
  <c r="M190" i="273"/>
  <c r="O131" i="273"/>
  <c r="R131" i="273" s="1"/>
  <c r="P131" i="273"/>
  <c r="Q131" i="273" s="1"/>
  <c r="P27" i="273"/>
  <c r="Q27" i="273" s="1"/>
  <c r="N27" i="273"/>
  <c r="O27" i="273"/>
  <c r="R27" i="273" s="1"/>
  <c r="N98" i="273"/>
  <c r="E55" i="273"/>
  <c r="E77" i="273"/>
  <c r="O36" i="273"/>
  <c r="R36" i="273" s="1"/>
  <c r="P36" i="273"/>
  <c r="Q36" i="273" s="1"/>
  <c r="N36" i="273"/>
  <c r="M286" i="273"/>
  <c r="O280" i="273"/>
  <c r="R280" i="273" s="1"/>
  <c r="N280" i="273"/>
  <c r="P280" i="273"/>
  <c r="Q280" i="273" s="1"/>
  <c r="E56" i="273"/>
  <c r="P173" i="273"/>
  <c r="Q173" i="273" s="1"/>
  <c r="O173" i="273"/>
  <c r="R173" i="273" s="1"/>
  <c r="M174" i="273"/>
  <c r="N173" i="273"/>
  <c r="P115" i="273"/>
  <c r="Q115" i="273" s="1"/>
  <c r="N115" i="273"/>
  <c r="O115" i="273"/>
  <c r="R115" i="273" s="1"/>
  <c r="N169" i="273"/>
  <c r="P169" i="273"/>
  <c r="Q169" i="273" s="1"/>
  <c r="O169" i="273"/>
  <c r="R169" i="273" s="1"/>
  <c r="P241" i="273"/>
  <c r="Q241" i="273" s="1"/>
  <c r="M244" i="273"/>
  <c r="O241" i="273"/>
  <c r="R241" i="273" s="1"/>
  <c r="N241" i="273"/>
  <c r="O97" i="273"/>
  <c r="O42" i="273"/>
  <c r="R42" i="273" s="1"/>
  <c r="N95" i="273"/>
  <c r="P135" i="273"/>
  <c r="Q135" i="273" s="1"/>
  <c r="E54" i="273"/>
  <c r="N131" i="273"/>
  <c r="E65" i="273"/>
  <c r="E82" i="273"/>
  <c r="O64" i="273"/>
  <c r="R64" i="273" s="1"/>
  <c r="O35" i="273"/>
  <c r="R35" i="273" s="1"/>
  <c r="P35" i="273"/>
  <c r="Q35" i="273" s="1"/>
  <c r="N35" i="273"/>
  <c r="P67" i="273"/>
  <c r="Q67" i="273" s="1"/>
  <c r="O67" i="273"/>
  <c r="R67" i="273" s="1"/>
  <c r="N67" i="273"/>
  <c r="O44" i="273"/>
  <c r="R44" i="273" s="1"/>
  <c r="N44" i="273"/>
  <c r="P44" i="273"/>
  <c r="Q44" i="273" s="1"/>
  <c r="O96" i="273"/>
  <c r="P96" i="273"/>
  <c r="Q96" i="273" s="1"/>
  <c r="P279" i="273"/>
  <c r="Q279" i="273" s="1"/>
  <c r="N279" i="273"/>
  <c r="M285" i="273"/>
  <c r="O279" i="273"/>
  <c r="R279" i="273" s="1"/>
  <c r="O312" i="273"/>
  <c r="R312" i="273" s="1"/>
  <c r="M313" i="273"/>
  <c r="N312" i="273"/>
  <c r="P312" i="273"/>
  <c r="Q312" i="273" s="1"/>
  <c r="N281" i="273"/>
  <c r="O281" i="273"/>
  <c r="R281" i="273" s="1"/>
  <c r="O45" i="273"/>
  <c r="R45" i="273" s="1"/>
  <c r="P45" i="273"/>
  <c r="Q45" i="273" s="1"/>
  <c r="P98" i="273"/>
  <c r="Q98" i="273" s="1"/>
  <c r="N43" i="273"/>
  <c r="E83" i="273"/>
  <c r="N29" i="273"/>
  <c r="O29" i="273"/>
  <c r="R29" i="273" s="1"/>
  <c r="P29" i="273"/>
  <c r="Q29" i="273" s="1"/>
  <c r="P170" i="273"/>
  <c r="Q170" i="273" s="1"/>
  <c r="O170" i="273"/>
  <c r="R170" i="273" s="1"/>
  <c r="M171" i="273"/>
  <c r="M176" i="273"/>
  <c r="N170" i="273"/>
  <c r="P118" i="273"/>
  <c r="Q118" i="273" s="1"/>
  <c r="N118" i="273"/>
  <c r="O118" i="273"/>
  <c r="R118" i="273" s="1"/>
  <c r="P132" i="273"/>
  <c r="Q132" i="273" s="1"/>
  <c r="O132" i="273"/>
  <c r="R132" i="273" s="1"/>
  <c r="N132" i="273"/>
  <c r="E72" i="273"/>
  <c r="P46" i="273"/>
  <c r="Q46" i="273" s="1"/>
  <c r="O46" i="273"/>
  <c r="R46" i="273" s="1"/>
  <c r="N46" i="273"/>
  <c r="N34" i="273"/>
  <c r="O34" i="273"/>
  <c r="R34" i="273" s="1"/>
  <c r="P34" i="273"/>
  <c r="Q34" i="273" s="1"/>
  <c r="N121" i="273"/>
  <c r="P121" i="273"/>
  <c r="Q121" i="273" s="1"/>
  <c r="O121" i="273"/>
  <c r="R121" i="273" s="1"/>
  <c r="K25" i="275"/>
  <c r="R23" i="275"/>
  <c r="O302" i="273"/>
  <c r="R302" i="273" s="1"/>
  <c r="P302" i="273"/>
  <c r="Q302" i="273" s="1"/>
  <c r="N302" i="273"/>
  <c r="N265" i="273"/>
  <c r="J25" i="275"/>
  <c r="I99" i="275"/>
  <c r="P99" i="275" s="1"/>
  <c r="H101" i="275"/>
  <c r="O101" i="275" s="1"/>
  <c r="H102" i="275"/>
  <c r="O102" i="275" s="1"/>
  <c r="I100" i="275"/>
  <c r="P100" i="275" s="1"/>
  <c r="I101" i="275"/>
  <c r="P101" i="275" s="1"/>
  <c r="H100" i="275"/>
  <c r="O100" i="275" s="1"/>
  <c r="H99" i="275"/>
  <c r="O99" i="275" s="1"/>
  <c r="I88" i="275"/>
  <c r="P88" i="275" s="1"/>
  <c r="H66" i="275"/>
  <c r="O66" i="275" s="1"/>
  <c r="I69" i="275"/>
  <c r="P69" i="275" s="1"/>
  <c r="I57" i="275"/>
  <c r="P57" i="275" s="1"/>
  <c r="H88" i="275"/>
  <c r="O88" i="275" s="1"/>
  <c r="H89" i="275"/>
  <c r="O89" i="275" s="1"/>
  <c r="I87" i="275"/>
  <c r="P87" i="275" s="1"/>
  <c r="S28" i="275"/>
  <c r="H67" i="275"/>
  <c r="O67" i="275" s="1"/>
  <c r="H87" i="275"/>
  <c r="O87" i="275" s="1"/>
  <c r="H86" i="275"/>
  <c r="O86" i="275" s="1"/>
  <c r="I76" i="275"/>
  <c r="P76" i="275" s="1"/>
  <c r="I86" i="275"/>
  <c r="P86" i="275" s="1"/>
  <c r="R22" i="275"/>
  <c r="H53" i="275"/>
  <c r="O53" i="275" s="1"/>
  <c r="I56" i="275"/>
  <c r="P56" i="275" s="1"/>
  <c r="H54" i="275"/>
  <c r="O54" i="275" s="1"/>
  <c r="S22" i="275"/>
  <c r="J31" i="275"/>
  <c r="Q24" i="275" s="1"/>
  <c r="L25" i="275"/>
  <c r="S21" i="275"/>
  <c r="M24" i="275"/>
  <c r="L28" i="275"/>
  <c r="Q23" i="275"/>
  <c r="Q21" i="275"/>
  <c r="N230" i="273"/>
  <c r="P230" i="273"/>
  <c r="Q230" i="273" s="1"/>
  <c r="O230" i="273"/>
  <c r="R230" i="273" s="1"/>
  <c r="R233" i="273" s="1"/>
  <c r="U220" i="273" s="1"/>
  <c r="P205" i="273"/>
  <c r="Q205" i="273" s="1"/>
  <c r="O205" i="273"/>
  <c r="R205" i="273" s="1"/>
  <c r="N205" i="273"/>
  <c r="O214" i="273"/>
  <c r="R214" i="273" s="1"/>
  <c r="P214" i="273"/>
  <c r="Q214" i="273" s="1"/>
  <c r="N214" i="273"/>
  <c r="D18" i="256"/>
  <c r="K21" i="269"/>
  <c r="K31" i="269"/>
  <c r="C20" i="269"/>
  <c r="J22" i="269" s="1"/>
  <c r="B20" i="269"/>
  <c r="C21" i="269"/>
  <c r="J32" i="269"/>
  <c r="N7" i="269"/>
  <c r="P7" i="269" s="1"/>
  <c r="H34" i="269"/>
  <c r="I32" i="269" s="1"/>
  <c r="N8" i="269"/>
  <c r="P8" i="269" s="1"/>
  <c r="C95" i="256"/>
  <c r="C91" i="256"/>
  <c r="J80" i="256"/>
  <c r="K80" i="256" s="1"/>
  <c r="I80" i="256"/>
  <c r="J79" i="256"/>
  <c r="K79" i="256" s="1"/>
  <c r="I79" i="256"/>
  <c r="J78" i="256"/>
  <c r="K78" i="256" s="1"/>
  <c r="I78" i="256"/>
  <c r="F78" i="256"/>
  <c r="F79" i="256" s="1"/>
  <c r="F80" i="256" s="1"/>
  <c r="J77" i="256"/>
  <c r="K77" i="256" s="1"/>
  <c r="I77" i="256"/>
  <c r="I63" i="256"/>
  <c r="I62" i="256"/>
  <c r="I61" i="256"/>
  <c r="F61" i="256"/>
  <c r="F62" i="256" s="1"/>
  <c r="F63" i="256" s="1"/>
  <c r="I60" i="256"/>
  <c r="I46" i="256"/>
  <c r="I45" i="256"/>
  <c r="I44" i="256"/>
  <c r="F44" i="256"/>
  <c r="F45" i="256" s="1"/>
  <c r="F46" i="256" s="1"/>
  <c r="I43" i="256"/>
  <c r="I29" i="256"/>
  <c r="I28" i="256"/>
  <c r="I27" i="256"/>
  <c r="F27" i="256"/>
  <c r="F28" i="256" s="1"/>
  <c r="F29" i="256" s="1"/>
  <c r="I26" i="256"/>
  <c r="S11" i="256"/>
  <c r="R11" i="256"/>
  <c r="X10" i="256"/>
  <c r="W10" i="256"/>
  <c r="T10" i="256"/>
  <c r="Q10" i="256"/>
  <c r="T9" i="256"/>
  <c r="Q9" i="256"/>
  <c r="S8" i="256"/>
  <c r="R8" i="256"/>
  <c r="Y84" i="256"/>
  <c r="Y83" i="256"/>
  <c r="S80" i="256"/>
  <c r="R80" i="256"/>
  <c r="X79" i="256"/>
  <c r="W79" i="256"/>
  <c r="T79" i="256"/>
  <c r="Q79" i="256"/>
  <c r="T78" i="256"/>
  <c r="Q78" i="256"/>
  <c r="S77" i="256"/>
  <c r="R77" i="256"/>
  <c r="B85" i="256" a="1"/>
  <c r="B85" i="256" s="1"/>
  <c r="S63" i="256"/>
  <c r="R63" i="256"/>
  <c r="Y66" i="256"/>
  <c r="X62" i="256"/>
  <c r="W62" i="256"/>
  <c r="T62" i="256"/>
  <c r="Q62" i="256"/>
  <c r="T61" i="256"/>
  <c r="Q61" i="256"/>
  <c r="S60" i="256"/>
  <c r="R60" i="256"/>
  <c r="S46" i="256"/>
  <c r="R46" i="256"/>
  <c r="Y45" i="256"/>
  <c r="Y50" i="256" s="1"/>
  <c r="X45" i="256"/>
  <c r="W45" i="256"/>
  <c r="T45" i="256"/>
  <c r="Q45" i="256"/>
  <c r="T44" i="256"/>
  <c r="Q44" i="256"/>
  <c r="B52" i="256"/>
  <c r="J44" i="256" s="1"/>
  <c r="K44" i="256" s="1"/>
  <c r="S43" i="256"/>
  <c r="R43" i="256"/>
  <c r="Y28" i="256"/>
  <c r="C92" i="256" s="1"/>
  <c r="S29" i="256"/>
  <c r="R29" i="256"/>
  <c r="X28" i="256"/>
  <c r="W28" i="256"/>
  <c r="T28" i="256"/>
  <c r="Q28" i="256"/>
  <c r="T27" i="256"/>
  <c r="Q27" i="256"/>
  <c r="S26" i="256"/>
  <c r="R26" i="256"/>
  <c r="C34" i="256"/>
  <c r="J28" i="256" s="1"/>
  <c r="K28" i="256" s="1"/>
  <c r="B34" i="256"/>
  <c r="J26" i="256" s="1"/>
  <c r="K26" i="256" s="1"/>
  <c r="I11" i="256"/>
  <c r="I10" i="256"/>
  <c r="I9" i="256"/>
  <c r="I8" i="256"/>
  <c r="F9" i="256"/>
  <c r="F10" i="256" s="1"/>
  <c r="F11" i="256" s="1"/>
  <c r="I17" i="253"/>
  <c r="I16" i="253"/>
  <c r="I15" i="253"/>
  <c r="I14" i="253"/>
  <c r="I7" i="253"/>
  <c r="I8" i="253"/>
  <c r="I9" i="253"/>
  <c r="I6" i="253"/>
  <c r="J9" i="253"/>
  <c r="K9" i="253" s="1"/>
  <c r="J8" i="253"/>
  <c r="K8" i="253" s="1"/>
  <c r="J7" i="253"/>
  <c r="K7" i="253" s="1"/>
  <c r="J6" i="253"/>
  <c r="K6" i="253" s="1"/>
  <c r="F15" i="253"/>
  <c r="F16" i="253" s="1"/>
  <c r="F17" i="253" s="1"/>
  <c r="C8" i="253"/>
  <c r="B8" i="253"/>
  <c r="F7" i="253"/>
  <c r="F8" i="253" s="1"/>
  <c r="F9" i="253" s="1"/>
  <c r="D7" i="253"/>
  <c r="D6" i="253"/>
  <c r="M77" i="256" l="1"/>
  <c r="M78" i="256" s="1"/>
  <c r="O8" i="277"/>
  <c r="G42" i="282"/>
  <c r="G20" i="278"/>
  <c r="O9" i="277"/>
  <c r="R96" i="273"/>
  <c r="L7" i="277"/>
  <c r="C22" i="269"/>
  <c r="R97" i="273"/>
  <c r="L8" i="277"/>
  <c r="R99" i="273"/>
  <c r="L10" i="277"/>
  <c r="R100" i="273"/>
  <c r="L11" i="277"/>
  <c r="O7" i="277" s="1"/>
  <c r="R98" i="273"/>
  <c r="L9" i="277"/>
  <c r="R95" i="273"/>
  <c r="L6" i="277"/>
  <c r="O10" i="277"/>
  <c r="G41" i="282"/>
  <c r="E50" i="282"/>
  <c r="M45" i="282" s="1"/>
  <c r="G44" i="282"/>
  <c r="G45" i="282"/>
  <c r="G40" i="282"/>
  <c r="C50" i="282"/>
  <c r="K45" i="282" s="1"/>
  <c r="G43" i="282"/>
  <c r="L45" i="282"/>
  <c r="L44" i="282"/>
  <c r="F53" i="282"/>
  <c r="D49" i="282"/>
  <c r="E53" i="282"/>
  <c r="E46" i="282"/>
  <c r="E49" i="282"/>
  <c r="D53" i="282"/>
  <c r="D48" i="282"/>
  <c r="D46" i="282"/>
  <c r="D52" i="282"/>
  <c r="E52" i="282"/>
  <c r="F48" i="282"/>
  <c r="F52" i="282"/>
  <c r="F46" i="282"/>
  <c r="C49" i="282"/>
  <c r="C53" i="282"/>
  <c r="C48" i="282"/>
  <c r="C52" i="282"/>
  <c r="C46" i="282"/>
  <c r="F49" i="282"/>
  <c r="F50" i="282"/>
  <c r="E48" i="282"/>
  <c r="H20" i="278"/>
  <c r="K17" i="278"/>
  <c r="B22" i="278" s="1"/>
  <c r="B23" i="278"/>
  <c r="C23" i="278"/>
  <c r="D23" i="278"/>
  <c r="J20" i="278"/>
  <c r="I20" i="278"/>
  <c r="K19" i="278"/>
  <c r="A24" i="278" s="1"/>
  <c r="I33" i="269"/>
  <c r="S31" i="275"/>
  <c r="T21" i="275"/>
  <c r="D34" i="275" s="1"/>
  <c r="P298" i="273"/>
  <c r="Q298" i="273" s="1"/>
  <c r="P304" i="273"/>
  <c r="Q304" i="273" s="1"/>
  <c r="O267" i="273"/>
  <c r="R267" i="273" s="1"/>
  <c r="P261" i="273"/>
  <c r="Q261" i="273" s="1"/>
  <c r="M262" i="273"/>
  <c r="N262" i="273" s="1"/>
  <c r="O207" i="273"/>
  <c r="R207" i="273" s="1"/>
  <c r="P207" i="273"/>
  <c r="Q207" i="273" s="1"/>
  <c r="M208" i="273"/>
  <c r="P208" i="273" s="1"/>
  <c r="Q208" i="273" s="1"/>
  <c r="S30" i="275"/>
  <c r="M268" i="273"/>
  <c r="N268" i="273" s="1"/>
  <c r="P267" i="273"/>
  <c r="Q267" i="273" s="1"/>
  <c r="N261" i="273"/>
  <c r="R125" i="273"/>
  <c r="U112" i="273" s="1"/>
  <c r="B105" i="273" s="1"/>
  <c r="R89" i="273"/>
  <c r="U76" i="273" s="1"/>
  <c r="B104" i="273" s="1"/>
  <c r="C114" i="273" s="1"/>
  <c r="O150" i="273"/>
  <c r="R150" i="273" s="1"/>
  <c r="O304" i="273"/>
  <c r="R304" i="273" s="1"/>
  <c r="O158" i="273"/>
  <c r="R158" i="273" s="1"/>
  <c r="O259" i="273"/>
  <c r="R259" i="273" s="1"/>
  <c r="O298" i="273"/>
  <c r="R298" i="273" s="1"/>
  <c r="N284" i="273"/>
  <c r="P284" i="273"/>
  <c r="Q284" i="273" s="1"/>
  <c r="O284" i="273"/>
  <c r="R284" i="273" s="1"/>
  <c r="P158" i="273"/>
  <c r="Q158" i="273" s="1"/>
  <c r="M159" i="273"/>
  <c r="M160" i="273" s="1"/>
  <c r="M25" i="275"/>
  <c r="N259" i="273"/>
  <c r="R71" i="273"/>
  <c r="U58" i="273" s="1"/>
  <c r="B102" i="273" s="1"/>
  <c r="C132" i="273" s="1"/>
  <c r="M151" i="273"/>
  <c r="P151" i="273" s="1"/>
  <c r="Q151" i="273" s="1"/>
  <c r="R54" i="273"/>
  <c r="U41" i="273" s="1"/>
  <c r="B100" i="273" s="1"/>
  <c r="R37" i="273"/>
  <c r="U24" i="273" s="1"/>
  <c r="R25" i="275"/>
  <c r="R30" i="275"/>
  <c r="R143" i="273"/>
  <c r="U130" i="273" s="1"/>
  <c r="U133" i="273" s="1"/>
  <c r="P285" i="273"/>
  <c r="Q285" i="273" s="1"/>
  <c r="N285" i="273"/>
  <c r="O285" i="273"/>
  <c r="R285" i="273" s="1"/>
  <c r="P244" i="273"/>
  <c r="Q244" i="273" s="1"/>
  <c r="N244" i="273"/>
  <c r="O244" i="273"/>
  <c r="R244" i="273" s="1"/>
  <c r="R251" i="273" s="1"/>
  <c r="U238" i="273" s="1"/>
  <c r="P286" i="273"/>
  <c r="Q286" i="273" s="1"/>
  <c r="N286" i="273"/>
  <c r="O286" i="273"/>
  <c r="R286" i="273" s="1"/>
  <c r="N190" i="273"/>
  <c r="P190" i="273"/>
  <c r="Q190" i="273" s="1"/>
  <c r="O190" i="273"/>
  <c r="R190" i="273" s="1"/>
  <c r="T24" i="275"/>
  <c r="C37" i="275" s="1"/>
  <c r="Q22" i="275"/>
  <c r="R28" i="275"/>
  <c r="M177" i="273"/>
  <c r="O176" i="273"/>
  <c r="R176" i="273" s="1"/>
  <c r="P176" i="273"/>
  <c r="Q176" i="273" s="1"/>
  <c r="N176" i="273"/>
  <c r="M314" i="273"/>
  <c r="N313" i="273"/>
  <c r="O313" i="273"/>
  <c r="R313" i="273" s="1"/>
  <c r="P313" i="273"/>
  <c r="Q313" i="273" s="1"/>
  <c r="N174" i="273"/>
  <c r="P174" i="273"/>
  <c r="Q174" i="273" s="1"/>
  <c r="M175" i="273"/>
  <c r="O174" i="273"/>
  <c r="R174" i="273" s="1"/>
  <c r="N196" i="273"/>
  <c r="P196" i="273"/>
  <c r="Q196" i="273" s="1"/>
  <c r="O196" i="273"/>
  <c r="R196" i="273" s="1"/>
  <c r="P193" i="273"/>
  <c r="Q193" i="273" s="1"/>
  <c r="O193" i="273"/>
  <c r="R193" i="273" s="1"/>
  <c r="N193" i="273"/>
  <c r="N171" i="273"/>
  <c r="P171" i="273"/>
  <c r="Q171" i="273" s="1"/>
  <c r="M172" i="273"/>
  <c r="O171" i="273"/>
  <c r="R171" i="273" s="1"/>
  <c r="P296" i="273"/>
  <c r="Q296" i="273" s="1"/>
  <c r="O296" i="273"/>
  <c r="R296" i="273" s="1"/>
  <c r="N296" i="273"/>
  <c r="R31" i="275"/>
  <c r="I102" i="275"/>
  <c r="P102" i="275" s="1"/>
  <c r="H112" i="275"/>
  <c r="O112" i="275" s="1"/>
  <c r="I114" i="275"/>
  <c r="P114" i="275" s="1"/>
  <c r="H115" i="275"/>
  <c r="O115" i="275" s="1"/>
  <c r="I112" i="275"/>
  <c r="P112" i="275" s="1"/>
  <c r="H113" i="275"/>
  <c r="O113" i="275" s="1"/>
  <c r="I113" i="275"/>
  <c r="P113" i="275" s="1"/>
  <c r="H114" i="275"/>
  <c r="O114" i="275" s="1"/>
  <c r="S27" i="275"/>
  <c r="I70" i="275"/>
  <c r="P70" i="275" s="1"/>
  <c r="H79" i="275"/>
  <c r="O79" i="275" s="1"/>
  <c r="I82" i="275"/>
  <c r="P82" i="275" s="1"/>
  <c r="H80" i="275"/>
  <c r="O80" i="275" s="1"/>
  <c r="I89" i="275"/>
  <c r="P89" i="275" s="1"/>
  <c r="R27" i="275"/>
  <c r="Q30" i="275"/>
  <c r="S25" i="275"/>
  <c r="T23" i="275"/>
  <c r="E36" i="275" s="1"/>
  <c r="Q28" i="275"/>
  <c r="U223" i="273"/>
  <c r="B98" i="273"/>
  <c r="C93" i="256"/>
  <c r="M31" i="269"/>
  <c r="P31" i="269" s="1"/>
  <c r="L31" i="269"/>
  <c r="N31" i="269"/>
  <c r="O31" i="269" s="1"/>
  <c r="I31" i="269"/>
  <c r="I30" i="269"/>
  <c r="J23" i="269"/>
  <c r="D21" i="269"/>
  <c r="B22" i="269"/>
  <c r="J20" i="269"/>
  <c r="K22" i="269"/>
  <c r="K32" i="269"/>
  <c r="D20" i="269"/>
  <c r="B35" i="256"/>
  <c r="Y10" i="256"/>
  <c r="C51" i="256"/>
  <c r="J45" i="256" s="1"/>
  <c r="K45" i="256" s="1"/>
  <c r="C52" i="256"/>
  <c r="T63" i="256"/>
  <c r="V62" i="256" s="1"/>
  <c r="C86" i="256"/>
  <c r="T80" i="256"/>
  <c r="V79" i="256" s="1"/>
  <c r="B51" i="256"/>
  <c r="J43" i="256" s="1"/>
  <c r="K43" i="256" s="1"/>
  <c r="B86" i="256"/>
  <c r="T11" i="256"/>
  <c r="V10" i="256" s="1"/>
  <c r="C85" i="256"/>
  <c r="Y67" i="256"/>
  <c r="J10" i="256"/>
  <c r="K10" i="256" s="1"/>
  <c r="C35" i="256"/>
  <c r="T46" i="256"/>
  <c r="V45" i="256" s="1"/>
  <c r="Y49" i="256"/>
  <c r="Y33" i="256"/>
  <c r="Y32" i="256"/>
  <c r="T29" i="256"/>
  <c r="V28" i="256" s="1"/>
  <c r="D34" i="256"/>
  <c r="D8" i="253"/>
  <c r="C14" i="253" s="1"/>
  <c r="J16" i="253" s="1"/>
  <c r="N6" i="253"/>
  <c r="M79" i="256" l="1"/>
  <c r="M80" i="256"/>
  <c r="C22" i="278"/>
  <c r="C24" i="278"/>
  <c r="R107" i="273"/>
  <c r="U94" i="273" s="1"/>
  <c r="B103" i="273" s="1"/>
  <c r="C123" i="273" s="1"/>
  <c r="C34" i="275"/>
  <c r="O12" i="277"/>
  <c r="O13" i="277"/>
  <c r="N7" i="253"/>
  <c r="P7" i="253" s="1"/>
  <c r="P6" i="253"/>
  <c r="D22" i="269"/>
  <c r="O11" i="277"/>
  <c r="M44" i="282"/>
  <c r="M50" i="282" s="1"/>
  <c r="K44" i="282"/>
  <c r="K50" i="282" s="1"/>
  <c r="G50" i="282"/>
  <c r="N45" i="282"/>
  <c r="O45" i="282" s="1"/>
  <c r="N44" i="282"/>
  <c r="N43" i="282"/>
  <c r="N42" i="282"/>
  <c r="N40" i="282"/>
  <c r="N41" i="282"/>
  <c r="L41" i="282"/>
  <c r="L40" i="282"/>
  <c r="M41" i="282"/>
  <c r="M40" i="282"/>
  <c r="K43" i="282"/>
  <c r="K42" i="282"/>
  <c r="L42" i="282"/>
  <c r="L43" i="282"/>
  <c r="K40" i="282"/>
  <c r="K41" i="282"/>
  <c r="M42" i="282"/>
  <c r="M43" i="282"/>
  <c r="G52" i="282"/>
  <c r="G49" i="282"/>
  <c r="G46" i="282"/>
  <c r="G53" i="282"/>
  <c r="L50" i="282"/>
  <c r="G48" i="282"/>
  <c r="D24" i="278"/>
  <c r="K20" i="278"/>
  <c r="D22" i="278"/>
  <c r="A22" i="278"/>
  <c r="A25" i="278" s="1"/>
  <c r="G23" i="278" s="1"/>
  <c r="E23" i="278"/>
  <c r="B24" i="278"/>
  <c r="D36" i="275"/>
  <c r="Q31" i="275"/>
  <c r="D37" i="275"/>
  <c r="E37" i="275"/>
  <c r="E34" i="275"/>
  <c r="C36" i="275"/>
  <c r="O159" i="273"/>
  <c r="R159" i="273" s="1"/>
  <c r="O262" i="273"/>
  <c r="R262" i="273" s="1"/>
  <c r="P262" i="273"/>
  <c r="Q262" i="273" s="1"/>
  <c r="N208" i="273"/>
  <c r="O208" i="273"/>
  <c r="R208" i="273" s="1"/>
  <c r="R215" i="273" s="1"/>
  <c r="U202" i="273" s="1"/>
  <c r="U205" i="273" s="1"/>
  <c r="D97" i="273" s="1"/>
  <c r="P268" i="273"/>
  <c r="Q268" i="273" s="1"/>
  <c r="O268" i="273"/>
  <c r="R268" i="273" s="1"/>
  <c r="U79" i="273"/>
  <c r="U44" i="273"/>
  <c r="U46" i="273" s="1"/>
  <c r="E100" i="273" s="1"/>
  <c r="N159" i="273"/>
  <c r="U115" i="273"/>
  <c r="D105" i="273" s="1"/>
  <c r="P159" i="273"/>
  <c r="Q159" i="273" s="1"/>
  <c r="U61" i="273"/>
  <c r="D102" i="273" s="1"/>
  <c r="R305" i="273"/>
  <c r="U292" i="273" s="1"/>
  <c r="U295" i="273" s="1"/>
  <c r="U297" i="273" s="1"/>
  <c r="E95" i="273" s="1"/>
  <c r="Q25" i="275"/>
  <c r="R287" i="273"/>
  <c r="U274" i="273" s="1"/>
  <c r="U277" i="273" s="1"/>
  <c r="O151" i="273"/>
  <c r="R151" i="273" s="1"/>
  <c r="N151" i="273"/>
  <c r="R197" i="273"/>
  <c r="U184" i="273" s="1"/>
  <c r="B92" i="273" s="1"/>
  <c r="M152" i="273"/>
  <c r="N152" i="273" s="1"/>
  <c r="U241" i="273"/>
  <c r="B99" i="273"/>
  <c r="B101" i="273"/>
  <c r="U27" i="273"/>
  <c r="U135" i="273"/>
  <c r="E96" i="273" s="1"/>
  <c r="D96" i="273"/>
  <c r="Q27" i="275"/>
  <c r="B96" i="273"/>
  <c r="N172" i="273"/>
  <c r="O172" i="273"/>
  <c r="R172" i="273" s="1"/>
  <c r="P172" i="273"/>
  <c r="Q172" i="273" s="1"/>
  <c r="N175" i="273"/>
  <c r="P175" i="273"/>
  <c r="Q175" i="273" s="1"/>
  <c r="O175" i="273"/>
  <c r="R175" i="273" s="1"/>
  <c r="T22" i="275"/>
  <c r="N314" i="273"/>
  <c r="M315" i="273"/>
  <c r="P314" i="273"/>
  <c r="Q314" i="273" s="1"/>
  <c r="O314" i="273"/>
  <c r="R314" i="273" s="1"/>
  <c r="N177" i="273"/>
  <c r="O177" i="273"/>
  <c r="R177" i="273" s="1"/>
  <c r="P177" i="273"/>
  <c r="Q177" i="273" s="1"/>
  <c r="M178" i="273"/>
  <c r="I108" i="275"/>
  <c r="P108" i="275" s="1"/>
  <c r="H125" i="275"/>
  <c r="O125" i="275" s="1"/>
  <c r="I127" i="275"/>
  <c r="P127" i="275" s="1"/>
  <c r="H106" i="275"/>
  <c r="O106" i="275" s="1"/>
  <c r="H105" i="275"/>
  <c r="O105" i="275" s="1"/>
  <c r="I115" i="275"/>
  <c r="P115" i="275" s="1"/>
  <c r="H127" i="275"/>
  <c r="O127" i="275" s="1"/>
  <c r="H126" i="275"/>
  <c r="O126" i="275" s="1"/>
  <c r="I125" i="275"/>
  <c r="P125" i="275" s="1"/>
  <c r="I126" i="275"/>
  <c r="P126" i="275" s="1"/>
  <c r="H128" i="275"/>
  <c r="O128" i="275" s="1"/>
  <c r="I95" i="275"/>
  <c r="P95" i="275" s="1"/>
  <c r="I83" i="275"/>
  <c r="P83" i="275" s="1"/>
  <c r="H93" i="275"/>
  <c r="O93" i="275" s="1"/>
  <c r="H92" i="275"/>
  <c r="O92" i="275" s="1"/>
  <c r="U225" i="273"/>
  <c r="E98" i="273" s="1"/>
  <c r="D98" i="273"/>
  <c r="O160" i="273"/>
  <c r="R160" i="273" s="1"/>
  <c r="N160" i="273"/>
  <c r="P160" i="273"/>
  <c r="Q160" i="273" s="1"/>
  <c r="Y14" i="256"/>
  <c r="C94" i="256"/>
  <c r="K20" i="269"/>
  <c r="K30" i="269"/>
  <c r="M32" i="269"/>
  <c r="P32" i="269" s="1"/>
  <c r="L32" i="269"/>
  <c r="N32" i="269"/>
  <c r="O32" i="269" s="1"/>
  <c r="K23" i="269"/>
  <c r="K33" i="269"/>
  <c r="D85" i="256"/>
  <c r="B87" i="256"/>
  <c r="D52" i="256"/>
  <c r="J46" i="256"/>
  <c r="K46" i="256" s="1"/>
  <c r="R27" i="256" a="1"/>
  <c r="S27" i="256" s="1"/>
  <c r="J29" i="256"/>
  <c r="K29" i="256" s="1"/>
  <c r="Y15" i="256"/>
  <c r="B36" i="256"/>
  <c r="J27" i="256"/>
  <c r="K27" i="256" s="1"/>
  <c r="D35" i="256"/>
  <c r="D36" i="256" s="1"/>
  <c r="J11" i="256"/>
  <c r="K11" i="256" s="1"/>
  <c r="J8" i="256"/>
  <c r="K8" i="256" s="1"/>
  <c r="D86" i="256"/>
  <c r="C87" i="256"/>
  <c r="B68" i="256"/>
  <c r="J60" i="256" s="1"/>
  <c r="K60" i="256" s="1"/>
  <c r="C68" i="256"/>
  <c r="J62" i="256" s="1"/>
  <c r="K62" i="256" s="1"/>
  <c r="B69" i="256"/>
  <c r="J61" i="256" s="1"/>
  <c r="K61" i="256" s="1"/>
  <c r="C69" i="256"/>
  <c r="J63" i="256" s="1"/>
  <c r="K63" i="256" s="1"/>
  <c r="R78" i="256" a="1"/>
  <c r="R9" i="256" a="1"/>
  <c r="C53" i="256"/>
  <c r="B53" i="256"/>
  <c r="R44" i="256" a="1"/>
  <c r="D51" i="256"/>
  <c r="C36" i="256"/>
  <c r="C15" i="253"/>
  <c r="B14" i="253"/>
  <c r="B15" i="253"/>
  <c r="N8" i="253"/>
  <c r="K16" i="253"/>
  <c r="R28" i="256" l="1"/>
  <c r="C25" i="278"/>
  <c r="I23" i="278" s="1"/>
  <c r="B132" i="273"/>
  <c r="D132" i="273" s="1"/>
  <c r="D135" i="273" s="1"/>
  <c r="U97" i="273"/>
  <c r="D103" i="273" s="1"/>
  <c r="D25" i="278"/>
  <c r="J23" i="278" s="1"/>
  <c r="O44" i="282"/>
  <c r="E24" i="278"/>
  <c r="N9" i="253"/>
  <c r="P9" i="253" s="1"/>
  <c r="P8" i="253"/>
  <c r="D53" i="256"/>
  <c r="N49" i="282"/>
  <c r="N53" i="282"/>
  <c r="V43" i="282" s="1"/>
  <c r="O40" i="282"/>
  <c r="L53" i="282"/>
  <c r="T45" i="282" s="1"/>
  <c r="M48" i="282"/>
  <c r="L49" i="282"/>
  <c r="O42" i="282"/>
  <c r="K52" i="282"/>
  <c r="S44" i="282" s="1"/>
  <c r="M52" i="282"/>
  <c r="U44" i="282" s="1"/>
  <c r="N48" i="282"/>
  <c r="O41" i="282"/>
  <c r="O43" i="282"/>
  <c r="M49" i="282"/>
  <c r="K53" i="282"/>
  <c r="S45" i="282" s="1"/>
  <c r="N46" i="282"/>
  <c r="K48" i="282"/>
  <c r="M46" i="282"/>
  <c r="N52" i="282"/>
  <c r="V40" i="282" s="1"/>
  <c r="M53" i="282"/>
  <c r="K49" i="282"/>
  <c r="L46" i="282"/>
  <c r="L48" i="282"/>
  <c r="L52" i="282"/>
  <c r="T44" i="282" s="1"/>
  <c r="N50" i="282"/>
  <c r="O50" i="282" s="1"/>
  <c r="K46" i="282"/>
  <c r="E22" i="278"/>
  <c r="B25" i="278"/>
  <c r="H23" i="278" s="1"/>
  <c r="G22" i="278"/>
  <c r="G24" i="278"/>
  <c r="K24" i="269"/>
  <c r="N20" i="269" s="1"/>
  <c r="N22" i="269" s="1"/>
  <c r="P22" i="269" s="1"/>
  <c r="F37" i="275"/>
  <c r="T25" i="275"/>
  <c r="E35" i="275"/>
  <c r="D35" i="275"/>
  <c r="C35" i="275"/>
  <c r="B97" i="273"/>
  <c r="U207" i="273"/>
  <c r="E97" i="273" s="1"/>
  <c r="R269" i="273"/>
  <c r="U256" i="273" s="1"/>
  <c r="M153" i="273"/>
  <c r="P153" i="273" s="1"/>
  <c r="Q153" i="273" s="1"/>
  <c r="O152" i="273"/>
  <c r="R152" i="273" s="1"/>
  <c r="D100" i="273"/>
  <c r="U187" i="273"/>
  <c r="U189" i="273" s="1"/>
  <c r="E92" i="273" s="1"/>
  <c r="B94" i="273"/>
  <c r="U117" i="273"/>
  <c r="E105" i="273" s="1"/>
  <c r="U63" i="273"/>
  <c r="E102" i="273" s="1"/>
  <c r="U81" i="273"/>
  <c r="E104" i="273" s="1"/>
  <c r="D104" i="273"/>
  <c r="D95" i="273"/>
  <c r="B95" i="273"/>
  <c r="P152" i="273"/>
  <c r="Q152" i="273" s="1"/>
  <c r="U243" i="273"/>
  <c r="E99" i="273" s="1"/>
  <c r="D99" i="273"/>
  <c r="D101" i="273"/>
  <c r="U29" i="273"/>
  <c r="E101" i="273" s="1"/>
  <c r="U279" i="273"/>
  <c r="E94" i="273" s="1"/>
  <c r="D94" i="273"/>
  <c r="O315" i="273"/>
  <c r="R315" i="273" s="1"/>
  <c r="M316" i="273"/>
  <c r="P315" i="273"/>
  <c r="Q315" i="273" s="1"/>
  <c r="N315" i="273"/>
  <c r="O178" i="273"/>
  <c r="R178" i="273" s="1"/>
  <c r="R179" i="273" s="1"/>
  <c r="U166" i="273" s="1"/>
  <c r="P178" i="273"/>
  <c r="Q178" i="273" s="1"/>
  <c r="N178" i="273"/>
  <c r="I96" i="275"/>
  <c r="P96" i="275" s="1"/>
  <c r="H139" i="275"/>
  <c r="O139" i="275" s="1"/>
  <c r="H152" i="275"/>
  <c r="O152" i="275" s="1"/>
  <c r="H138" i="275"/>
  <c r="O138" i="275" s="1"/>
  <c r="H151" i="275"/>
  <c r="O151" i="275" s="1"/>
  <c r="H141" i="275"/>
  <c r="O141" i="275" s="1"/>
  <c r="H154" i="275"/>
  <c r="O154" i="275" s="1"/>
  <c r="I138" i="275"/>
  <c r="P138" i="275" s="1"/>
  <c r="I151" i="275"/>
  <c r="P151" i="275" s="1"/>
  <c r="H140" i="275"/>
  <c r="O140" i="275" s="1"/>
  <c r="H153" i="275"/>
  <c r="O153" i="275" s="1"/>
  <c r="H118" i="275"/>
  <c r="O118" i="275" s="1"/>
  <c r="I140" i="275"/>
  <c r="P140" i="275" s="1"/>
  <c r="I153" i="275"/>
  <c r="P153" i="275" s="1"/>
  <c r="I121" i="275"/>
  <c r="P121" i="275" s="1"/>
  <c r="I128" i="275"/>
  <c r="P128" i="275" s="1"/>
  <c r="H119" i="275"/>
  <c r="O119" i="275" s="1"/>
  <c r="I139" i="275"/>
  <c r="P139" i="275" s="1"/>
  <c r="I152" i="275"/>
  <c r="P152" i="275" s="1"/>
  <c r="D41" i="275"/>
  <c r="K36" i="275" s="1"/>
  <c r="F34" i="275"/>
  <c r="S28" i="256"/>
  <c r="R27" i="256"/>
  <c r="M33" i="269"/>
  <c r="P33" i="269" s="1"/>
  <c r="L33" i="269"/>
  <c r="N33" i="269"/>
  <c r="O33" i="269" s="1"/>
  <c r="N30" i="269"/>
  <c r="O30" i="269" s="1"/>
  <c r="M30" i="269"/>
  <c r="P30" i="269" s="1"/>
  <c r="P34" i="269" s="1"/>
  <c r="S28" i="269" s="1"/>
  <c r="S32" i="269" s="1"/>
  <c r="S33" i="269" s="1"/>
  <c r="L30" i="269"/>
  <c r="D87" i="256"/>
  <c r="O79" i="256"/>
  <c r="M60" i="256"/>
  <c r="O60" i="256" s="1"/>
  <c r="M43" i="256"/>
  <c r="M26" i="256"/>
  <c r="C70" i="256"/>
  <c r="D69" i="256"/>
  <c r="S78" i="256"/>
  <c r="R79" i="256"/>
  <c r="S79" i="256"/>
  <c r="R78" i="256"/>
  <c r="D68" i="256"/>
  <c r="B70" i="256"/>
  <c r="R61" i="256" a="1"/>
  <c r="S61" i="256" s="1"/>
  <c r="S10" i="256"/>
  <c r="R10" i="256"/>
  <c r="S9" i="256"/>
  <c r="R9" i="256"/>
  <c r="J9" i="256"/>
  <c r="K9" i="256" s="1"/>
  <c r="M8" i="256" s="1"/>
  <c r="M11" i="256" s="1"/>
  <c r="O11" i="256" s="1"/>
  <c r="R44" i="256"/>
  <c r="S45" i="256"/>
  <c r="R45" i="256"/>
  <c r="S44" i="256"/>
  <c r="B16" i="253"/>
  <c r="J15" i="253"/>
  <c r="K15" i="253" s="1"/>
  <c r="N14" i="253" s="1"/>
  <c r="P14" i="253" s="1"/>
  <c r="J14" i="253"/>
  <c r="K14" i="253" s="1"/>
  <c r="D15" i="253"/>
  <c r="J17" i="253"/>
  <c r="K17" i="253" s="1"/>
  <c r="C16" i="253"/>
  <c r="D14" i="253"/>
  <c r="I24" i="278" l="1"/>
  <c r="J22" i="278"/>
  <c r="K23" i="278"/>
  <c r="A28" i="278" s="1"/>
  <c r="J24" i="278"/>
  <c r="I22" i="278"/>
  <c r="U99" i="273"/>
  <c r="E103" i="273" s="1"/>
  <c r="N23" i="269"/>
  <c r="P23" i="269" s="1"/>
  <c r="V45" i="282"/>
  <c r="V41" i="282"/>
  <c r="V48" i="282" s="1"/>
  <c r="V42" i="282"/>
  <c r="S41" i="282"/>
  <c r="V44" i="282"/>
  <c r="W44" i="282" s="1"/>
  <c r="E60" i="282" s="1"/>
  <c r="T40" i="282"/>
  <c r="S43" i="282"/>
  <c r="T42" i="282"/>
  <c r="S42" i="282"/>
  <c r="S40" i="282"/>
  <c r="U45" i="282"/>
  <c r="U43" i="282"/>
  <c r="U41" i="282"/>
  <c r="T41" i="282"/>
  <c r="T43" i="282"/>
  <c r="U40" i="282"/>
  <c r="U42" i="282"/>
  <c r="O49" i="282"/>
  <c r="S50" i="282"/>
  <c r="O48" i="282"/>
  <c r="O53" i="282"/>
  <c r="O52" i="282"/>
  <c r="O46" i="282"/>
  <c r="G25" i="278"/>
  <c r="E25" i="278"/>
  <c r="H24" i="278"/>
  <c r="H22" i="278"/>
  <c r="N21" i="269"/>
  <c r="P21" i="269" s="1"/>
  <c r="P20" i="269"/>
  <c r="D44" i="275"/>
  <c r="B93" i="273"/>
  <c r="U259" i="273"/>
  <c r="M154" i="273"/>
  <c r="P154" i="273" s="1"/>
  <c r="Q154" i="273" s="1"/>
  <c r="O153" i="273"/>
  <c r="R153" i="273" s="1"/>
  <c r="N153" i="273"/>
  <c r="D92" i="273"/>
  <c r="C38" i="275"/>
  <c r="D40" i="275"/>
  <c r="K35" i="275" s="1"/>
  <c r="E38" i="275"/>
  <c r="O316" i="273"/>
  <c r="R316" i="273" s="1"/>
  <c r="P316" i="273"/>
  <c r="Q316" i="273" s="1"/>
  <c r="M317" i="273"/>
  <c r="N316" i="273"/>
  <c r="U169" i="273"/>
  <c r="B91" i="273"/>
  <c r="I141" i="275"/>
  <c r="P141" i="275" s="1"/>
  <c r="I154" i="275"/>
  <c r="P154" i="275" s="1"/>
  <c r="H132" i="275"/>
  <c r="O132" i="275" s="1"/>
  <c r="I134" i="275"/>
  <c r="P134" i="275" s="1"/>
  <c r="H131" i="275"/>
  <c r="O131" i="275" s="1"/>
  <c r="I109" i="275"/>
  <c r="P109" i="275" s="1"/>
  <c r="D43" i="275"/>
  <c r="C41" i="275"/>
  <c r="J37" i="275" s="1"/>
  <c r="F36" i="275"/>
  <c r="D38" i="275"/>
  <c r="E41" i="275"/>
  <c r="E43" i="275"/>
  <c r="C43" i="275"/>
  <c r="K37" i="275"/>
  <c r="K41" i="275" s="1"/>
  <c r="O78" i="256"/>
  <c r="M63" i="256"/>
  <c r="O63" i="256" s="1"/>
  <c r="B95" i="256"/>
  <c r="B93" i="256"/>
  <c r="B92" i="256"/>
  <c r="B94" i="256"/>
  <c r="O77" i="256"/>
  <c r="O80" i="256"/>
  <c r="M62" i="256"/>
  <c r="O62" i="256" s="1"/>
  <c r="M61" i="256"/>
  <c r="O61" i="256" s="1"/>
  <c r="O43" i="256"/>
  <c r="M44" i="256"/>
  <c r="O44" i="256" s="1"/>
  <c r="M45" i="256"/>
  <c r="O45" i="256" s="1"/>
  <c r="M46" i="256"/>
  <c r="O46" i="256" s="1"/>
  <c r="O26" i="256"/>
  <c r="M27" i="256"/>
  <c r="O27" i="256" s="1"/>
  <c r="M28" i="256"/>
  <c r="O28" i="256" s="1"/>
  <c r="M29" i="256"/>
  <c r="O29" i="256" s="1"/>
  <c r="R62" i="256"/>
  <c r="R61" i="256"/>
  <c r="S62" i="256"/>
  <c r="X84" i="256"/>
  <c r="Z84" i="256"/>
  <c r="AA84" i="256"/>
  <c r="X83" i="256"/>
  <c r="Z83" i="256"/>
  <c r="AA83" i="256"/>
  <c r="D70" i="256"/>
  <c r="AA15" i="256"/>
  <c r="X15" i="256"/>
  <c r="D94" i="256" s="1"/>
  <c r="Z15" i="256"/>
  <c r="E94" i="256" s="1"/>
  <c r="X14" i="256"/>
  <c r="AA14" i="256"/>
  <c r="Z14" i="256"/>
  <c r="O8" i="256"/>
  <c r="M10" i="256"/>
  <c r="O10" i="256" s="1"/>
  <c r="M9" i="256"/>
  <c r="O9" i="256" s="1"/>
  <c r="X50" i="256"/>
  <c r="D93" i="256" s="1"/>
  <c r="AA50" i="256"/>
  <c r="Z50" i="256"/>
  <c r="E93" i="256" s="1"/>
  <c r="X49" i="256"/>
  <c r="AA49" i="256"/>
  <c r="Z49" i="256"/>
  <c r="AA33" i="256"/>
  <c r="X33" i="256"/>
  <c r="D92" i="256" s="1"/>
  <c r="Z33" i="256"/>
  <c r="E92" i="256" s="1"/>
  <c r="X32" i="256"/>
  <c r="AA32" i="256"/>
  <c r="Z32" i="256"/>
  <c r="D16" i="253"/>
  <c r="N15" i="253"/>
  <c r="P15" i="253" s="1"/>
  <c r="N16" i="253"/>
  <c r="P16" i="253" s="1"/>
  <c r="I25" i="278" l="1"/>
  <c r="H25" i="278"/>
  <c r="C28" i="278"/>
  <c r="J25" i="278"/>
  <c r="K24" i="278"/>
  <c r="C29" i="278" s="1"/>
  <c r="B28" i="278"/>
  <c r="D28" i="278"/>
  <c r="W45" i="282"/>
  <c r="F61" i="282" s="1"/>
  <c r="V53" i="282"/>
  <c r="S48" i="282"/>
  <c r="S52" i="282"/>
  <c r="T53" i="282"/>
  <c r="D60" i="282"/>
  <c r="W41" i="282"/>
  <c r="E57" i="282" s="1"/>
  <c r="U50" i="282"/>
  <c r="E61" i="282"/>
  <c r="U52" i="282"/>
  <c r="F60" i="282"/>
  <c r="C60" i="282"/>
  <c r="W42" i="282"/>
  <c r="F58" i="282" s="1"/>
  <c r="S49" i="282"/>
  <c r="W43" i="282"/>
  <c r="F59" i="282" s="1"/>
  <c r="W40" i="282"/>
  <c r="E56" i="282" s="1"/>
  <c r="S53" i="282"/>
  <c r="S46" i="282"/>
  <c r="U53" i="282"/>
  <c r="U46" i="282"/>
  <c r="U48" i="282"/>
  <c r="U49" i="282"/>
  <c r="V49" i="282"/>
  <c r="T49" i="282"/>
  <c r="V50" i="282"/>
  <c r="T50" i="282"/>
  <c r="V46" i="282"/>
  <c r="V52" i="282"/>
  <c r="T52" i="282"/>
  <c r="T48" i="282"/>
  <c r="T46" i="282"/>
  <c r="K22" i="278"/>
  <c r="B27" i="278" s="1"/>
  <c r="N154" i="273"/>
  <c r="U261" i="273"/>
  <c r="E93" i="273" s="1"/>
  <c r="D93" i="273"/>
  <c r="O154" i="273"/>
  <c r="R154" i="273" s="1"/>
  <c r="R161" i="273" s="1"/>
  <c r="U148" i="273" s="1"/>
  <c r="U151" i="273" s="1"/>
  <c r="U153" i="273" s="1"/>
  <c r="E90" i="273" s="1"/>
  <c r="F35" i="275"/>
  <c r="F38" i="275" s="1"/>
  <c r="K34" i="275"/>
  <c r="K43" i="275" s="1"/>
  <c r="R36" i="275" s="1"/>
  <c r="C44" i="275"/>
  <c r="C40" i="275"/>
  <c r="E40" i="275"/>
  <c r="E44" i="275"/>
  <c r="M318" i="273"/>
  <c r="P317" i="273"/>
  <c r="Q317" i="273" s="1"/>
  <c r="O317" i="273"/>
  <c r="R317" i="273" s="1"/>
  <c r="N317" i="273"/>
  <c r="U171" i="273"/>
  <c r="E91" i="273" s="1"/>
  <c r="D91" i="273"/>
  <c r="I147" i="275"/>
  <c r="P147" i="275" s="1"/>
  <c r="I160" i="275"/>
  <c r="P160" i="275" s="1"/>
  <c r="I122" i="275"/>
  <c r="P122" i="275" s="1"/>
  <c r="H144" i="275"/>
  <c r="O144" i="275" s="1"/>
  <c r="H157" i="275"/>
  <c r="O157" i="275" s="1"/>
  <c r="H145" i="275"/>
  <c r="O145" i="275" s="1"/>
  <c r="H158" i="275"/>
  <c r="O158" i="275" s="1"/>
  <c r="J36" i="275"/>
  <c r="L36" i="275"/>
  <c r="L37" i="275"/>
  <c r="K44" i="275"/>
  <c r="B91" i="256"/>
  <c r="AA67" i="256"/>
  <c r="Z67" i="256"/>
  <c r="E91" i="256" s="1"/>
  <c r="X67" i="256"/>
  <c r="D91" i="256" s="1"/>
  <c r="AA66" i="256"/>
  <c r="X66" i="256"/>
  <c r="Z66" i="256"/>
  <c r="N17" i="253"/>
  <c r="P17" i="253" s="1"/>
  <c r="K25" i="278" l="1"/>
  <c r="A29" i="278"/>
  <c r="B29" i="278"/>
  <c r="B30" i="278" s="1"/>
  <c r="H28" i="278" s="1"/>
  <c r="D29" i="278"/>
  <c r="E28" i="278"/>
  <c r="C61" i="282"/>
  <c r="D61" i="282"/>
  <c r="D66" i="282" s="1"/>
  <c r="D57" i="282"/>
  <c r="C56" i="282"/>
  <c r="E58" i="282"/>
  <c r="C59" i="282"/>
  <c r="E59" i="282"/>
  <c r="D59" i="282"/>
  <c r="D56" i="282"/>
  <c r="F56" i="282"/>
  <c r="C58" i="282"/>
  <c r="G60" i="282"/>
  <c r="D58" i="282"/>
  <c r="F57" i="282"/>
  <c r="C57" i="282"/>
  <c r="W53" i="282"/>
  <c r="W48" i="282"/>
  <c r="W49" i="282"/>
  <c r="F66" i="282"/>
  <c r="W50" i="282"/>
  <c r="W52" i="282"/>
  <c r="W46" i="282"/>
  <c r="D27" i="278"/>
  <c r="A27" i="278"/>
  <c r="C27" i="278"/>
  <c r="D90" i="273"/>
  <c r="B90" i="273"/>
  <c r="R34" i="275"/>
  <c r="K40" i="275"/>
  <c r="J35" i="275"/>
  <c r="J34" i="275"/>
  <c r="J43" i="275" s="1"/>
  <c r="Q34" i="275" s="1"/>
  <c r="K38" i="275"/>
  <c r="L34" i="275"/>
  <c r="L35" i="275"/>
  <c r="M319" i="273"/>
  <c r="O318" i="273"/>
  <c r="R318" i="273" s="1"/>
  <c r="P318" i="273"/>
  <c r="Q318" i="273" s="1"/>
  <c r="N318" i="273"/>
  <c r="I135" i="275"/>
  <c r="P135" i="275" s="1"/>
  <c r="M37" i="275"/>
  <c r="L41" i="275"/>
  <c r="M36" i="275"/>
  <c r="J41" i="275"/>
  <c r="R37" i="275"/>
  <c r="R35" i="275"/>
  <c r="E29" i="278" l="1"/>
  <c r="G61" i="282"/>
  <c r="H27" i="278"/>
  <c r="D68" i="282"/>
  <c r="C62" i="282"/>
  <c r="D64" i="282"/>
  <c r="L56" i="282" s="1"/>
  <c r="E62" i="282"/>
  <c r="G56" i="282"/>
  <c r="G58" i="282"/>
  <c r="G57" i="282"/>
  <c r="F62" i="282"/>
  <c r="G59" i="282"/>
  <c r="D62" i="282"/>
  <c r="L61" i="282"/>
  <c r="L60" i="282"/>
  <c r="N60" i="282"/>
  <c r="N61" i="282"/>
  <c r="C69" i="282"/>
  <c r="E66" i="282"/>
  <c r="D69" i="282"/>
  <c r="E69" i="282"/>
  <c r="D65" i="282"/>
  <c r="F69" i="282"/>
  <c r="C66" i="282"/>
  <c r="E64" i="282"/>
  <c r="E68" i="282"/>
  <c r="F65" i="282"/>
  <c r="F64" i="282"/>
  <c r="F68" i="282"/>
  <c r="C64" i="282"/>
  <c r="C68" i="282"/>
  <c r="E65" i="282"/>
  <c r="C65" i="282"/>
  <c r="H29" i="278"/>
  <c r="D30" i="278"/>
  <c r="J27" i="278" s="1"/>
  <c r="C30" i="278"/>
  <c r="E27" i="278"/>
  <c r="A30" i="278"/>
  <c r="G27" i="278" s="1"/>
  <c r="R43" i="275"/>
  <c r="L38" i="275"/>
  <c r="L43" i="275"/>
  <c r="S34" i="275" s="1"/>
  <c r="J40" i="275"/>
  <c r="J44" i="275"/>
  <c r="Q37" i="275" s="1"/>
  <c r="J38" i="275"/>
  <c r="M34" i="275"/>
  <c r="L40" i="275"/>
  <c r="M35" i="275"/>
  <c r="L44" i="275"/>
  <c r="M320" i="273"/>
  <c r="N319" i="273"/>
  <c r="P319" i="273"/>
  <c r="Q319" i="273" s="1"/>
  <c r="O319" i="273"/>
  <c r="R319" i="273" s="1"/>
  <c r="I148" i="275"/>
  <c r="P148" i="275" s="1"/>
  <c r="I161" i="275"/>
  <c r="P161" i="275" s="1"/>
  <c r="R38" i="275"/>
  <c r="Q36" i="275"/>
  <c r="R40" i="275"/>
  <c r="R41" i="275"/>
  <c r="R44" i="275"/>
  <c r="H30" i="278" l="1"/>
  <c r="L57" i="282"/>
  <c r="G62" i="282"/>
  <c r="N59" i="282"/>
  <c r="N58" i="282"/>
  <c r="M61" i="282"/>
  <c r="M60" i="282"/>
  <c r="K56" i="282"/>
  <c r="K57" i="282"/>
  <c r="L59" i="282"/>
  <c r="L58" i="282"/>
  <c r="K59" i="282"/>
  <c r="K58" i="282"/>
  <c r="M57" i="282"/>
  <c r="M56" i="282"/>
  <c r="M58" i="282"/>
  <c r="M59" i="282"/>
  <c r="N57" i="282"/>
  <c r="N56" i="282"/>
  <c r="K60" i="282"/>
  <c r="K61" i="282"/>
  <c r="L66" i="282"/>
  <c r="G69" i="282"/>
  <c r="G64" i="282"/>
  <c r="G65" i="282"/>
  <c r="G68" i="282"/>
  <c r="N66" i="282"/>
  <c r="G66" i="282"/>
  <c r="E30" i="278"/>
  <c r="G28" i="278"/>
  <c r="G29" i="278"/>
  <c r="I28" i="278"/>
  <c r="I29" i="278"/>
  <c r="I27" i="278"/>
  <c r="J28" i="278"/>
  <c r="J29" i="278"/>
  <c r="S36" i="275"/>
  <c r="M38" i="275"/>
  <c r="Q41" i="275"/>
  <c r="Q35" i="275"/>
  <c r="S37" i="275"/>
  <c r="S35" i="275"/>
  <c r="M321" i="273"/>
  <c r="P320" i="273"/>
  <c r="Q320" i="273" s="1"/>
  <c r="O320" i="273"/>
  <c r="R320" i="273" s="1"/>
  <c r="N320" i="273"/>
  <c r="Q43" i="275"/>
  <c r="T34" i="275"/>
  <c r="E47" i="275" s="1"/>
  <c r="O58" i="282" l="1"/>
  <c r="O59" i="282"/>
  <c r="O57" i="282"/>
  <c r="M66" i="282"/>
  <c r="O61" i="282"/>
  <c r="O56" i="282"/>
  <c r="O60" i="282"/>
  <c r="N69" i="282"/>
  <c r="V61" i="282" s="1"/>
  <c r="M62" i="282"/>
  <c r="K62" i="282"/>
  <c r="L69" i="282"/>
  <c r="T59" i="282" s="1"/>
  <c r="L62" i="282"/>
  <c r="N62" i="282"/>
  <c r="L64" i="282"/>
  <c r="K64" i="282"/>
  <c r="L68" i="282"/>
  <c r="T58" i="282" s="1"/>
  <c r="L65" i="282"/>
  <c r="M69" i="282"/>
  <c r="U61" i="282" s="1"/>
  <c r="K65" i="282"/>
  <c r="N68" i="282"/>
  <c r="V60" i="282" s="1"/>
  <c r="N64" i="282"/>
  <c r="K68" i="282"/>
  <c r="S58" i="282" s="1"/>
  <c r="M64" i="282"/>
  <c r="M68" i="282"/>
  <c r="U58" i="282" s="1"/>
  <c r="N65" i="282"/>
  <c r="K66" i="282"/>
  <c r="M65" i="282"/>
  <c r="K69" i="282"/>
  <c r="S59" i="282" s="1"/>
  <c r="G30" i="278"/>
  <c r="I30" i="278"/>
  <c r="K28" i="278"/>
  <c r="B33" i="278" s="1"/>
  <c r="K29" i="278"/>
  <c r="B34" i="278" s="1"/>
  <c r="K27" i="278"/>
  <c r="J30" i="278"/>
  <c r="S40" i="275"/>
  <c r="Q40" i="275"/>
  <c r="C47" i="275"/>
  <c r="D47" i="275"/>
  <c r="T36" i="275"/>
  <c r="E49" i="275" s="1"/>
  <c r="S43" i="275"/>
  <c r="Q44" i="275"/>
  <c r="Q38" i="275"/>
  <c r="T37" i="275"/>
  <c r="E50" i="275" s="1"/>
  <c r="S38" i="275"/>
  <c r="S41" i="275"/>
  <c r="S44" i="275"/>
  <c r="T35" i="275"/>
  <c r="D48" i="275" s="1"/>
  <c r="O321" i="273"/>
  <c r="R321" i="273" s="1"/>
  <c r="P321" i="273"/>
  <c r="Q321" i="273" s="1"/>
  <c r="M322" i="273"/>
  <c r="N321" i="273"/>
  <c r="O62" i="282" l="1"/>
  <c r="O66" i="282"/>
  <c r="V59" i="282"/>
  <c r="U56" i="282"/>
  <c r="S57" i="282"/>
  <c r="U60" i="282"/>
  <c r="S61" i="282"/>
  <c r="V56" i="282"/>
  <c r="S60" i="282"/>
  <c r="T60" i="282"/>
  <c r="T56" i="282"/>
  <c r="U57" i="282"/>
  <c r="V58" i="282"/>
  <c r="U59" i="282"/>
  <c r="T57" i="282"/>
  <c r="T61" i="282"/>
  <c r="S56" i="282"/>
  <c r="V57" i="282"/>
  <c r="T65" i="282"/>
  <c r="O65" i="282"/>
  <c r="O64" i="282"/>
  <c r="O68" i="282"/>
  <c r="O69" i="282"/>
  <c r="V66" i="282"/>
  <c r="K30" i="278"/>
  <c r="C34" i="278"/>
  <c r="C33" i="278"/>
  <c r="D34" i="278"/>
  <c r="A34" i="278"/>
  <c r="B32" i="278"/>
  <c r="A32" i="278"/>
  <c r="D32" i="278"/>
  <c r="C32" i="278"/>
  <c r="A33" i="278"/>
  <c r="D33" i="278"/>
  <c r="C48" i="275"/>
  <c r="D49" i="275"/>
  <c r="C49" i="275"/>
  <c r="C56" i="275" s="1"/>
  <c r="E48" i="275"/>
  <c r="D50" i="275"/>
  <c r="C50" i="275"/>
  <c r="T38" i="275"/>
  <c r="E54" i="275"/>
  <c r="L50" i="275" s="1"/>
  <c r="O322" i="273"/>
  <c r="R322" i="273" s="1"/>
  <c r="R323" i="273" s="1"/>
  <c r="U310" i="273" s="1"/>
  <c r="N322" i="273"/>
  <c r="P322" i="273"/>
  <c r="Q322" i="273" s="1"/>
  <c r="F47" i="275"/>
  <c r="V65" i="282" l="1"/>
  <c r="C35" i="278"/>
  <c r="I34" i="278" s="1"/>
  <c r="U62" i="282"/>
  <c r="V62" i="282"/>
  <c r="W57" i="282"/>
  <c r="C73" i="282" s="1"/>
  <c r="T62" i="282"/>
  <c r="W60" i="282"/>
  <c r="F76" i="282" s="1"/>
  <c r="T66" i="282"/>
  <c r="W58" i="282"/>
  <c r="V69" i="282"/>
  <c r="W59" i="282"/>
  <c r="E75" i="282" s="1"/>
  <c r="W61" i="282"/>
  <c r="D77" i="282" s="1"/>
  <c r="T69" i="282"/>
  <c r="V64" i="282"/>
  <c r="W56" i="282"/>
  <c r="E72" i="282" s="1"/>
  <c r="S62" i="282"/>
  <c r="T68" i="282"/>
  <c r="T64" i="282"/>
  <c r="V68" i="282"/>
  <c r="U69" i="282"/>
  <c r="U65" i="282"/>
  <c r="S69" i="282"/>
  <c r="S66" i="282"/>
  <c r="U64" i="282"/>
  <c r="U68" i="282"/>
  <c r="U66" i="282"/>
  <c r="S65" i="282"/>
  <c r="S64" i="282"/>
  <c r="S68" i="282"/>
  <c r="E34" i="278"/>
  <c r="E33" i="278"/>
  <c r="D35" i="278"/>
  <c r="J34" i="278" s="1"/>
  <c r="A35" i="278"/>
  <c r="E32" i="278"/>
  <c r="B35" i="278"/>
  <c r="F49" i="275"/>
  <c r="D56" i="275"/>
  <c r="E56" i="275"/>
  <c r="E53" i="275"/>
  <c r="L47" i="275" s="1"/>
  <c r="E57" i="275"/>
  <c r="E51" i="275"/>
  <c r="L49" i="275"/>
  <c r="L54" i="275" s="1"/>
  <c r="D54" i="275"/>
  <c r="B89" i="273"/>
  <c r="U313" i="273"/>
  <c r="I33" i="278" l="1"/>
  <c r="I32" i="278"/>
  <c r="E76" i="282"/>
  <c r="C76" i="282"/>
  <c r="D76" i="282"/>
  <c r="D72" i="282"/>
  <c r="F72" i="282"/>
  <c r="E73" i="282"/>
  <c r="C77" i="282"/>
  <c r="F73" i="282"/>
  <c r="C72" i="282"/>
  <c r="D73" i="282"/>
  <c r="W62" i="282"/>
  <c r="E77" i="282"/>
  <c r="F77" i="282"/>
  <c r="F75" i="282"/>
  <c r="C75" i="282"/>
  <c r="D75" i="282"/>
  <c r="C74" i="282"/>
  <c r="E74" i="282"/>
  <c r="D74" i="282"/>
  <c r="F74" i="282"/>
  <c r="W65" i="282"/>
  <c r="W68" i="282"/>
  <c r="W69" i="282"/>
  <c r="W64" i="282"/>
  <c r="W66" i="282"/>
  <c r="J32" i="278"/>
  <c r="J33" i="278"/>
  <c r="H33" i="278"/>
  <c r="H34" i="278"/>
  <c r="E35" i="278"/>
  <c r="G34" i="278"/>
  <c r="G33" i="278"/>
  <c r="H32" i="278"/>
  <c r="G32" i="278"/>
  <c r="L48" i="275"/>
  <c r="L57" i="275" s="1"/>
  <c r="S50" i="275" s="1"/>
  <c r="L56" i="275"/>
  <c r="S47" i="275" s="1"/>
  <c r="C57" i="275"/>
  <c r="F50" i="275"/>
  <c r="C54" i="275"/>
  <c r="K50" i="275"/>
  <c r="K49" i="275"/>
  <c r="D57" i="275"/>
  <c r="D53" i="275"/>
  <c r="K47" i="275" s="1"/>
  <c r="D51" i="275"/>
  <c r="F48" i="275"/>
  <c r="C53" i="275"/>
  <c r="C51" i="275"/>
  <c r="U315" i="273"/>
  <c r="E89" i="273" s="1"/>
  <c r="D89" i="273"/>
  <c r="I35" i="278" l="1"/>
  <c r="G76" i="282"/>
  <c r="C81" i="282"/>
  <c r="K75" i="282" s="1"/>
  <c r="C82" i="282"/>
  <c r="K76" i="282" s="1"/>
  <c r="G73" i="282"/>
  <c r="G72" i="282"/>
  <c r="F85" i="282"/>
  <c r="G74" i="282"/>
  <c r="D85" i="282"/>
  <c r="G75" i="282"/>
  <c r="G77" i="282"/>
  <c r="E82" i="282"/>
  <c r="C85" i="282"/>
  <c r="D81" i="282"/>
  <c r="E85" i="282"/>
  <c r="F82" i="282"/>
  <c r="F81" i="282"/>
  <c r="D82" i="282"/>
  <c r="E84" i="282"/>
  <c r="E81" i="282"/>
  <c r="D84" i="282"/>
  <c r="D80" i="282"/>
  <c r="D78" i="282"/>
  <c r="E78" i="282"/>
  <c r="C80" i="282"/>
  <c r="C84" i="282"/>
  <c r="C78" i="282"/>
  <c r="F80" i="282"/>
  <c r="F84" i="282"/>
  <c r="F78" i="282"/>
  <c r="E80" i="282"/>
  <c r="J35" i="278"/>
  <c r="G35" i="278"/>
  <c r="K32" i="278"/>
  <c r="A37" i="278" s="1"/>
  <c r="K33" i="278"/>
  <c r="B38" i="278" s="1"/>
  <c r="H35" i="278"/>
  <c r="K34" i="278"/>
  <c r="K48" i="275"/>
  <c r="K53" i="275" s="1"/>
  <c r="S48" i="275"/>
  <c r="S49" i="275"/>
  <c r="L51" i="275"/>
  <c r="L53" i="275"/>
  <c r="K54" i="275"/>
  <c r="J50" i="275"/>
  <c r="M50" i="275" s="1"/>
  <c r="J49" i="275"/>
  <c r="J48" i="275"/>
  <c r="J47" i="275"/>
  <c r="K56" i="275"/>
  <c r="R49" i="275" s="1"/>
  <c r="F51" i="275"/>
  <c r="K77" i="282" l="1"/>
  <c r="K82" i="282" s="1"/>
  <c r="B37" i="278"/>
  <c r="K74" i="282"/>
  <c r="K81" i="282" s="1"/>
  <c r="K73" i="282"/>
  <c r="K72" i="282"/>
  <c r="N72" i="282"/>
  <c r="N73" i="282"/>
  <c r="N77" i="282"/>
  <c r="N76" i="282"/>
  <c r="M73" i="282"/>
  <c r="M72" i="282"/>
  <c r="N74" i="282"/>
  <c r="N75" i="282"/>
  <c r="M74" i="282"/>
  <c r="M75" i="282"/>
  <c r="L74" i="282"/>
  <c r="L75" i="282"/>
  <c r="L72" i="282"/>
  <c r="L73" i="282"/>
  <c r="L76" i="282"/>
  <c r="L77" i="282"/>
  <c r="M77" i="282"/>
  <c r="M76" i="282"/>
  <c r="G85" i="282"/>
  <c r="G81" i="282"/>
  <c r="G78" i="282"/>
  <c r="G82" i="282"/>
  <c r="G80" i="282"/>
  <c r="G84" i="282"/>
  <c r="K35" i="278"/>
  <c r="C39" i="278"/>
  <c r="D39" i="278"/>
  <c r="A39" i="278"/>
  <c r="C38" i="278"/>
  <c r="D38" i="278"/>
  <c r="A38" i="278"/>
  <c r="B39" i="278"/>
  <c r="D37" i="278"/>
  <c r="C37" i="278"/>
  <c r="S54" i="275"/>
  <c r="S56" i="275"/>
  <c r="K57" i="275"/>
  <c r="R50" i="275" s="1"/>
  <c r="K51" i="275"/>
  <c r="S57" i="275"/>
  <c r="S51" i="275"/>
  <c r="S53" i="275"/>
  <c r="J54" i="275"/>
  <c r="M49" i="275"/>
  <c r="J51" i="275"/>
  <c r="M47" i="275"/>
  <c r="J56" i="275"/>
  <c r="Q47" i="275" s="1"/>
  <c r="J53" i="275"/>
  <c r="R47" i="275"/>
  <c r="J57" i="275"/>
  <c r="Q50" i="275" s="1"/>
  <c r="M48" i="275"/>
  <c r="K85" i="282" l="1"/>
  <c r="S75" i="282" s="1"/>
  <c r="M81" i="282"/>
  <c r="O77" i="282"/>
  <c r="L85" i="282"/>
  <c r="T75" i="282" s="1"/>
  <c r="M85" i="282"/>
  <c r="U73" i="282" s="1"/>
  <c r="N85" i="282"/>
  <c r="V75" i="282" s="1"/>
  <c r="L82" i="282"/>
  <c r="M82" i="282"/>
  <c r="O72" i="282"/>
  <c r="M78" i="282"/>
  <c r="O74" i="282"/>
  <c r="O75" i="282"/>
  <c r="O76" i="282"/>
  <c r="N81" i="282"/>
  <c r="M84" i="282"/>
  <c r="U74" i="282" s="1"/>
  <c r="O73" i="282"/>
  <c r="M80" i="282"/>
  <c r="N82" i="282"/>
  <c r="K80" i="282"/>
  <c r="K84" i="282"/>
  <c r="S72" i="282" s="1"/>
  <c r="L78" i="282"/>
  <c r="L80" i="282"/>
  <c r="L84" i="282"/>
  <c r="T76" i="282" s="1"/>
  <c r="N78" i="282"/>
  <c r="N80" i="282"/>
  <c r="N84" i="282"/>
  <c r="V76" i="282" s="1"/>
  <c r="L81" i="282"/>
  <c r="K78" i="282"/>
  <c r="E37" i="278"/>
  <c r="E38" i="278"/>
  <c r="E39" i="278"/>
  <c r="C40" i="278"/>
  <c r="I38" i="278" s="1"/>
  <c r="A40" i="278"/>
  <c r="D40" i="278"/>
  <c r="J38" i="278" s="1"/>
  <c r="B40" i="278"/>
  <c r="H39" i="278" s="1"/>
  <c r="R56" i="275"/>
  <c r="R54" i="275"/>
  <c r="R48" i="275"/>
  <c r="T50" i="275"/>
  <c r="E63" i="275" s="1"/>
  <c r="M51" i="275"/>
  <c r="Q49" i="275"/>
  <c r="T47" i="275"/>
  <c r="E60" i="275" s="1"/>
  <c r="Q48" i="275"/>
  <c r="S73" i="282" l="1"/>
  <c r="S80" i="282" s="1"/>
  <c r="S77" i="282"/>
  <c r="J37" i="278"/>
  <c r="T77" i="282"/>
  <c r="T82" i="282" s="1"/>
  <c r="O85" i="282"/>
  <c r="O82" i="282"/>
  <c r="T73" i="282"/>
  <c r="U75" i="282"/>
  <c r="U81" i="282" s="1"/>
  <c r="V77" i="282"/>
  <c r="V82" i="282" s="1"/>
  <c r="V73" i="282"/>
  <c r="U77" i="282"/>
  <c r="V72" i="282"/>
  <c r="O81" i="282"/>
  <c r="V74" i="282"/>
  <c r="T74" i="282"/>
  <c r="T81" i="282" s="1"/>
  <c r="U72" i="282"/>
  <c r="U80" i="282" s="1"/>
  <c r="T72" i="282"/>
  <c r="U76" i="282"/>
  <c r="S76" i="282"/>
  <c r="S74" i="282"/>
  <c r="O78" i="282"/>
  <c r="O84" i="282"/>
  <c r="O80" i="282"/>
  <c r="E40" i="278"/>
  <c r="G37" i="278"/>
  <c r="G39" i="278"/>
  <c r="J39" i="278"/>
  <c r="I39" i="278"/>
  <c r="H38" i="278"/>
  <c r="H37" i="278"/>
  <c r="I37" i="278"/>
  <c r="G38" i="278"/>
  <c r="D63" i="275"/>
  <c r="Q53" i="275"/>
  <c r="R51" i="275"/>
  <c r="C63" i="275"/>
  <c r="D60" i="275"/>
  <c r="C60" i="275"/>
  <c r="R57" i="275"/>
  <c r="R53" i="275"/>
  <c r="Q51" i="275"/>
  <c r="Q57" i="275"/>
  <c r="T48" i="275"/>
  <c r="E61" i="275" s="1"/>
  <c r="Q54" i="275"/>
  <c r="T49" i="275"/>
  <c r="Q56" i="275"/>
  <c r="S85" i="282" l="1"/>
  <c r="J40" i="278"/>
  <c r="U85" i="282"/>
  <c r="T85" i="282"/>
  <c r="V85" i="282"/>
  <c r="W77" i="282"/>
  <c r="F93" i="282" s="1"/>
  <c r="W75" i="282"/>
  <c r="C91" i="282" s="1"/>
  <c r="W73" i="282"/>
  <c r="F89" i="282" s="1"/>
  <c r="W74" i="282"/>
  <c r="E90" i="282" s="1"/>
  <c r="W76" i="282"/>
  <c r="C92" i="282" s="1"/>
  <c r="T80" i="282"/>
  <c r="U82" i="282"/>
  <c r="U78" i="282"/>
  <c r="U84" i="282"/>
  <c r="W72" i="282"/>
  <c r="C88" i="282" s="1"/>
  <c r="T84" i="282"/>
  <c r="T78" i="282"/>
  <c r="S81" i="282"/>
  <c r="S82" i="282"/>
  <c r="S78" i="282"/>
  <c r="V84" i="282"/>
  <c r="V78" i="282"/>
  <c r="V80" i="282"/>
  <c r="W80" i="282" s="1"/>
  <c r="V81" i="282"/>
  <c r="S84" i="282"/>
  <c r="G40" i="278"/>
  <c r="K37" i="278"/>
  <c r="D42" i="278" s="1"/>
  <c r="H40" i="278"/>
  <c r="K38" i="278"/>
  <c r="B43" i="278" s="1"/>
  <c r="I40" i="278"/>
  <c r="K39" i="278"/>
  <c r="B44" i="278" s="1"/>
  <c r="D61" i="275"/>
  <c r="D62" i="275"/>
  <c r="E62" i="275"/>
  <c r="C61" i="275"/>
  <c r="C62" i="275"/>
  <c r="T51" i="275"/>
  <c r="F60" i="275"/>
  <c r="W85" i="282" l="1"/>
  <c r="D93" i="282"/>
  <c r="C93" i="282"/>
  <c r="C98" i="282" s="1"/>
  <c r="E93" i="282"/>
  <c r="W82" i="282"/>
  <c r="D89" i="282"/>
  <c r="E92" i="282"/>
  <c r="E89" i="282"/>
  <c r="C89" i="282"/>
  <c r="F91" i="282"/>
  <c r="F101" i="282" s="1"/>
  <c r="E91" i="282"/>
  <c r="D90" i="282"/>
  <c r="F90" i="282"/>
  <c r="D91" i="282"/>
  <c r="C90" i="282"/>
  <c r="D88" i="282"/>
  <c r="E88" i="282"/>
  <c r="F88" i="282"/>
  <c r="F92" i="282"/>
  <c r="D92" i="282"/>
  <c r="C96" i="282"/>
  <c r="F96" i="282"/>
  <c r="W84" i="282"/>
  <c r="W81" i="282"/>
  <c r="W78" i="282"/>
  <c r="D44" i="278"/>
  <c r="C44" i="278"/>
  <c r="A43" i="278"/>
  <c r="C42" i="278"/>
  <c r="K40" i="278"/>
  <c r="B42" i="278"/>
  <c r="A44" i="278"/>
  <c r="C43" i="278"/>
  <c r="D43" i="278"/>
  <c r="A42" i="278"/>
  <c r="C66" i="275"/>
  <c r="J60" i="275" s="1"/>
  <c r="F63" i="275"/>
  <c r="C67" i="275"/>
  <c r="J63" i="275" s="1"/>
  <c r="C69" i="275"/>
  <c r="C70" i="275"/>
  <c r="C64" i="275"/>
  <c r="G93" i="282" l="1"/>
  <c r="E98" i="282"/>
  <c r="M92" i="282" s="1"/>
  <c r="G89" i="282"/>
  <c r="C101" i="282"/>
  <c r="J61" i="275"/>
  <c r="J66" i="275" s="1"/>
  <c r="C45" i="278"/>
  <c r="I44" i="278" s="1"/>
  <c r="E96" i="282"/>
  <c r="M89" i="282" s="1"/>
  <c r="E101" i="282"/>
  <c r="G88" i="282"/>
  <c r="G91" i="282"/>
  <c r="D101" i="282"/>
  <c r="F97" i="282"/>
  <c r="N90" i="282" s="1"/>
  <c r="G90" i="282"/>
  <c r="D96" i="282"/>
  <c r="L88" i="282" s="1"/>
  <c r="G92" i="282"/>
  <c r="K88" i="282"/>
  <c r="K89" i="282"/>
  <c r="N89" i="282"/>
  <c r="N88" i="282"/>
  <c r="K92" i="282"/>
  <c r="K93" i="282"/>
  <c r="F94" i="282"/>
  <c r="C94" i="282"/>
  <c r="D94" i="282"/>
  <c r="E94" i="282"/>
  <c r="D100" i="282"/>
  <c r="C100" i="282"/>
  <c r="E100" i="282"/>
  <c r="F98" i="282"/>
  <c r="E97" i="282"/>
  <c r="F100" i="282"/>
  <c r="D98" i="282"/>
  <c r="C97" i="282"/>
  <c r="D97" i="282"/>
  <c r="E44" i="278"/>
  <c r="A45" i="278"/>
  <c r="G42" i="278" s="1"/>
  <c r="E42" i="278"/>
  <c r="E43" i="278"/>
  <c r="D45" i="278"/>
  <c r="J43" i="278" s="1"/>
  <c r="B45" i="278"/>
  <c r="H42" i="278" s="1"/>
  <c r="F61" i="275"/>
  <c r="J62" i="275"/>
  <c r="J69" i="275" s="1"/>
  <c r="Q60" i="275" s="1"/>
  <c r="D67" i="275"/>
  <c r="K63" i="275" s="1"/>
  <c r="D69" i="275"/>
  <c r="E70" i="275"/>
  <c r="E64" i="275"/>
  <c r="E66" i="275"/>
  <c r="L60" i="275" s="1"/>
  <c r="D70" i="275"/>
  <c r="D66" i="275"/>
  <c r="D64" i="275"/>
  <c r="E67" i="275"/>
  <c r="L63" i="275" s="1"/>
  <c r="E69" i="275"/>
  <c r="F62" i="275"/>
  <c r="N91" i="282" l="1"/>
  <c r="N97" i="282" s="1"/>
  <c r="M93" i="282"/>
  <c r="M98" i="282" s="1"/>
  <c r="J70" i="275"/>
  <c r="Q63" i="275" s="1"/>
  <c r="M88" i="282"/>
  <c r="O88" i="282" s="1"/>
  <c r="I42" i="278"/>
  <c r="I43" i="278"/>
  <c r="G101" i="282"/>
  <c r="G96" i="282"/>
  <c r="L89" i="282"/>
  <c r="L96" i="282" s="1"/>
  <c r="L91" i="282"/>
  <c r="L90" i="282"/>
  <c r="M90" i="282"/>
  <c r="M91" i="282"/>
  <c r="K91" i="282"/>
  <c r="K90" i="282"/>
  <c r="N92" i="282"/>
  <c r="N100" i="282" s="1"/>
  <c r="V88" i="282" s="1"/>
  <c r="N93" i="282"/>
  <c r="K96" i="282"/>
  <c r="L93" i="282"/>
  <c r="L92" i="282"/>
  <c r="K98" i="282"/>
  <c r="G94" i="282"/>
  <c r="G100" i="282"/>
  <c r="G98" i="282"/>
  <c r="G97" i="282"/>
  <c r="N96" i="282"/>
  <c r="G44" i="278"/>
  <c r="H43" i="278"/>
  <c r="H44" i="278"/>
  <c r="J44" i="278"/>
  <c r="J42" i="278"/>
  <c r="E45" i="278"/>
  <c r="G43" i="278"/>
  <c r="F64" i="275"/>
  <c r="J67" i="275"/>
  <c r="M63" i="275"/>
  <c r="J64" i="275"/>
  <c r="L62" i="275"/>
  <c r="L67" i="275" s="1"/>
  <c r="K62" i="275"/>
  <c r="K67" i="275" s="1"/>
  <c r="Q62" i="275"/>
  <c r="K61" i="275"/>
  <c r="K60" i="275"/>
  <c r="L61" i="275"/>
  <c r="I45" i="278" l="1"/>
  <c r="Q61" i="275"/>
  <c r="Q66" i="275" s="1"/>
  <c r="M96" i="282"/>
  <c r="O96" i="282" s="1"/>
  <c r="K42" i="278"/>
  <c r="B47" i="278" s="1"/>
  <c r="G45" i="278"/>
  <c r="O92" i="282"/>
  <c r="O89" i="282"/>
  <c r="L97" i="282"/>
  <c r="O91" i="282"/>
  <c r="O93" i="282"/>
  <c r="L98" i="282"/>
  <c r="V92" i="282"/>
  <c r="V90" i="282"/>
  <c r="N101" i="282"/>
  <c r="M94" i="282"/>
  <c r="M101" i="282"/>
  <c r="U91" i="282" s="1"/>
  <c r="O90" i="282"/>
  <c r="N94" i="282"/>
  <c r="M97" i="282"/>
  <c r="M100" i="282"/>
  <c r="L100" i="282"/>
  <c r="T88" i="282" s="1"/>
  <c r="L101" i="282"/>
  <c r="T89" i="282" s="1"/>
  <c r="N98" i="282"/>
  <c r="K101" i="282"/>
  <c r="L94" i="282"/>
  <c r="K97" i="282"/>
  <c r="K100" i="282"/>
  <c r="K94" i="282"/>
  <c r="H45" i="278"/>
  <c r="K44" i="278"/>
  <c r="D49" i="278" s="1"/>
  <c r="K43" i="278"/>
  <c r="B48" i="278" s="1"/>
  <c r="J45" i="278"/>
  <c r="L69" i="275"/>
  <c r="S60" i="275" s="1"/>
  <c r="M62" i="275"/>
  <c r="Q67" i="275"/>
  <c r="K66" i="275"/>
  <c r="K64" i="275"/>
  <c r="M60" i="275"/>
  <c r="L66" i="275"/>
  <c r="L70" i="275"/>
  <c r="S63" i="275" s="1"/>
  <c r="K69" i="275"/>
  <c r="K70" i="275"/>
  <c r="R63" i="275" s="1"/>
  <c r="M61" i="275"/>
  <c r="L64" i="275"/>
  <c r="Q69" i="275"/>
  <c r="D47" i="278" l="1"/>
  <c r="A47" i="278"/>
  <c r="Q70" i="275"/>
  <c r="Q64" i="275"/>
  <c r="C47" i="278"/>
  <c r="K45" i="278"/>
  <c r="O98" i="282"/>
  <c r="T91" i="282"/>
  <c r="S88" i="282"/>
  <c r="S92" i="282"/>
  <c r="S89" i="282"/>
  <c r="S93" i="282"/>
  <c r="S91" i="282"/>
  <c r="S90" i="282"/>
  <c r="T90" i="282"/>
  <c r="T92" i="282"/>
  <c r="V89" i="282"/>
  <c r="V91" i="282"/>
  <c r="V93" i="282"/>
  <c r="V98" i="282" s="1"/>
  <c r="U92" i="282"/>
  <c r="U88" i="282"/>
  <c r="U90" i="282"/>
  <c r="U97" i="282" s="1"/>
  <c r="U89" i="282"/>
  <c r="U93" i="282"/>
  <c r="T93" i="282"/>
  <c r="O97" i="282"/>
  <c r="V100" i="282"/>
  <c r="O94" i="282"/>
  <c r="O100" i="282"/>
  <c r="O101" i="282"/>
  <c r="B49" i="278"/>
  <c r="B50" i="278" s="1"/>
  <c r="D48" i="278"/>
  <c r="C48" i="278"/>
  <c r="A48" i="278"/>
  <c r="C49" i="278"/>
  <c r="A49" i="278"/>
  <c r="S62" i="275"/>
  <c r="M64" i="275"/>
  <c r="S61" i="275"/>
  <c r="R61" i="275"/>
  <c r="T63" i="275"/>
  <c r="C76" i="275" s="1"/>
  <c r="R60" i="275"/>
  <c r="R62" i="275"/>
  <c r="D50" i="278" l="1"/>
  <c r="J48" i="278" s="1"/>
  <c r="E47" i="278"/>
  <c r="A50" i="278"/>
  <c r="G47" i="278" s="1"/>
  <c r="U98" i="282"/>
  <c r="V94" i="282"/>
  <c r="T98" i="282"/>
  <c r="V97" i="282"/>
  <c r="U101" i="282"/>
  <c r="W93" i="282"/>
  <c r="C109" i="282" s="1"/>
  <c r="W89" i="282"/>
  <c r="D105" i="282" s="1"/>
  <c r="W90" i="282"/>
  <c r="F106" i="282" s="1"/>
  <c r="W92" i="282"/>
  <c r="F108" i="282" s="1"/>
  <c r="V96" i="282"/>
  <c r="V101" i="282"/>
  <c r="W91" i="282"/>
  <c r="E107" i="282" s="1"/>
  <c r="W88" i="282"/>
  <c r="U100" i="282"/>
  <c r="U94" i="282"/>
  <c r="U96" i="282"/>
  <c r="T97" i="282"/>
  <c r="T101" i="282"/>
  <c r="T94" i="282"/>
  <c r="T100" i="282"/>
  <c r="T96" i="282"/>
  <c r="S98" i="282"/>
  <c r="S101" i="282"/>
  <c r="S94" i="282"/>
  <c r="S97" i="282"/>
  <c r="S96" i="282"/>
  <c r="S100" i="282"/>
  <c r="C50" i="278"/>
  <c r="I47" i="278" s="1"/>
  <c r="H47" i="278"/>
  <c r="H48" i="278"/>
  <c r="H49" i="278"/>
  <c r="E49" i="278"/>
  <c r="E48" i="278"/>
  <c r="E76" i="275"/>
  <c r="D76" i="275"/>
  <c r="S64" i="275"/>
  <c r="S67" i="275"/>
  <c r="R70" i="275"/>
  <c r="S66" i="275"/>
  <c r="S70" i="275"/>
  <c r="S69" i="275"/>
  <c r="T61" i="275"/>
  <c r="C74" i="275" s="1"/>
  <c r="C83" i="275" s="1"/>
  <c r="R67" i="275"/>
  <c r="T62" i="275"/>
  <c r="C75" i="275" s="1"/>
  <c r="R66" i="275"/>
  <c r="R69" i="275"/>
  <c r="R64" i="275"/>
  <c r="T60" i="275"/>
  <c r="D73" i="275" s="1"/>
  <c r="J47" i="278" l="1"/>
  <c r="K47" i="278" s="1"/>
  <c r="J49" i="278"/>
  <c r="I48" i="278"/>
  <c r="G49" i="278"/>
  <c r="G48" i="278"/>
  <c r="E50" i="278"/>
  <c r="I49" i="278"/>
  <c r="D109" i="282"/>
  <c r="E108" i="282"/>
  <c r="E109" i="282"/>
  <c r="D108" i="282"/>
  <c r="C105" i="282"/>
  <c r="F105" i="282"/>
  <c r="D106" i="282"/>
  <c r="W98" i="282"/>
  <c r="F109" i="282"/>
  <c r="C108" i="282"/>
  <c r="E106" i="282"/>
  <c r="C107" i="282"/>
  <c r="F107" i="282"/>
  <c r="F104" i="282"/>
  <c r="D104" i="282"/>
  <c r="D107" i="282"/>
  <c r="E105" i="282"/>
  <c r="C104" i="282"/>
  <c r="C106" i="282"/>
  <c r="G106" i="282" s="1"/>
  <c r="E104" i="282"/>
  <c r="W101" i="282"/>
  <c r="W100" i="282"/>
  <c r="W96" i="282"/>
  <c r="W97" i="282"/>
  <c r="W94" i="282"/>
  <c r="H50" i="278"/>
  <c r="D74" i="275"/>
  <c r="D83" i="275" s="1"/>
  <c r="E74" i="275"/>
  <c r="E83" i="275" s="1"/>
  <c r="D75" i="275"/>
  <c r="D82" i="275" s="1"/>
  <c r="C73" i="275"/>
  <c r="C82" i="275" s="1"/>
  <c r="E73" i="275"/>
  <c r="E75" i="275"/>
  <c r="T64" i="275"/>
  <c r="J50" i="278" l="1"/>
  <c r="G50" i="278"/>
  <c r="I50" i="278"/>
  <c r="K48" i="278"/>
  <c r="K49" i="278"/>
  <c r="C112" i="282"/>
  <c r="K105" i="282" s="1"/>
  <c r="G108" i="282"/>
  <c r="G109" i="282"/>
  <c r="G105" i="282"/>
  <c r="G107" i="282"/>
  <c r="G104" i="282"/>
  <c r="C117" i="282"/>
  <c r="C113" i="282"/>
  <c r="K107" i="282" s="1"/>
  <c r="D117" i="282"/>
  <c r="E114" i="282"/>
  <c r="E116" i="282"/>
  <c r="E113" i="282"/>
  <c r="C114" i="282"/>
  <c r="D116" i="282"/>
  <c r="D110" i="282"/>
  <c r="D112" i="282"/>
  <c r="F112" i="282"/>
  <c r="F110" i="282"/>
  <c r="F116" i="282"/>
  <c r="C110" i="282"/>
  <c r="D114" i="282"/>
  <c r="E117" i="282"/>
  <c r="D113" i="282"/>
  <c r="E110" i="282"/>
  <c r="E112" i="282"/>
  <c r="C116" i="282"/>
  <c r="F114" i="282"/>
  <c r="F117" i="282"/>
  <c r="F113" i="282"/>
  <c r="E82" i="275"/>
  <c r="F76" i="275"/>
  <c r="D80" i="275"/>
  <c r="K76" i="275" s="1"/>
  <c r="F74" i="275"/>
  <c r="K50" i="278" l="1"/>
  <c r="K104" i="282"/>
  <c r="K112" i="282" s="1"/>
  <c r="K106" i="282"/>
  <c r="K113" i="282" s="1"/>
  <c r="L105" i="282"/>
  <c r="L104" i="282"/>
  <c r="N109" i="282"/>
  <c r="N108" i="282"/>
  <c r="M108" i="282"/>
  <c r="M109" i="282"/>
  <c r="M106" i="282"/>
  <c r="M107" i="282"/>
  <c r="L107" i="282"/>
  <c r="L106" i="282"/>
  <c r="N107" i="282"/>
  <c r="N106" i="282"/>
  <c r="M104" i="282"/>
  <c r="M105" i="282"/>
  <c r="L109" i="282"/>
  <c r="L108" i="282"/>
  <c r="N104" i="282"/>
  <c r="N105" i="282"/>
  <c r="K108" i="282"/>
  <c r="K109" i="282"/>
  <c r="K117" i="282" s="1"/>
  <c r="S107" i="282" s="1"/>
  <c r="G117" i="282"/>
  <c r="G116" i="282"/>
  <c r="G113" i="282"/>
  <c r="G114" i="282"/>
  <c r="G110" i="282"/>
  <c r="G112" i="282"/>
  <c r="K75" i="275"/>
  <c r="K80" i="275" s="1"/>
  <c r="D79" i="275"/>
  <c r="K74" i="275" s="1"/>
  <c r="K83" i="275" s="1"/>
  <c r="R74" i="275" s="1"/>
  <c r="D77" i="275"/>
  <c r="F75" i="275"/>
  <c r="C80" i="275"/>
  <c r="J76" i="275" s="1"/>
  <c r="E79" i="275"/>
  <c r="L74" i="275" s="1"/>
  <c r="E77" i="275"/>
  <c r="E80" i="275"/>
  <c r="L76" i="275" s="1"/>
  <c r="C79" i="275"/>
  <c r="J74" i="275" s="1"/>
  <c r="F73" i="275"/>
  <c r="C77" i="275"/>
  <c r="M114" i="282" l="1"/>
  <c r="O104" i="282"/>
  <c r="N114" i="282"/>
  <c r="O107" i="282"/>
  <c r="L117" i="282"/>
  <c r="T105" i="282" s="1"/>
  <c r="O105" i="282"/>
  <c r="S105" i="282"/>
  <c r="O109" i="282"/>
  <c r="S109" i="282"/>
  <c r="O106" i="282"/>
  <c r="M116" i="282"/>
  <c r="U104" i="282" s="1"/>
  <c r="O108" i="282"/>
  <c r="M112" i="282"/>
  <c r="L114" i="282"/>
  <c r="N117" i="282"/>
  <c r="V109" i="282" s="1"/>
  <c r="N112" i="282"/>
  <c r="N116" i="282"/>
  <c r="V108" i="282" s="1"/>
  <c r="M117" i="282"/>
  <c r="K110" i="282"/>
  <c r="K114" i="282"/>
  <c r="K116" i="282"/>
  <c r="L113" i="282"/>
  <c r="L110" i="282"/>
  <c r="L116" i="282"/>
  <c r="T106" i="282" s="1"/>
  <c r="L112" i="282"/>
  <c r="N110" i="282"/>
  <c r="N113" i="282"/>
  <c r="M113" i="282"/>
  <c r="M110" i="282"/>
  <c r="L75" i="275"/>
  <c r="L80" i="275" s="1"/>
  <c r="R76" i="275"/>
  <c r="M76" i="275"/>
  <c r="L83" i="275"/>
  <c r="S76" i="275" s="1"/>
  <c r="F77" i="275"/>
  <c r="L73" i="275"/>
  <c r="J75" i="275"/>
  <c r="K73" i="275"/>
  <c r="J83" i="275"/>
  <c r="Q76" i="275" s="1"/>
  <c r="M74" i="275"/>
  <c r="J73" i="275"/>
  <c r="T109" i="282" l="1"/>
  <c r="T107" i="282"/>
  <c r="U106" i="282"/>
  <c r="U108" i="282"/>
  <c r="T108" i="282"/>
  <c r="V106" i="282"/>
  <c r="V104" i="282"/>
  <c r="T104" i="282"/>
  <c r="O117" i="282"/>
  <c r="S104" i="282"/>
  <c r="S106" i="282"/>
  <c r="S108" i="282"/>
  <c r="V107" i="282"/>
  <c r="U109" i="282"/>
  <c r="V105" i="282"/>
  <c r="U105" i="282"/>
  <c r="U107" i="282"/>
  <c r="O114" i="282"/>
  <c r="O112" i="282"/>
  <c r="O113" i="282"/>
  <c r="O116" i="282"/>
  <c r="O110" i="282"/>
  <c r="S117" i="282"/>
  <c r="R83" i="275"/>
  <c r="Q74" i="275"/>
  <c r="J80" i="275"/>
  <c r="M75" i="275"/>
  <c r="L77" i="275"/>
  <c r="L82" i="275"/>
  <c r="S75" i="275" s="1"/>
  <c r="L79" i="275"/>
  <c r="J79" i="275"/>
  <c r="M73" i="275"/>
  <c r="J82" i="275"/>
  <c r="Q75" i="275" s="1"/>
  <c r="J77" i="275"/>
  <c r="K79" i="275"/>
  <c r="K77" i="275"/>
  <c r="K82" i="275"/>
  <c r="R75" i="275" s="1"/>
  <c r="S74" i="275"/>
  <c r="T76" i="275"/>
  <c r="E89" i="275" s="1"/>
  <c r="T117" i="282" l="1"/>
  <c r="U116" i="282"/>
  <c r="T114" i="282"/>
  <c r="U112" i="282"/>
  <c r="W109" i="282"/>
  <c r="E125" i="282" s="1"/>
  <c r="T113" i="282"/>
  <c r="U113" i="282"/>
  <c r="V113" i="282"/>
  <c r="W108" i="282"/>
  <c r="F124" i="282" s="1"/>
  <c r="S114" i="282"/>
  <c r="W106" i="282"/>
  <c r="D122" i="282" s="1"/>
  <c r="W104" i="282"/>
  <c r="E120" i="282" s="1"/>
  <c r="W105" i="282"/>
  <c r="F121" i="282" s="1"/>
  <c r="W107" i="282"/>
  <c r="C123" i="282" s="1"/>
  <c r="V114" i="282"/>
  <c r="V117" i="282"/>
  <c r="U114" i="282"/>
  <c r="U110" i="282"/>
  <c r="S112" i="282"/>
  <c r="S110" i="282"/>
  <c r="S116" i="282"/>
  <c r="S113" i="282"/>
  <c r="V116" i="282"/>
  <c r="V110" i="282"/>
  <c r="V112" i="282"/>
  <c r="U117" i="282"/>
  <c r="T116" i="282"/>
  <c r="T110" i="282"/>
  <c r="T112" i="282"/>
  <c r="D89" i="275"/>
  <c r="C89" i="275"/>
  <c r="Q83" i="275"/>
  <c r="R73" i="275"/>
  <c r="R79" i="275" s="1"/>
  <c r="S73" i="275"/>
  <c r="M77" i="275"/>
  <c r="Q80" i="275"/>
  <c r="T75" i="275"/>
  <c r="C88" i="275" s="1"/>
  <c r="S83" i="275"/>
  <c r="T74" i="275"/>
  <c r="D87" i="275" s="1"/>
  <c r="R80" i="275"/>
  <c r="Q73" i="275"/>
  <c r="S80" i="275"/>
  <c r="F122" i="282" l="1"/>
  <c r="E122" i="282"/>
  <c r="D120" i="282"/>
  <c r="D123" i="282"/>
  <c r="D129" i="282" s="1"/>
  <c r="L123" i="282" s="1"/>
  <c r="C121" i="282"/>
  <c r="D121" i="282"/>
  <c r="D125" i="282"/>
  <c r="C125" i="282"/>
  <c r="F125" i="282"/>
  <c r="F130" i="282" s="1"/>
  <c r="N124" i="282" s="1"/>
  <c r="E121" i="282"/>
  <c r="E128" i="282" s="1"/>
  <c r="M120" i="282" s="1"/>
  <c r="E123" i="282"/>
  <c r="D124" i="282"/>
  <c r="E124" i="282"/>
  <c r="E130" i="282" s="1"/>
  <c r="M124" i="282" s="1"/>
  <c r="C120" i="282"/>
  <c r="C122" i="282"/>
  <c r="F123" i="282"/>
  <c r="F120" i="282"/>
  <c r="C124" i="282"/>
  <c r="W113" i="282"/>
  <c r="W114" i="282"/>
  <c r="W112" i="282"/>
  <c r="W117" i="282"/>
  <c r="W116" i="282"/>
  <c r="W110" i="282"/>
  <c r="C87" i="275"/>
  <c r="E88" i="275"/>
  <c r="E87" i="275"/>
  <c r="D88" i="275"/>
  <c r="D93" i="275" s="1"/>
  <c r="K88" i="275" s="1"/>
  <c r="R82" i="275"/>
  <c r="F89" i="275"/>
  <c r="R77" i="275"/>
  <c r="S82" i="275"/>
  <c r="S79" i="275"/>
  <c r="S77" i="275"/>
  <c r="Q77" i="275"/>
  <c r="Q82" i="275"/>
  <c r="Q79" i="275"/>
  <c r="T73" i="275"/>
  <c r="T77" i="275" s="1"/>
  <c r="E129" i="282" l="1"/>
  <c r="M123" i="282" s="1"/>
  <c r="E132" i="282"/>
  <c r="M125" i="282"/>
  <c r="M130" i="282" s="1"/>
  <c r="E126" i="282"/>
  <c r="D128" i="282"/>
  <c r="L121" i="282" s="1"/>
  <c r="F133" i="282"/>
  <c r="F129" i="282"/>
  <c r="N122" i="282" s="1"/>
  <c r="D130" i="282"/>
  <c r="L124" i="282" s="1"/>
  <c r="F128" i="282"/>
  <c r="N121" i="282" s="1"/>
  <c r="F132" i="282"/>
  <c r="F126" i="282"/>
  <c r="G125" i="282"/>
  <c r="C130" i="282"/>
  <c r="G124" i="282"/>
  <c r="G120" i="282"/>
  <c r="C126" i="282"/>
  <c r="C132" i="282"/>
  <c r="C128" i="282"/>
  <c r="K121" i="282" s="1"/>
  <c r="E133" i="282"/>
  <c r="M121" i="282"/>
  <c r="D126" i="282"/>
  <c r="N125" i="282"/>
  <c r="N130" i="282" s="1"/>
  <c r="G121" i="282"/>
  <c r="C133" i="282"/>
  <c r="L122" i="282"/>
  <c r="L129" i="282" s="1"/>
  <c r="G123" i="282"/>
  <c r="G122" i="282"/>
  <c r="C129" i="282"/>
  <c r="D132" i="282"/>
  <c r="D133" i="282"/>
  <c r="C86" i="275"/>
  <c r="E86" i="275"/>
  <c r="D86" i="275"/>
  <c r="E96" i="275"/>
  <c r="K89" i="275"/>
  <c r="K93" i="275" s="1"/>
  <c r="M122" i="282" l="1"/>
  <c r="M126" i="282" s="1"/>
  <c r="L120" i="282"/>
  <c r="L132" i="282" s="1"/>
  <c r="T120" i="282" s="1"/>
  <c r="N123" i="282"/>
  <c r="N129" i="282" s="1"/>
  <c r="L125" i="282"/>
  <c r="L133" i="282" s="1"/>
  <c r="T123" i="282" s="1"/>
  <c r="G132" i="282"/>
  <c r="G130" i="282"/>
  <c r="N120" i="282"/>
  <c r="N132" i="282" s="1"/>
  <c r="K122" i="282"/>
  <c r="G129" i="282"/>
  <c r="K123" i="282"/>
  <c r="G126" i="282"/>
  <c r="G133" i="282"/>
  <c r="M133" i="282"/>
  <c r="K120" i="282"/>
  <c r="G128" i="282"/>
  <c r="K124" i="282"/>
  <c r="M128" i="282"/>
  <c r="K125" i="282"/>
  <c r="O121" i="282"/>
  <c r="C93" i="275"/>
  <c r="J89" i="275" s="1"/>
  <c r="F88" i="275"/>
  <c r="C96" i="275"/>
  <c r="F87" i="275"/>
  <c r="D96" i="275"/>
  <c r="E93" i="275"/>
  <c r="L89" i="275" s="1"/>
  <c r="M129" i="282" l="1"/>
  <c r="M132" i="282"/>
  <c r="U122" i="282" s="1"/>
  <c r="K133" i="282"/>
  <c r="S125" i="282" s="1"/>
  <c r="L128" i="282"/>
  <c r="L126" i="282"/>
  <c r="N133" i="282"/>
  <c r="V121" i="282" s="1"/>
  <c r="N126" i="282"/>
  <c r="T121" i="282"/>
  <c r="T128" i="282" s="1"/>
  <c r="T125" i="282"/>
  <c r="L130" i="282"/>
  <c r="N128" i="282"/>
  <c r="O125" i="282"/>
  <c r="K132" i="282"/>
  <c r="O120" i="282"/>
  <c r="K128" i="282"/>
  <c r="K126" i="282"/>
  <c r="V120" i="282"/>
  <c r="V122" i="282"/>
  <c r="V124" i="282"/>
  <c r="K130" i="282"/>
  <c r="O124" i="282"/>
  <c r="U125" i="282"/>
  <c r="U123" i="282"/>
  <c r="K129" i="282"/>
  <c r="O122" i="282"/>
  <c r="U121" i="282"/>
  <c r="O123" i="282"/>
  <c r="T122" i="282"/>
  <c r="T124" i="282"/>
  <c r="J88" i="275"/>
  <c r="J93" i="275" s="1"/>
  <c r="L88" i="275"/>
  <c r="M89" i="275"/>
  <c r="C95" i="275"/>
  <c r="C92" i="275"/>
  <c r="J87" i="275" s="1"/>
  <c r="F86" i="275"/>
  <c r="F90" i="275" s="1"/>
  <c r="C90" i="275"/>
  <c r="E90" i="275"/>
  <c r="E92" i="275"/>
  <c r="L87" i="275" s="1"/>
  <c r="L96" i="275" s="1"/>
  <c r="S87" i="275" s="1"/>
  <c r="E95" i="275"/>
  <c r="D92" i="275"/>
  <c r="K87" i="275" s="1"/>
  <c r="D90" i="275"/>
  <c r="D95" i="275"/>
  <c r="O129" i="282" l="1"/>
  <c r="U120" i="282"/>
  <c r="U128" i="282" s="1"/>
  <c r="U124" i="282"/>
  <c r="U130" i="282" s="1"/>
  <c r="O132" i="282"/>
  <c r="S123" i="282"/>
  <c r="O130" i="282"/>
  <c r="T132" i="282"/>
  <c r="O128" i="282"/>
  <c r="S121" i="282"/>
  <c r="T133" i="282"/>
  <c r="S122" i="282"/>
  <c r="V125" i="282"/>
  <c r="O133" i="282"/>
  <c r="V123" i="282"/>
  <c r="T126" i="282"/>
  <c r="O126" i="282"/>
  <c r="U133" i="282"/>
  <c r="S124" i="282"/>
  <c r="U129" i="282"/>
  <c r="V128" i="282"/>
  <c r="V132" i="282"/>
  <c r="T130" i="282"/>
  <c r="T129" i="282"/>
  <c r="S120" i="282"/>
  <c r="M88" i="275"/>
  <c r="L93" i="275"/>
  <c r="M87" i="275"/>
  <c r="K96" i="275"/>
  <c r="R89" i="275" s="1"/>
  <c r="J96" i="275"/>
  <c r="Q89" i="275" s="1"/>
  <c r="K86" i="275"/>
  <c r="L86" i="275"/>
  <c r="S89" i="275"/>
  <c r="J86" i="275"/>
  <c r="U126" i="282" l="1"/>
  <c r="U132" i="282"/>
  <c r="S133" i="282"/>
  <c r="S129" i="282"/>
  <c r="W123" i="282"/>
  <c r="C139" i="282" s="1"/>
  <c r="W122" i="282"/>
  <c r="E138" i="282" s="1"/>
  <c r="W121" i="282"/>
  <c r="C137" i="282" s="1"/>
  <c r="V126" i="282"/>
  <c r="V133" i="282"/>
  <c r="W125" i="282"/>
  <c r="D141" i="282" s="1"/>
  <c r="V130" i="282"/>
  <c r="V129" i="282"/>
  <c r="S128" i="282"/>
  <c r="W128" i="282" s="1"/>
  <c r="S132" i="282"/>
  <c r="W132" i="282" s="1"/>
  <c r="S126" i="282"/>
  <c r="W120" i="282"/>
  <c r="W124" i="282"/>
  <c r="S130" i="282"/>
  <c r="R87" i="275"/>
  <c r="Q87" i="275"/>
  <c r="L92" i="275"/>
  <c r="L95" i="275"/>
  <c r="L90" i="275"/>
  <c r="S96" i="275"/>
  <c r="T89" i="275"/>
  <c r="C102" i="275" s="1"/>
  <c r="J95" i="275"/>
  <c r="Q88" i="275" s="1"/>
  <c r="J90" i="275"/>
  <c r="J92" i="275"/>
  <c r="M86" i="275"/>
  <c r="M90" i="275" s="1"/>
  <c r="K90" i="275"/>
  <c r="K95" i="275"/>
  <c r="R88" i="275" s="1"/>
  <c r="K92" i="275"/>
  <c r="D138" i="282" l="1"/>
  <c r="W133" i="282"/>
  <c r="W129" i="282"/>
  <c r="F139" i="282"/>
  <c r="D139" i="282"/>
  <c r="D145" i="282" s="1"/>
  <c r="L138" i="282" s="1"/>
  <c r="E139" i="282"/>
  <c r="E145" i="282" s="1"/>
  <c r="M139" i="282" s="1"/>
  <c r="C138" i="282"/>
  <c r="C145" i="282" s="1"/>
  <c r="K139" i="282" s="1"/>
  <c r="F138" i="282"/>
  <c r="E137" i="282"/>
  <c r="D137" i="282"/>
  <c r="F137" i="282"/>
  <c r="C141" i="282"/>
  <c r="C149" i="282" s="1"/>
  <c r="W130" i="282"/>
  <c r="E141" i="282"/>
  <c r="F141" i="282"/>
  <c r="D140" i="282"/>
  <c r="F140" i="282"/>
  <c r="E140" i="282"/>
  <c r="C140" i="282"/>
  <c r="W126" i="282"/>
  <c r="D136" i="282"/>
  <c r="F136" i="282"/>
  <c r="E136" i="282"/>
  <c r="C136" i="282"/>
  <c r="E102" i="275"/>
  <c r="D102" i="275"/>
  <c r="R96" i="275"/>
  <c r="T87" i="275"/>
  <c r="E100" i="275" s="1"/>
  <c r="Q96" i="275"/>
  <c r="R93" i="275"/>
  <c r="Q93" i="275"/>
  <c r="S86" i="275"/>
  <c r="S88" i="275"/>
  <c r="R86" i="275"/>
  <c r="Q86" i="275"/>
  <c r="F145" i="282" l="1"/>
  <c r="N138" i="282" s="1"/>
  <c r="G139" i="282"/>
  <c r="K138" i="282"/>
  <c r="K145" i="282" s="1"/>
  <c r="F149" i="282"/>
  <c r="G138" i="282"/>
  <c r="M138" i="282"/>
  <c r="M145" i="282" s="1"/>
  <c r="G137" i="282"/>
  <c r="D149" i="282"/>
  <c r="L139" i="282"/>
  <c r="L145" i="282" s="1"/>
  <c r="G141" i="282"/>
  <c r="E149" i="282"/>
  <c r="E146" i="282"/>
  <c r="M141" i="282" s="1"/>
  <c r="F144" i="282"/>
  <c r="N137" i="282" s="1"/>
  <c r="F142" i="282"/>
  <c r="F148" i="282"/>
  <c r="D148" i="282"/>
  <c r="D144" i="282"/>
  <c r="L137" i="282" s="1"/>
  <c r="D142" i="282"/>
  <c r="F146" i="282"/>
  <c r="N141" i="282" s="1"/>
  <c r="C144" i="282"/>
  <c r="C142" i="282"/>
  <c r="C148" i="282"/>
  <c r="G136" i="282"/>
  <c r="C146" i="282"/>
  <c r="K141" i="282" s="1"/>
  <c r="G140" i="282"/>
  <c r="D146" i="282"/>
  <c r="E144" i="282"/>
  <c r="E142" i="282"/>
  <c r="E148" i="282"/>
  <c r="T88" i="275"/>
  <c r="E101" i="275" s="1"/>
  <c r="D100" i="275"/>
  <c r="D109" i="275" s="1"/>
  <c r="C100" i="275"/>
  <c r="C109" i="275" s="1"/>
  <c r="F102" i="275"/>
  <c r="E109" i="275"/>
  <c r="S92" i="275"/>
  <c r="S90" i="275"/>
  <c r="S95" i="275"/>
  <c r="Q90" i="275"/>
  <c r="Q92" i="275"/>
  <c r="Q95" i="275"/>
  <c r="T86" i="275"/>
  <c r="E99" i="275" s="1"/>
  <c r="R90" i="275"/>
  <c r="R92" i="275"/>
  <c r="R95" i="275"/>
  <c r="S93" i="275"/>
  <c r="G145" i="282" l="1"/>
  <c r="N139" i="282"/>
  <c r="N145" i="282" s="1"/>
  <c r="O145" i="282" s="1"/>
  <c r="M140" i="282"/>
  <c r="M146" i="282" s="1"/>
  <c r="O138" i="282"/>
  <c r="G149" i="282"/>
  <c r="O139" i="282"/>
  <c r="N140" i="282"/>
  <c r="N146" i="282" s="1"/>
  <c r="L136" i="282"/>
  <c r="L144" i="282" s="1"/>
  <c r="K140" i="282"/>
  <c r="K146" i="282" s="1"/>
  <c r="N136" i="282"/>
  <c r="G144" i="282"/>
  <c r="K137" i="282"/>
  <c r="G142" i="282"/>
  <c r="M136" i="282"/>
  <c r="M137" i="282"/>
  <c r="G146" i="282"/>
  <c r="L141" i="282"/>
  <c r="O141" i="282" s="1"/>
  <c r="K136" i="282"/>
  <c r="G148" i="282"/>
  <c r="L140" i="282"/>
  <c r="C99" i="275"/>
  <c r="T90" i="275"/>
  <c r="D99" i="275"/>
  <c r="D101" i="275"/>
  <c r="D106" i="275" s="1"/>
  <c r="K102" i="275" s="1"/>
  <c r="C101" i="275"/>
  <c r="C106" i="275" s="1"/>
  <c r="J102" i="275" s="1"/>
  <c r="F100" i="275"/>
  <c r="N149" i="282" l="1"/>
  <c r="V139" i="282" s="1"/>
  <c r="N148" i="282"/>
  <c r="V136" i="282" s="1"/>
  <c r="O140" i="282"/>
  <c r="N142" i="282"/>
  <c r="N144" i="282"/>
  <c r="L149" i="282"/>
  <c r="T139" i="282" s="1"/>
  <c r="L148" i="282"/>
  <c r="T140" i="282" s="1"/>
  <c r="M149" i="282"/>
  <c r="U137" i="282" s="1"/>
  <c r="K142" i="282"/>
  <c r="K148" i="282"/>
  <c r="O136" i="282"/>
  <c r="K144" i="282"/>
  <c r="M144" i="282"/>
  <c r="M148" i="282"/>
  <c r="M142" i="282"/>
  <c r="K149" i="282"/>
  <c r="S137" i="282" s="1"/>
  <c r="O137" i="282"/>
  <c r="L146" i="282"/>
  <c r="O146" i="282" s="1"/>
  <c r="L142" i="282"/>
  <c r="J101" i="275"/>
  <c r="J106" i="275" s="1"/>
  <c r="C108" i="275"/>
  <c r="E105" i="275"/>
  <c r="L100" i="275" s="1"/>
  <c r="E103" i="275"/>
  <c r="E108" i="275"/>
  <c r="E106" i="275"/>
  <c r="L102" i="275" s="1"/>
  <c r="F101" i="275"/>
  <c r="K101" i="275"/>
  <c r="V137" i="282" l="1"/>
  <c r="V144" i="282" s="1"/>
  <c r="V140" i="282"/>
  <c r="V141" i="282"/>
  <c r="V138" i="282"/>
  <c r="T141" i="282"/>
  <c r="T146" i="282" s="1"/>
  <c r="T137" i="282"/>
  <c r="O142" i="282"/>
  <c r="U139" i="282"/>
  <c r="U141" i="282"/>
  <c r="U136" i="282"/>
  <c r="U138" i="282"/>
  <c r="U140" i="282"/>
  <c r="O148" i="282"/>
  <c r="S138" i="282"/>
  <c r="S140" i="282"/>
  <c r="O149" i="282"/>
  <c r="S139" i="282"/>
  <c r="S141" i="282"/>
  <c r="S136" i="282"/>
  <c r="O144" i="282"/>
  <c r="T138" i="282"/>
  <c r="T136" i="282"/>
  <c r="C103" i="275"/>
  <c r="F99" i="275"/>
  <c r="F103" i="275" s="1"/>
  <c r="C105" i="275"/>
  <c r="J100" i="275" s="1"/>
  <c r="D108" i="275"/>
  <c r="D103" i="275"/>
  <c r="D105" i="275"/>
  <c r="M102" i="275"/>
  <c r="L109" i="275"/>
  <c r="S100" i="275" s="1"/>
  <c r="L99" i="275"/>
  <c r="K106" i="275"/>
  <c r="L101" i="275"/>
  <c r="L106" i="275" s="1"/>
  <c r="V149" i="282" l="1"/>
  <c r="V142" i="282"/>
  <c r="V148" i="282"/>
  <c r="V145" i="282"/>
  <c r="V146" i="282"/>
  <c r="T149" i="282"/>
  <c r="W137" i="282"/>
  <c r="F153" i="282" s="1"/>
  <c r="T142" i="282"/>
  <c r="T144" i="282"/>
  <c r="T148" i="282"/>
  <c r="S149" i="282"/>
  <c r="W139" i="282"/>
  <c r="W138" i="282"/>
  <c r="F154" i="282" s="1"/>
  <c r="S145" i="282"/>
  <c r="U145" i="282"/>
  <c r="T145" i="282"/>
  <c r="S146" i="282"/>
  <c r="W140" i="282"/>
  <c r="E156" i="282" s="1"/>
  <c r="U146" i="282"/>
  <c r="S144" i="282"/>
  <c r="W136" i="282"/>
  <c r="F152" i="282" s="1"/>
  <c r="S142" i="282"/>
  <c r="S148" i="282"/>
  <c r="U149" i="282"/>
  <c r="U148" i="282"/>
  <c r="U144" i="282"/>
  <c r="U142" i="282"/>
  <c r="W141" i="282"/>
  <c r="J99" i="275"/>
  <c r="J105" i="275" s="1"/>
  <c r="S102" i="275"/>
  <c r="M101" i="275"/>
  <c r="J109" i="275"/>
  <c r="Q102" i="275" s="1"/>
  <c r="K99" i="275"/>
  <c r="K100" i="275"/>
  <c r="L103" i="275"/>
  <c r="L105" i="275"/>
  <c r="L108" i="275"/>
  <c r="S101" i="275" s="1"/>
  <c r="E152" i="282" l="1"/>
  <c r="D153" i="282"/>
  <c r="C153" i="282"/>
  <c r="E153" i="282"/>
  <c r="C156" i="282"/>
  <c r="D154" i="282"/>
  <c r="W149" i="282"/>
  <c r="D155" i="282"/>
  <c r="F155" i="282"/>
  <c r="F157" i="282"/>
  <c r="D157" i="282"/>
  <c r="F156" i="282"/>
  <c r="F164" i="282" s="1"/>
  <c r="D156" i="282"/>
  <c r="W142" i="282"/>
  <c r="W144" i="282"/>
  <c r="W148" i="282"/>
  <c r="C152" i="282"/>
  <c r="W146" i="282"/>
  <c r="E154" i="282"/>
  <c r="E155" i="282"/>
  <c r="E157" i="282"/>
  <c r="D152" i="282"/>
  <c r="F160" i="282"/>
  <c r="N153" i="282" s="1"/>
  <c r="C157" i="282"/>
  <c r="W145" i="282"/>
  <c r="C154" i="282"/>
  <c r="C155" i="282"/>
  <c r="J108" i="275"/>
  <c r="Q99" i="275" s="1"/>
  <c r="S109" i="275"/>
  <c r="J103" i="275"/>
  <c r="M99" i="275"/>
  <c r="Q100" i="275"/>
  <c r="S106" i="275"/>
  <c r="K105" i="275"/>
  <c r="K109" i="275"/>
  <c r="R102" i="275" s="1"/>
  <c r="M100" i="275"/>
  <c r="S99" i="275"/>
  <c r="K108" i="275"/>
  <c r="K103" i="275"/>
  <c r="E164" i="282" l="1"/>
  <c r="E160" i="282"/>
  <c r="M153" i="282" s="1"/>
  <c r="C162" i="282"/>
  <c r="K156" i="282" s="1"/>
  <c r="G153" i="282"/>
  <c r="D161" i="282"/>
  <c r="L154" i="282" s="1"/>
  <c r="N152" i="282"/>
  <c r="N160" i="282" s="1"/>
  <c r="D165" i="282"/>
  <c r="G152" i="282"/>
  <c r="C158" i="282"/>
  <c r="C164" i="282"/>
  <c r="C160" i="282"/>
  <c r="K152" i="282" s="1"/>
  <c r="D162" i="282"/>
  <c r="F158" i="282"/>
  <c r="E165" i="282"/>
  <c r="F162" i="282"/>
  <c r="N156" i="282" s="1"/>
  <c r="G157" i="282"/>
  <c r="G155" i="282"/>
  <c r="C165" i="282"/>
  <c r="F165" i="282"/>
  <c r="D164" i="282"/>
  <c r="D160" i="282"/>
  <c r="L153" i="282" s="1"/>
  <c r="D158" i="282"/>
  <c r="F161" i="282"/>
  <c r="N154" i="282" s="1"/>
  <c r="G154" i="282"/>
  <c r="C161" i="282"/>
  <c r="E158" i="282"/>
  <c r="G156" i="282"/>
  <c r="E161" i="282"/>
  <c r="M155" i="282" s="1"/>
  <c r="E162" i="282"/>
  <c r="M156" i="282" s="1"/>
  <c r="M103" i="275"/>
  <c r="Q101" i="275"/>
  <c r="Q109" i="275"/>
  <c r="T102" i="275"/>
  <c r="R100" i="275"/>
  <c r="S103" i="275"/>
  <c r="S105" i="275"/>
  <c r="S108" i="275"/>
  <c r="R99" i="275"/>
  <c r="R101" i="275"/>
  <c r="Q105" i="275"/>
  <c r="M152" i="282" l="1"/>
  <c r="M160" i="282" s="1"/>
  <c r="N157" i="282"/>
  <c r="N162" i="282" s="1"/>
  <c r="K157" i="282"/>
  <c r="K162" i="282" s="1"/>
  <c r="L155" i="282"/>
  <c r="L161" i="282" s="1"/>
  <c r="L152" i="282"/>
  <c r="G162" i="282"/>
  <c r="N164" i="282"/>
  <c r="V152" i="282" s="1"/>
  <c r="L157" i="282"/>
  <c r="L156" i="282"/>
  <c r="G164" i="282"/>
  <c r="M154" i="282"/>
  <c r="G165" i="282"/>
  <c r="N155" i="282"/>
  <c r="G160" i="282"/>
  <c r="K153" i="282"/>
  <c r="K160" i="282" s="1"/>
  <c r="M157" i="282"/>
  <c r="M165" i="282" s="1"/>
  <c r="U155" i="282" s="1"/>
  <c r="K154" i="282"/>
  <c r="K164" i="282" s="1"/>
  <c r="G161" i="282"/>
  <c r="K155" i="282"/>
  <c r="G158" i="282"/>
  <c r="Q103" i="275"/>
  <c r="T100" i="275"/>
  <c r="D113" i="275" s="1"/>
  <c r="E115" i="275"/>
  <c r="C115" i="275"/>
  <c r="D115" i="275"/>
  <c r="Q108" i="275"/>
  <c r="Q106" i="275"/>
  <c r="T101" i="275"/>
  <c r="E114" i="275" s="1"/>
  <c r="R109" i="275"/>
  <c r="R105" i="275"/>
  <c r="R108" i="275"/>
  <c r="T99" i="275"/>
  <c r="R103" i="275"/>
  <c r="R106" i="275"/>
  <c r="M164" i="282" l="1"/>
  <c r="U152" i="282" s="1"/>
  <c r="N165" i="282"/>
  <c r="V157" i="282" s="1"/>
  <c r="L158" i="282"/>
  <c r="N161" i="282"/>
  <c r="L160" i="282"/>
  <c r="O160" i="282" s="1"/>
  <c r="L162" i="282"/>
  <c r="L164" i="282"/>
  <c r="T154" i="282" s="1"/>
  <c r="O152" i="282"/>
  <c r="O156" i="282"/>
  <c r="L165" i="282"/>
  <c r="O157" i="282"/>
  <c r="V156" i="282"/>
  <c r="V154" i="282"/>
  <c r="S156" i="282"/>
  <c r="S152" i="282"/>
  <c r="O155" i="282"/>
  <c r="U153" i="282"/>
  <c r="M162" i="282"/>
  <c r="U157" i="282"/>
  <c r="N158" i="282"/>
  <c r="M161" i="282"/>
  <c r="M158" i="282"/>
  <c r="O153" i="282"/>
  <c r="K165" i="282"/>
  <c r="S155" i="282" s="1"/>
  <c r="K158" i="282"/>
  <c r="O154" i="282"/>
  <c r="K161" i="282"/>
  <c r="S154" i="282"/>
  <c r="C114" i="275"/>
  <c r="C119" i="275" s="1"/>
  <c r="J115" i="275" s="1"/>
  <c r="T103" i="275"/>
  <c r="E112" i="275"/>
  <c r="C112" i="275"/>
  <c r="E113" i="275"/>
  <c r="E122" i="275" s="1"/>
  <c r="C113" i="275"/>
  <c r="C122" i="275" s="1"/>
  <c r="D112" i="275"/>
  <c r="D114" i="275"/>
  <c r="D122" i="275"/>
  <c r="F115" i="275"/>
  <c r="E119" i="275"/>
  <c r="L115" i="275" s="1"/>
  <c r="U154" i="282" l="1"/>
  <c r="U156" i="282"/>
  <c r="U162" i="282" s="1"/>
  <c r="V155" i="282"/>
  <c r="V161" i="282" s="1"/>
  <c r="V162" i="282"/>
  <c r="V153" i="282"/>
  <c r="V164" i="282"/>
  <c r="O162" i="282"/>
  <c r="T152" i="282"/>
  <c r="O164" i="282"/>
  <c r="T156" i="282"/>
  <c r="W156" i="282" s="1"/>
  <c r="S153" i="282"/>
  <c r="T155" i="282"/>
  <c r="T161" i="282" s="1"/>
  <c r="T153" i="282"/>
  <c r="T157" i="282"/>
  <c r="O158" i="282"/>
  <c r="O161" i="282"/>
  <c r="S161" i="282"/>
  <c r="O165" i="282"/>
  <c r="S157" i="282"/>
  <c r="S164" i="282"/>
  <c r="U165" i="282"/>
  <c r="U160" i="282"/>
  <c r="F113" i="275"/>
  <c r="D118" i="275"/>
  <c r="K112" i="275" s="1"/>
  <c r="L114" i="275"/>
  <c r="L119" i="275" s="1"/>
  <c r="C118" i="275"/>
  <c r="J113" i="275" s="1"/>
  <c r="C116" i="275"/>
  <c r="F112" i="275"/>
  <c r="C121" i="275"/>
  <c r="D121" i="275"/>
  <c r="D116" i="275"/>
  <c r="D119" i="275"/>
  <c r="K115" i="275" s="1"/>
  <c r="F114" i="275"/>
  <c r="E118" i="275"/>
  <c r="L113" i="275" s="1"/>
  <c r="L122" i="275" s="1"/>
  <c r="S113" i="275" s="1"/>
  <c r="E121" i="275"/>
  <c r="E116" i="275"/>
  <c r="J114" i="275"/>
  <c r="U164" i="282" l="1"/>
  <c r="U161" i="282"/>
  <c r="W161" i="282" s="1"/>
  <c r="W154" i="282"/>
  <c r="C170" i="282" s="1"/>
  <c r="U158" i="282"/>
  <c r="V158" i="282"/>
  <c r="V165" i="282"/>
  <c r="V160" i="282"/>
  <c r="T164" i="282"/>
  <c r="W152" i="282"/>
  <c r="D168" i="282" s="1"/>
  <c r="T160" i="282"/>
  <c r="T162" i="282"/>
  <c r="W155" i="282"/>
  <c r="F171" i="282" s="1"/>
  <c r="W153" i="282"/>
  <c r="E169" i="282" s="1"/>
  <c r="T165" i="282"/>
  <c r="S160" i="282"/>
  <c r="T158" i="282"/>
  <c r="F172" i="282"/>
  <c r="D172" i="282"/>
  <c r="E172" i="282"/>
  <c r="W157" i="282"/>
  <c r="C173" i="282" s="1"/>
  <c r="S162" i="282"/>
  <c r="C172" i="282"/>
  <c r="S158" i="282"/>
  <c r="S165" i="282"/>
  <c r="K113" i="275"/>
  <c r="K122" i="275" s="1"/>
  <c r="R113" i="275" s="1"/>
  <c r="J112" i="275"/>
  <c r="J118" i="275" s="1"/>
  <c r="J119" i="275"/>
  <c r="M115" i="275"/>
  <c r="J122" i="275"/>
  <c r="L112" i="275"/>
  <c r="S115" i="275"/>
  <c r="F116" i="275"/>
  <c r="K114" i="275"/>
  <c r="F170" i="282" l="1"/>
  <c r="F177" i="282" s="1"/>
  <c r="N171" i="282" s="1"/>
  <c r="W164" i="282"/>
  <c r="D170" i="282"/>
  <c r="D180" i="282" s="1"/>
  <c r="E170" i="282"/>
  <c r="M113" i="275"/>
  <c r="W160" i="282"/>
  <c r="C168" i="282"/>
  <c r="C180" i="282" s="1"/>
  <c r="E168" i="282"/>
  <c r="E180" i="282" s="1"/>
  <c r="F168" i="282"/>
  <c r="F180" i="282" s="1"/>
  <c r="C169" i="282"/>
  <c r="W162" i="282"/>
  <c r="E171" i="282"/>
  <c r="C171" i="282"/>
  <c r="D171" i="282"/>
  <c r="D169" i="282"/>
  <c r="D176" i="282" s="1"/>
  <c r="L169" i="282" s="1"/>
  <c r="W158" i="282"/>
  <c r="F169" i="282"/>
  <c r="W165" i="282"/>
  <c r="C178" i="282"/>
  <c r="K172" i="282" s="1"/>
  <c r="G172" i="282"/>
  <c r="F173" i="282"/>
  <c r="D173" i="282"/>
  <c r="E173" i="282"/>
  <c r="K118" i="275"/>
  <c r="J116" i="275"/>
  <c r="J121" i="275"/>
  <c r="Q112" i="275" s="1"/>
  <c r="K119" i="275"/>
  <c r="K121" i="275"/>
  <c r="R112" i="275" s="1"/>
  <c r="L118" i="275"/>
  <c r="L121" i="275"/>
  <c r="L116" i="275"/>
  <c r="Q113" i="275"/>
  <c r="Q115" i="275"/>
  <c r="R115" i="275"/>
  <c r="S122" i="275"/>
  <c r="M112" i="275"/>
  <c r="K116" i="275"/>
  <c r="M114" i="275"/>
  <c r="D177" i="282" l="1"/>
  <c r="L171" i="282" s="1"/>
  <c r="G170" i="282"/>
  <c r="E177" i="282"/>
  <c r="M171" i="282" s="1"/>
  <c r="C176" i="282"/>
  <c r="K168" i="282" s="1"/>
  <c r="E176" i="282"/>
  <c r="M168" i="282" s="1"/>
  <c r="G168" i="282"/>
  <c r="E174" i="282"/>
  <c r="F176" i="282"/>
  <c r="N169" i="282" s="1"/>
  <c r="C174" i="282"/>
  <c r="N170" i="282"/>
  <c r="N177" i="282" s="1"/>
  <c r="G171" i="282"/>
  <c r="C177" i="282"/>
  <c r="C181" i="282"/>
  <c r="D181" i="282"/>
  <c r="L168" i="282"/>
  <c r="L176" i="282" s="1"/>
  <c r="G169" i="282"/>
  <c r="D174" i="282"/>
  <c r="G180" i="282"/>
  <c r="D178" i="282"/>
  <c r="L173" i="282" s="1"/>
  <c r="L181" i="282" s="1"/>
  <c r="K173" i="282"/>
  <c r="K178" i="282" s="1"/>
  <c r="L170" i="282"/>
  <c r="L177" i="282" s="1"/>
  <c r="F181" i="282"/>
  <c r="E178" i="282"/>
  <c r="M172" i="282" s="1"/>
  <c r="G173" i="282"/>
  <c r="F174" i="282"/>
  <c r="F178" i="282"/>
  <c r="N172" i="282" s="1"/>
  <c r="E181" i="282"/>
  <c r="M116" i="275"/>
  <c r="Q118" i="275"/>
  <c r="Q114" i="275"/>
  <c r="S112" i="275"/>
  <c r="S114" i="275"/>
  <c r="T115" i="275"/>
  <c r="E128" i="275" s="1"/>
  <c r="R122" i="275"/>
  <c r="T113" i="275"/>
  <c r="C126" i="275" s="1"/>
  <c r="Q122" i="275"/>
  <c r="R118" i="275"/>
  <c r="R114" i="275"/>
  <c r="M170" i="282" l="1"/>
  <c r="M180" i="282" s="1"/>
  <c r="U172" i="282" s="1"/>
  <c r="K169" i="282"/>
  <c r="G177" i="282"/>
  <c r="M169" i="282"/>
  <c r="M176" i="282" s="1"/>
  <c r="K171" i="282"/>
  <c r="G176" i="282"/>
  <c r="N168" i="282"/>
  <c r="N176" i="282" s="1"/>
  <c r="K170" i="282"/>
  <c r="G181" i="282"/>
  <c r="G174" i="282"/>
  <c r="L172" i="282"/>
  <c r="L174" i="282" s="1"/>
  <c r="T171" i="282"/>
  <c r="T173" i="282"/>
  <c r="T169" i="282"/>
  <c r="G178" i="282"/>
  <c r="M173" i="282"/>
  <c r="N173" i="282"/>
  <c r="N178" i="282" s="1"/>
  <c r="T112" i="275"/>
  <c r="E125" i="275" s="1"/>
  <c r="C128" i="275"/>
  <c r="D128" i="275"/>
  <c r="E126" i="275"/>
  <c r="D126" i="275"/>
  <c r="Q119" i="275"/>
  <c r="Q121" i="275"/>
  <c r="Q116" i="275"/>
  <c r="R121" i="275"/>
  <c r="R119" i="275"/>
  <c r="R116" i="275"/>
  <c r="T114" i="275"/>
  <c r="S119" i="275"/>
  <c r="S118" i="275"/>
  <c r="S121" i="275"/>
  <c r="S116" i="275"/>
  <c r="M177" i="282" l="1"/>
  <c r="O170" i="282"/>
  <c r="M181" i="282"/>
  <c r="U171" i="282" s="1"/>
  <c r="O169" i="282"/>
  <c r="K176" i="282"/>
  <c r="O176" i="282" s="1"/>
  <c r="K181" i="282"/>
  <c r="S169" i="282" s="1"/>
  <c r="O171" i="282"/>
  <c r="K177" i="282"/>
  <c r="O168" i="282"/>
  <c r="N180" i="282"/>
  <c r="V172" i="282" s="1"/>
  <c r="K174" i="282"/>
  <c r="K180" i="282"/>
  <c r="S170" i="282" s="1"/>
  <c r="O172" i="282"/>
  <c r="L180" i="282"/>
  <c r="T172" i="282" s="1"/>
  <c r="T178" i="282" s="1"/>
  <c r="L178" i="282"/>
  <c r="T181" i="282"/>
  <c r="N181" i="282"/>
  <c r="N174" i="282"/>
  <c r="S173" i="282"/>
  <c r="T116" i="275"/>
  <c r="U170" i="282"/>
  <c r="U168" i="282"/>
  <c r="M178" i="282"/>
  <c r="O173" i="282"/>
  <c r="M174" i="282"/>
  <c r="C127" i="275"/>
  <c r="C125" i="275"/>
  <c r="D125" i="275"/>
  <c r="D127" i="275"/>
  <c r="E127" i="275"/>
  <c r="F126" i="275"/>
  <c r="E135" i="275"/>
  <c r="D135" i="275"/>
  <c r="U169" i="282" l="1"/>
  <c r="U176" i="282" s="1"/>
  <c r="U173" i="282"/>
  <c r="U178" i="282" s="1"/>
  <c r="O177" i="282"/>
  <c r="S171" i="282"/>
  <c r="S177" i="282" s="1"/>
  <c r="V170" i="282"/>
  <c r="V168" i="282"/>
  <c r="S168" i="282"/>
  <c r="S172" i="282"/>
  <c r="S178" i="282" s="1"/>
  <c r="O174" i="282"/>
  <c r="O180" i="282"/>
  <c r="O178" i="282"/>
  <c r="T168" i="282"/>
  <c r="T170" i="282"/>
  <c r="T177" i="282" s="1"/>
  <c r="V169" i="282"/>
  <c r="V171" i="282"/>
  <c r="S181" i="282"/>
  <c r="O181" i="282"/>
  <c r="V173" i="282"/>
  <c r="U180" i="282"/>
  <c r="U177" i="282"/>
  <c r="D132" i="275"/>
  <c r="K127" i="275" s="1"/>
  <c r="E132" i="275"/>
  <c r="L127" i="275" s="1"/>
  <c r="F128" i="275"/>
  <c r="C132" i="275"/>
  <c r="J128" i="275" s="1"/>
  <c r="C135" i="275"/>
  <c r="U181" i="282" l="1"/>
  <c r="U174" i="282"/>
  <c r="W171" i="282"/>
  <c r="C187" i="282" s="1"/>
  <c r="V180" i="282"/>
  <c r="V176" i="282"/>
  <c r="S180" i="282"/>
  <c r="S174" i="282"/>
  <c r="W172" i="282"/>
  <c r="C188" i="282" s="1"/>
  <c r="S176" i="282"/>
  <c r="T174" i="282"/>
  <c r="T180" i="282"/>
  <c r="W168" i="282"/>
  <c r="C184" i="282" s="1"/>
  <c r="T176" i="282"/>
  <c r="W170" i="282"/>
  <c r="F186" i="282" s="1"/>
  <c r="D187" i="282"/>
  <c r="V177" i="282"/>
  <c r="W177" i="282" s="1"/>
  <c r="W169" i="282"/>
  <c r="C185" i="282" s="1"/>
  <c r="V178" i="282"/>
  <c r="W178" i="282" s="1"/>
  <c r="V181" i="282"/>
  <c r="W181" i="282" s="1"/>
  <c r="W173" i="282"/>
  <c r="V174" i="282"/>
  <c r="K128" i="275"/>
  <c r="K132" i="275" s="1"/>
  <c r="J127" i="275"/>
  <c r="J132" i="275" s="1"/>
  <c r="L128" i="275"/>
  <c r="L132" i="275" s="1"/>
  <c r="F127" i="275"/>
  <c r="D134" i="275"/>
  <c r="D131" i="275"/>
  <c r="K126" i="275" s="1"/>
  <c r="D129" i="275"/>
  <c r="E131" i="275"/>
  <c r="L126" i="275" s="1"/>
  <c r="E129" i="275"/>
  <c r="E134" i="275"/>
  <c r="C134" i="275"/>
  <c r="C131" i="275"/>
  <c r="J126" i="275" s="1"/>
  <c r="F125" i="275"/>
  <c r="C129" i="275"/>
  <c r="E187" i="282" l="1"/>
  <c r="F187" i="282"/>
  <c r="W176" i="282"/>
  <c r="D188" i="282"/>
  <c r="W180" i="282"/>
  <c r="F188" i="282"/>
  <c r="E188" i="282"/>
  <c r="E186" i="282"/>
  <c r="F193" i="282"/>
  <c r="N186" i="282" s="1"/>
  <c r="F184" i="282"/>
  <c r="C186" i="282"/>
  <c r="C193" i="282" s="1"/>
  <c r="F185" i="282"/>
  <c r="D186" i="282"/>
  <c r="D193" i="282" s="1"/>
  <c r="L187" i="282" s="1"/>
  <c r="D184" i="282"/>
  <c r="E184" i="282"/>
  <c r="E185" i="282"/>
  <c r="D185" i="282"/>
  <c r="C192" i="282"/>
  <c r="K184" i="282" s="1"/>
  <c r="D189" i="282"/>
  <c r="E189" i="282"/>
  <c r="C189" i="282"/>
  <c r="F189" i="282"/>
  <c r="W174" i="282"/>
  <c r="M127" i="275"/>
  <c r="M128" i="275"/>
  <c r="F129" i="275"/>
  <c r="K135" i="275"/>
  <c r="R128" i="275" s="1"/>
  <c r="J125" i="275"/>
  <c r="L125" i="275"/>
  <c r="K125" i="275"/>
  <c r="J135" i="275"/>
  <c r="Q128" i="275" s="1"/>
  <c r="M126" i="275"/>
  <c r="L135" i="275"/>
  <c r="S128" i="275" s="1"/>
  <c r="G187" i="282" l="1"/>
  <c r="E193" i="282"/>
  <c r="M187" i="282" s="1"/>
  <c r="D194" i="282"/>
  <c r="L188" i="282" s="1"/>
  <c r="G188" i="282"/>
  <c r="N187" i="282"/>
  <c r="N193" i="282" s="1"/>
  <c r="F196" i="282"/>
  <c r="E196" i="282"/>
  <c r="C190" i="282"/>
  <c r="F192" i="282"/>
  <c r="N185" i="282" s="1"/>
  <c r="C196" i="282"/>
  <c r="D192" i="282"/>
  <c r="L185" i="282" s="1"/>
  <c r="G186" i="282"/>
  <c r="G184" i="282"/>
  <c r="D196" i="282"/>
  <c r="D190" i="282"/>
  <c r="E190" i="282"/>
  <c r="E192" i="282"/>
  <c r="G185" i="282"/>
  <c r="E197" i="282"/>
  <c r="F190" i="282"/>
  <c r="F197" i="282"/>
  <c r="D197" i="282"/>
  <c r="F194" i="282"/>
  <c r="N188" i="282" s="1"/>
  <c r="E194" i="282"/>
  <c r="L186" i="282"/>
  <c r="L193" i="282" s="1"/>
  <c r="G189" i="282"/>
  <c r="C194" i="282"/>
  <c r="K189" i="282" s="1"/>
  <c r="C197" i="282"/>
  <c r="K186" i="282"/>
  <c r="G193" i="282"/>
  <c r="K187" i="282"/>
  <c r="K185" i="282"/>
  <c r="Q126" i="275"/>
  <c r="L131" i="275"/>
  <c r="L134" i="275"/>
  <c r="S127" i="275" s="1"/>
  <c r="L129" i="275"/>
  <c r="J131" i="275"/>
  <c r="M125" i="275"/>
  <c r="M129" i="275" s="1"/>
  <c r="J129" i="275"/>
  <c r="J134" i="275"/>
  <c r="Q127" i="275" s="1"/>
  <c r="S126" i="275"/>
  <c r="T128" i="275"/>
  <c r="C141" i="275" s="1"/>
  <c r="R126" i="275"/>
  <c r="K131" i="275"/>
  <c r="K134" i="275"/>
  <c r="R127" i="275" s="1"/>
  <c r="K129" i="275"/>
  <c r="M186" i="282" l="1"/>
  <c r="M193" i="282" s="1"/>
  <c r="L189" i="282"/>
  <c r="L194" i="282" s="1"/>
  <c r="L184" i="282"/>
  <c r="L196" i="282" s="1"/>
  <c r="N184" i="282"/>
  <c r="N192" i="282" s="1"/>
  <c r="G196" i="282"/>
  <c r="G192" i="282"/>
  <c r="G190" i="282"/>
  <c r="M184" i="282"/>
  <c r="M185" i="282"/>
  <c r="O185" i="282" s="1"/>
  <c r="M188" i="282"/>
  <c r="M189" i="282"/>
  <c r="O187" i="282"/>
  <c r="K197" i="282"/>
  <c r="S187" i="282" s="1"/>
  <c r="K192" i="282"/>
  <c r="K193" i="282"/>
  <c r="G194" i="282"/>
  <c r="K188" i="282"/>
  <c r="K190" i="282" s="1"/>
  <c r="G197" i="282"/>
  <c r="N189" i="282"/>
  <c r="D141" i="275"/>
  <c r="Q135" i="275"/>
  <c r="E141" i="275"/>
  <c r="T126" i="275"/>
  <c r="C139" i="275" s="1"/>
  <c r="Q125" i="275"/>
  <c r="Q134" i="275" s="1"/>
  <c r="R132" i="275"/>
  <c r="S135" i="275"/>
  <c r="S132" i="275"/>
  <c r="R125" i="275"/>
  <c r="Q132" i="275"/>
  <c r="T127" i="275"/>
  <c r="D140" i="275" s="1"/>
  <c r="S125" i="275"/>
  <c r="R135" i="275"/>
  <c r="O193" i="282" l="1"/>
  <c r="O186" i="282"/>
  <c r="L197" i="282"/>
  <c r="T187" i="282" s="1"/>
  <c r="N196" i="282"/>
  <c r="V186" i="282" s="1"/>
  <c r="L190" i="282"/>
  <c r="L192" i="282"/>
  <c r="K196" i="282"/>
  <c r="S188" i="282" s="1"/>
  <c r="O184" i="282"/>
  <c r="M192" i="282"/>
  <c r="N197" i="282"/>
  <c r="T186" i="282"/>
  <c r="T188" i="282"/>
  <c r="O189" i="282"/>
  <c r="N190" i="282"/>
  <c r="M197" i="282"/>
  <c r="U189" i="282" s="1"/>
  <c r="K194" i="282"/>
  <c r="O188" i="282"/>
  <c r="M194" i="282"/>
  <c r="M196" i="282"/>
  <c r="M190" i="282"/>
  <c r="T184" i="282"/>
  <c r="N194" i="282"/>
  <c r="S185" i="282"/>
  <c r="S189" i="282"/>
  <c r="D139" i="275"/>
  <c r="C140" i="275"/>
  <c r="E139" i="275"/>
  <c r="Q131" i="275"/>
  <c r="E140" i="275"/>
  <c r="C148" i="275"/>
  <c r="Q129" i="275"/>
  <c r="T125" i="275"/>
  <c r="T129" i="275" s="1"/>
  <c r="S134" i="275"/>
  <c r="S131" i="275"/>
  <c r="S129" i="275"/>
  <c r="R134" i="275"/>
  <c r="R129" i="275"/>
  <c r="R131" i="275"/>
  <c r="T185" i="282" l="1"/>
  <c r="T192" i="282" s="1"/>
  <c r="T189" i="282"/>
  <c r="T193" i="282"/>
  <c r="O192" i="282"/>
  <c r="V188" i="282"/>
  <c r="V184" i="282"/>
  <c r="O196" i="282"/>
  <c r="S184" i="282"/>
  <c r="S192" i="282" s="1"/>
  <c r="S186" i="282"/>
  <c r="S193" i="282" s="1"/>
  <c r="O190" i="282"/>
  <c r="O197" i="282"/>
  <c r="V185" i="282"/>
  <c r="V187" i="282"/>
  <c r="S194" i="282"/>
  <c r="V189" i="282"/>
  <c r="T196" i="282"/>
  <c r="U188" i="282"/>
  <c r="U184" i="282"/>
  <c r="U186" i="282"/>
  <c r="T194" i="282"/>
  <c r="S197" i="282"/>
  <c r="O194" i="282"/>
  <c r="U185" i="282"/>
  <c r="U187" i="282"/>
  <c r="E138" i="275"/>
  <c r="C138" i="275"/>
  <c r="D138" i="275"/>
  <c r="F139" i="275"/>
  <c r="F141" i="275"/>
  <c r="D148" i="275"/>
  <c r="D145" i="275"/>
  <c r="K141" i="275" s="1"/>
  <c r="T190" i="282" l="1"/>
  <c r="T197" i="282"/>
  <c r="V196" i="282"/>
  <c r="W184" i="282"/>
  <c r="D200" i="282" s="1"/>
  <c r="S196" i="282"/>
  <c r="S190" i="282"/>
  <c r="W186" i="282"/>
  <c r="F202" i="282" s="1"/>
  <c r="U197" i="282"/>
  <c r="W185" i="282"/>
  <c r="W188" i="282"/>
  <c r="E204" i="282" s="1"/>
  <c r="U194" i="282"/>
  <c r="U193" i="282"/>
  <c r="W187" i="282"/>
  <c r="F203" i="282" s="1"/>
  <c r="V190" i="282"/>
  <c r="V192" i="282"/>
  <c r="D202" i="282"/>
  <c r="U196" i="282"/>
  <c r="U192" i="282"/>
  <c r="U190" i="282"/>
  <c r="V194" i="282"/>
  <c r="V197" i="282"/>
  <c r="V193" i="282"/>
  <c r="W189" i="282"/>
  <c r="F205" i="282" s="1"/>
  <c r="E148" i="275"/>
  <c r="F140" i="275"/>
  <c r="C145" i="275"/>
  <c r="J141" i="275" s="1"/>
  <c r="E145" i="275"/>
  <c r="L141" i="275" s="1"/>
  <c r="K140" i="275"/>
  <c r="F200" i="282" l="1"/>
  <c r="E200" i="282"/>
  <c r="C200" i="282"/>
  <c r="E202" i="282"/>
  <c r="C202" i="282"/>
  <c r="W196" i="282"/>
  <c r="W197" i="282"/>
  <c r="W193" i="282"/>
  <c r="W194" i="282"/>
  <c r="F209" i="282"/>
  <c r="N202" i="282" s="1"/>
  <c r="C201" i="282"/>
  <c r="D201" i="282"/>
  <c r="C203" i="282"/>
  <c r="D203" i="282"/>
  <c r="D209" i="282" s="1"/>
  <c r="L203" i="282" s="1"/>
  <c r="D205" i="282"/>
  <c r="E205" i="282"/>
  <c r="E210" i="282" s="1"/>
  <c r="M204" i="282" s="1"/>
  <c r="C205" i="282"/>
  <c r="F201" i="282"/>
  <c r="F213" i="282" s="1"/>
  <c r="E203" i="282"/>
  <c r="F204" i="282"/>
  <c r="C204" i="282"/>
  <c r="D204" i="282"/>
  <c r="W190" i="282"/>
  <c r="E201" i="282"/>
  <c r="W192" i="282"/>
  <c r="L140" i="275"/>
  <c r="L145" i="275" s="1"/>
  <c r="M141" i="275"/>
  <c r="F138" i="275"/>
  <c r="F142" i="275" s="1"/>
  <c r="C142" i="275"/>
  <c r="C144" i="275"/>
  <c r="D147" i="275"/>
  <c r="D144" i="275"/>
  <c r="D142" i="275"/>
  <c r="K145" i="275"/>
  <c r="J140" i="275"/>
  <c r="E147" i="275"/>
  <c r="E142" i="275"/>
  <c r="E144" i="275"/>
  <c r="L139" i="275" s="1"/>
  <c r="C147" i="275"/>
  <c r="G200" i="282" l="1"/>
  <c r="E212" i="282"/>
  <c r="G202" i="282"/>
  <c r="E209" i="282"/>
  <c r="M203" i="282" s="1"/>
  <c r="C212" i="282"/>
  <c r="F208" i="282"/>
  <c r="N201" i="282" s="1"/>
  <c r="F210" i="282"/>
  <c r="N205" i="282" s="1"/>
  <c r="G203" i="282"/>
  <c r="D213" i="282"/>
  <c r="D206" i="282"/>
  <c r="D208" i="282"/>
  <c r="D210" i="282"/>
  <c r="L205" i="282" s="1"/>
  <c r="D212" i="282"/>
  <c r="G205" i="282"/>
  <c r="F206" i="282"/>
  <c r="E213" i="282"/>
  <c r="E208" i="282"/>
  <c r="M200" i="282" s="1"/>
  <c r="L202" i="282"/>
  <c r="F212" i="282"/>
  <c r="C209" i="282"/>
  <c r="G201" i="282"/>
  <c r="C213" i="282"/>
  <c r="C208" i="282"/>
  <c r="K201" i="282" s="1"/>
  <c r="C206" i="282"/>
  <c r="C210" i="282"/>
  <c r="K204" i="282" s="1"/>
  <c r="G204" i="282"/>
  <c r="M205" i="282"/>
  <c r="M210" i="282" s="1"/>
  <c r="E206" i="282"/>
  <c r="N203" i="282"/>
  <c r="L138" i="275"/>
  <c r="L142" i="275" s="1"/>
  <c r="J138" i="275"/>
  <c r="J139" i="275"/>
  <c r="J145" i="275"/>
  <c r="M140" i="275"/>
  <c r="L148" i="275"/>
  <c r="S141" i="275" s="1"/>
  <c r="K138" i="275"/>
  <c r="K139" i="275"/>
  <c r="M202" i="282" l="1"/>
  <c r="G212" i="282"/>
  <c r="N200" i="282"/>
  <c r="N208" i="282" s="1"/>
  <c r="L204" i="282"/>
  <c r="L210" i="282" s="1"/>
  <c r="M201" i="282"/>
  <c r="G206" i="282"/>
  <c r="L201" i="282"/>
  <c r="L200" i="282"/>
  <c r="M209" i="282"/>
  <c r="K202" i="282"/>
  <c r="G209" i="282"/>
  <c r="G210" i="282"/>
  <c r="M212" i="282"/>
  <c r="U204" i="282" s="1"/>
  <c r="N213" i="282"/>
  <c r="V201" i="282" s="1"/>
  <c r="G208" i="282"/>
  <c r="K200" i="282"/>
  <c r="G213" i="282"/>
  <c r="L209" i="282"/>
  <c r="N209" i="282"/>
  <c r="K205" i="282"/>
  <c r="K210" i="282" s="1"/>
  <c r="K203" i="282"/>
  <c r="N204" i="282"/>
  <c r="L144" i="275"/>
  <c r="L147" i="275"/>
  <c r="S140" i="275" s="1"/>
  <c r="S139" i="275"/>
  <c r="K147" i="275"/>
  <c r="R140" i="275" s="1"/>
  <c r="K142" i="275"/>
  <c r="K144" i="275"/>
  <c r="M139" i="275"/>
  <c r="J148" i="275"/>
  <c r="Q141" i="275" s="1"/>
  <c r="K148" i="275"/>
  <c r="R141" i="275" s="1"/>
  <c r="M138" i="275"/>
  <c r="J147" i="275"/>
  <c r="Q140" i="275" s="1"/>
  <c r="J142" i="275"/>
  <c r="J144" i="275"/>
  <c r="M206" i="282" l="1"/>
  <c r="M213" i="282"/>
  <c r="U203" i="282" s="1"/>
  <c r="O201" i="282"/>
  <c r="M208" i="282"/>
  <c r="K213" i="282"/>
  <c r="S201" i="282" s="1"/>
  <c r="U200" i="282"/>
  <c r="V203" i="282"/>
  <c r="N210" i="282"/>
  <c r="O210" i="282" s="1"/>
  <c r="O203" i="282"/>
  <c r="O205" i="282"/>
  <c r="K212" i="282"/>
  <c r="K208" i="282"/>
  <c r="K206" i="282"/>
  <c r="O200" i="282"/>
  <c r="O204" i="282"/>
  <c r="N212" i="282"/>
  <c r="L206" i="282"/>
  <c r="L208" i="282"/>
  <c r="L212" i="282"/>
  <c r="T200" i="282" s="1"/>
  <c r="U202" i="282"/>
  <c r="V205" i="282"/>
  <c r="N206" i="282"/>
  <c r="K209" i="282"/>
  <c r="O209" i="282" s="1"/>
  <c r="O202" i="282"/>
  <c r="L213" i="282"/>
  <c r="S148" i="275"/>
  <c r="S138" i="275"/>
  <c r="S144" i="275" s="1"/>
  <c r="S145" i="275"/>
  <c r="R138" i="275"/>
  <c r="Q138" i="275"/>
  <c r="M142" i="275"/>
  <c r="R139" i="275"/>
  <c r="T141" i="275"/>
  <c r="E154" i="275" s="1"/>
  <c r="T140" i="275"/>
  <c r="E153" i="275" s="1"/>
  <c r="Q145" i="275"/>
  <c r="Q139" i="275"/>
  <c r="R145" i="275"/>
  <c r="U201" i="282" l="1"/>
  <c r="U208" i="282" s="1"/>
  <c r="U205" i="282"/>
  <c r="S203" i="282"/>
  <c r="V213" i="282"/>
  <c r="S205" i="282"/>
  <c r="U212" i="282"/>
  <c r="V200" i="282"/>
  <c r="V202" i="282"/>
  <c r="T203" i="282"/>
  <c r="T205" i="282"/>
  <c r="O212" i="282"/>
  <c r="S204" i="282"/>
  <c r="V204" i="282"/>
  <c r="T202" i="282"/>
  <c r="T204" i="282"/>
  <c r="O206" i="282"/>
  <c r="S200" i="282"/>
  <c r="T201" i="282"/>
  <c r="S202" i="282"/>
  <c r="O208" i="282"/>
  <c r="O213" i="282"/>
  <c r="U209" i="282"/>
  <c r="C154" i="275"/>
  <c r="D154" i="275"/>
  <c r="S142" i="275"/>
  <c r="C153" i="275"/>
  <c r="D153" i="275"/>
  <c r="S147" i="275"/>
  <c r="R147" i="275"/>
  <c r="R144" i="275"/>
  <c r="T138" i="275"/>
  <c r="D151" i="275" s="1"/>
  <c r="R148" i="275"/>
  <c r="Q147" i="275"/>
  <c r="Q144" i="275"/>
  <c r="Q142" i="275"/>
  <c r="R142" i="275"/>
  <c r="Q148" i="275"/>
  <c r="T139" i="275"/>
  <c r="E152" i="275" s="1"/>
  <c r="U206" i="282" l="1"/>
  <c r="U210" i="282"/>
  <c r="S213" i="282"/>
  <c r="U213" i="282"/>
  <c r="W205" i="282"/>
  <c r="E221" i="282" s="1"/>
  <c r="T212" i="282"/>
  <c r="W204" i="282"/>
  <c r="E220" i="282" s="1"/>
  <c r="S210" i="282"/>
  <c r="V208" i="282"/>
  <c r="V212" i="282"/>
  <c r="V206" i="282"/>
  <c r="T210" i="282"/>
  <c r="S212" i="282"/>
  <c r="W202" i="282"/>
  <c r="E218" i="282" s="1"/>
  <c r="S209" i="282"/>
  <c r="T213" i="282"/>
  <c r="T209" i="282"/>
  <c r="T206" i="282"/>
  <c r="W201" i="282"/>
  <c r="W203" i="282"/>
  <c r="D219" i="282" s="1"/>
  <c r="S206" i="282"/>
  <c r="S208" i="282"/>
  <c r="W200" i="282"/>
  <c r="F216" i="282" s="1"/>
  <c r="V210" i="282"/>
  <c r="T208" i="282"/>
  <c r="V209" i="282"/>
  <c r="C152" i="275"/>
  <c r="C151" i="275"/>
  <c r="E151" i="275"/>
  <c r="D152" i="275"/>
  <c r="T142" i="275"/>
  <c r="D158" i="275"/>
  <c r="K153" i="275" s="1"/>
  <c r="F154" i="275"/>
  <c r="C158" i="275"/>
  <c r="J153" i="275" s="1"/>
  <c r="E158" i="275"/>
  <c r="D221" i="282" l="1"/>
  <c r="D218" i="282"/>
  <c r="D225" i="282" s="1"/>
  <c r="L219" i="282" s="1"/>
  <c r="W213" i="282"/>
  <c r="C221" i="282"/>
  <c r="F221" i="282"/>
  <c r="E226" i="282"/>
  <c r="M220" i="282" s="1"/>
  <c r="C216" i="282"/>
  <c r="F218" i="282"/>
  <c r="F220" i="282"/>
  <c r="C218" i="282"/>
  <c r="G218" i="282" s="1"/>
  <c r="W212" i="282"/>
  <c r="W208" i="282"/>
  <c r="D220" i="282"/>
  <c r="E217" i="282"/>
  <c r="F217" i="282"/>
  <c r="F224" i="282" s="1"/>
  <c r="C217" i="282"/>
  <c r="D217" i="282"/>
  <c r="W206" i="282"/>
  <c r="E216" i="282"/>
  <c r="D216" i="282"/>
  <c r="W209" i="282"/>
  <c r="C220" i="282"/>
  <c r="E219" i="282"/>
  <c r="E225" i="282" s="1"/>
  <c r="F219" i="282"/>
  <c r="C219" i="282"/>
  <c r="W210" i="282"/>
  <c r="K154" i="275"/>
  <c r="K158" i="275" s="1"/>
  <c r="E160" i="275"/>
  <c r="D160" i="275"/>
  <c r="F153" i="275"/>
  <c r="J154" i="275"/>
  <c r="C161" i="275"/>
  <c r="F151" i="275"/>
  <c r="C160" i="275"/>
  <c r="C157" i="275"/>
  <c r="J152" i="275" s="1"/>
  <c r="C155" i="275"/>
  <c r="L153" i="275"/>
  <c r="M153" i="275" s="1"/>
  <c r="L154" i="275"/>
  <c r="G221" i="282" l="1"/>
  <c r="M221" i="282"/>
  <c r="M226" i="282" s="1"/>
  <c r="F228" i="282"/>
  <c r="F226" i="282"/>
  <c r="N220" i="282" s="1"/>
  <c r="F222" i="282"/>
  <c r="L218" i="282"/>
  <c r="L225" i="282" s="1"/>
  <c r="C225" i="282"/>
  <c r="K218" i="282" s="1"/>
  <c r="C222" i="282"/>
  <c r="M219" i="282"/>
  <c r="M218" i="282"/>
  <c r="N217" i="282"/>
  <c r="N216" i="282"/>
  <c r="C226" i="282"/>
  <c r="G220" i="282"/>
  <c r="D229" i="282"/>
  <c r="C224" i="282"/>
  <c r="F229" i="282"/>
  <c r="E224" i="282"/>
  <c r="M216" i="282" s="1"/>
  <c r="E228" i="282"/>
  <c r="C228" i="282"/>
  <c r="G217" i="282"/>
  <c r="C229" i="282"/>
  <c r="G219" i="282"/>
  <c r="F225" i="282"/>
  <c r="N218" i="282" s="1"/>
  <c r="D228" i="282"/>
  <c r="D224" i="282"/>
  <c r="L216" i="282" s="1"/>
  <c r="D222" i="282"/>
  <c r="D226" i="282"/>
  <c r="L221" i="282" s="1"/>
  <c r="E229" i="282"/>
  <c r="E222" i="282"/>
  <c r="G216" i="282"/>
  <c r="L158" i="275"/>
  <c r="J151" i="275"/>
  <c r="J160" i="275" s="1"/>
  <c r="Q153" i="275" s="1"/>
  <c r="J161" i="275"/>
  <c r="Q154" i="275" s="1"/>
  <c r="D161" i="275"/>
  <c r="J158" i="275"/>
  <c r="M154" i="275"/>
  <c r="D155" i="275"/>
  <c r="F152" i="275"/>
  <c r="F155" i="275" s="1"/>
  <c r="D157" i="275"/>
  <c r="K151" i="275" s="1"/>
  <c r="E161" i="275"/>
  <c r="E155" i="275"/>
  <c r="E157" i="275"/>
  <c r="J157" i="275" l="1"/>
  <c r="N221" i="282"/>
  <c r="N226" i="282" s="1"/>
  <c r="K219" i="282"/>
  <c r="M217" i="282"/>
  <c r="M222" i="282" s="1"/>
  <c r="G229" i="282"/>
  <c r="L220" i="282"/>
  <c r="L228" i="282" s="1"/>
  <c r="T218" i="282" s="1"/>
  <c r="G222" i="282"/>
  <c r="N219" i="282"/>
  <c r="G224" i="282"/>
  <c r="K216" i="282"/>
  <c r="O218" i="282"/>
  <c r="M225" i="282"/>
  <c r="L217" i="282"/>
  <c r="G226" i="282"/>
  <c r="K221" i="282"/>
  <c r="G228" i="282"/>
  <c r="N224" i="282"/>
  <c r="N228" i="282"/>
  <c r="V218" i="282" s="1"/>
  <c r="K217" i="282"/>
  <c r="M228" i="282"/>
  <c r="U220" i="282" s="1"/>
  <c r="G225" i="282"/>
  <c r="K220" i="282"/>
  <c r="J155" i="275"/>
  <c r="Q152" i="275"/>
  <c r="Q161" i="275" s="1"/>
  <c r="Q151" i="275"/>
  <c r="Q160" i="275" s="1"/>
  <c r="L152" i="275"/>
  <c r="L151" i="275"/>
  <c r="K160" i="275"/>
  <c r="R153" i="275" s="1"/>
  <c r="Q158" i="275"/>
  <c r="J8" i="275"/>
  <c r="J59" i="276" s="1"/>
  <c r="K152" i="275"/>
  <c r="J9" i="275"/>
  <c r="N222" i="282" l="1"/>
  <c r="O219" i="282"/>
  <c r="M224" i="282"/>
  <c r="N225" i="282"/>
  <c r="M229" i="282"/>
  <c r="U221" i="282" s="1"/>
  <c r="U226" i="282" s="1"/>
  <c r="L222" i="282"/>
  <c r="K225" i="282"/>
  <c r="N229" i="282"/>
  <c r="V219" i="282" s="1"/>
  <c r="L226" i="282"/>
  <c r="U218" i="282"/>
  <c r="U216" i="282"/>
  <c r="O220" i="282"/>
  <c r="K226" i="282"/>
  <c r="L229" i="282"/>
  <c r="L224" i="282"/>
  <c r="K228" i="282"/>
  <c r="S216" i="282" s="1"/>
  <c r="K224" i="282"/>
  <c r="K222" i="282"/>
  <c r="O216" i="282"/>
  <c r="K229" i="282"/>
  <c r="S217" i="282" s="1"/>
  <c r="O217" i="282"/>
  <c r="O221" i="282"/>
  <c r="V216" i="282"/>
  <c r="V220" i="282"/>
  <c r="T220" i="282"/>
  <c r="T216" i="282"/>
  <c r="J6" i="275"/>
  <c r="J57" i="276" s="1"/>
  <c r="W331" i="273"/>
  <c r="M338" i="273" s="1"/>
  <c r="O338" i="273" s="1"/>
  <c r="R338" i="273" s="1"/>
  <c r="J60" i="276"/>
  <c r="J7" i="275"/>
  <c r="W329" i="273" s="1"/>
  <c r="M332" i="273" s="1"/>
  <c r="Q157" i="275"/>
  <c r="Q155" i="275"/>
  <c r="R151" i="275"/>
  <c r="K6" i="275" s="1"/>
  <c r="K57" i="276" s="1"/>
  <c r="L161" i="275"/>
  <c r="S154" i="275" s="1"/>
  <c r="L9" i="275" s="1"/>
  <c r="W328" i="273"/>
  <c r="M329" i="273" s="1"/>
  <c r="W330" i="273"/>
  <c r="M335" i="273" s="1"/>
  <c r="J13" i="275"/>
  <c r="K8" i="275"/>
  <c r="K59" i="276" s="1"/>
  <c r="L157" i="275"/>
  <c r="L155" i="275"/>
  <c r="L160" i="275"/>
  <c r="S153" i="275" s="1"/>
  <c r="M151" i="275"/>
  <c r="K161" i="275"/>
  <c r="M152" i="275"/>
  <c r="K155" i="275"/>
  <c r="K157" i="275"/>
  <c r="V217" i="282" l="1"/>
  <c r="O225" i="282"/>
  <c r="V221" i="282"/>
  <c r="O226" i="282"/>
  <c r="U217" i="282"/>
  <c r="U224" i="282" s="1"/>
  <c r="U219" i="282"/>
  <c r="U228" i="282"/>
  <c r="S221" i="282"/>
  <c r="W216" i="282"/>
  <c r="F232" i="282" s="1"/>
  <c r="S224" i="282"/>
  <c r="T219" i="282"/>
  <c r="T221" i="282"/>
  <c r="T226" i="282" s="1"/>
  <c r="V224" i="282"/>
  <c r="V228" i="282"/>
  <c r="O222" i="282"/>
  <c r="O228" i="282"/>
  <c r="S218" i="282"/>
  <c r="S220" i="282"/>
  <c r="V226" i="282"/>
  <c r="T228" i="282"/>
  <c r="O229" i="282"/>
  <c r="S219" i="282"/>
  <c r="O224" i="282"/>
  <c r="T217" i="282"/>
  <c r="V225" i="282"/>
  <c r="P338" i="273"/>
  <c r="Q338" i="273" s="1"/>
  <c r="N338" i="273"/>
  <c r="J15" i="275"/>
  <c r="Y331" i="273"/>
  <c r="M340" i="273" s="1"/>
  <c r="N340" i="273" s="1"/>
  <c r="L60" i="276"/>
  <c r="J12" i="275"/>
  <c r="J58" i="276"/>
  <c r="J10" i="275"/>
  <c r="J16" i="275"/>
  <c r="R160" i="275"/>
  <c r="M155" i="275"/>
  <c r="S151" i="275"/>
  <c r="T151" i="275" s="1"/>
  <c r="S152" i="275"/>
  <c r="L7" i="275" s="1"/>
  <c r="L58" i="276" s="1"/>
  <c r="R152" i="275"/>
  <c r="R154" i="275"/>
  <c r="N329" i="273"/>
  <c r="O329" i="273"/>
  <c r="R329" i="273" s="1"/>
  <c r="P329" i="273"/>
  <c r="Q329" i="273" s="1"/>
  <c r="X330" i="273"/>
  <c r="M336" i="273" s="1"/>
  <c r="N335" i="273"/>
  <c r="O335" i="273"/>
  <c r="R335" i="273" s="1"/>
  <c r="P335" i="273"/>
  <c r="Q335" i="273" s="1"/>
  <c r="S158" i="275"/>
  <c r="L8" i="275"/>
  <c r="L59" i="276" s="1"/>
  <c r="T153" i="275"/>
  <c r="P332" i="273"/>
  <c r="Q332" i="273" s="1"/>
  <c r="N332" i="273"/>
  <c r="O332" i="273"/>
  <c r="R332" i="273" s="1"/>
  <c r="K15" i="275"/>
  <c r="X328" i="273"/>
  <c r="M330" i="273" s="1"/>
  <c r="V222" i="282" l="1"/>
  <c r="V229" i="282"/>
  <c r="W217" i="282"/>
  <c r="C233" i="282" s="1"/>
  <c r="U229" i="282"/>
  <c r="U225" i="282"/>
  <c r="U222" i="282"/>
  <c r="S222" i="282"/>
  <c r="T222" i="282"/>
  <c r="T229" i="282"/>
  <c r="T224" i="282"/>
  <c r="W224" i="282" s="1"/>
  <c r="S226" i="282"/>
  <c r="W226" i="282" s="1"/>
  <c r="W220" i="282"/>
  <c r="C236" i="282" s="1"/>
  <c r="S228" i="282"/>
  <c r="W228" i="282" s="1"/>
  <c r="W219" i="282"/>
  <c r="D235" i="282" s="1"/>
  <c r="T225" i="282"/>
  <c r="E232" i="282"/>
  <c r="S229" i="282"/>
  <c r="C232" i="282"/>
  <c r="D232" i="282"/>
  <c r="W218" i="282"/>
  <c r="C234" i="282" s="1"/>
  <c r="S225" i="282"/>
  <c r="W221" i="282"/>
  <c r="D237" i="282" s="1"/>
  <c r="P340" i="273"/>
  <c r="Q340" i="273" s="1"/>
  <c r="O340" i="273"/>
  <c r="R340" i="273" s="1"/>
  <c r="S160" i="275"/>
  <c r="L6" i="275"/>
  <c r="S157" i="275"/>
  <c r="S161" i="275"/>
  <c r="S155" i="275"/>
  <c r="N330" i="273"/>
  <c r="O330" i="273"/>
  <c r="R330" i="273" s="1"/>
  <c r="P330" i="273"/>
  <c r="Q330" i="273" s="1"/>
  <c r="O336" i="273"/>
  <c r="R336" i="273" s="1"/>
  <c r="N336" i="273"/>
  <c r="P336" i="273"/>
  <c r="Q336" i="273" s="1"/>
  <c r="W8" i="275"/>
  <c r="Y330" i="273"/>
  <c r="M337" i="273" s="1"/>
  <c r="L13" i="275"/>
  <c r="M8" i="275"/>
  <c r="L16" i="275"/>
  <c r="Y329" i="273"/>
  <c r="M334" i="273" s="1"/>
  <c r="R161" i="275"/>
  <c r="K9" i="275"/>
  <c r="K60" i="276" s="1"/>
  <c r="T154" i="275"/>
  <c r="R158" i="275"/>
  <c r="K7" i="275"/>
  <c r="K58" i="276" s="1"/>
  <c r="T152" i="275"/>
  <c r="R155" i="275"/>
  <c r="R157" i="275"/>
  <c r="D233" i="282" l="1"/>
  <c r="D245" i="282" s="1"/>
  <c r="E233" i="282"/>
  <c r="E240" i="282" s="1"/>
  <c r="M232" i="282" s="1"/>
  <c r="F233" i="282"/>
  <c r="F240" i="282" s="1"/>
  <c r="N232" i="282" s="1"/>
  <c r="W225" i="282"/>
  <c r="C235" i="282"/>
  <c r="C241" i="282" s="1"/>
  <c r="E235" i="282"/>
  <c r="F235" i="282"/>
  <c r="E236" i="282"/>
  <c r="D236" i="282"/>
  <c r="F236" i="282"/>
  <c r="C240" i="282"/>
  <c r="K233" i="282" s="1"/>
  <c r="C244" i="282"/>
  <c r="G232" i="282"/>
  <c r="D234" i="282"/>
  <c r="F234" i="282"/>
  <c r="E234" i="282"/>
  <c r="E237" i="282"/>
  <c r="C237" i="282"/>
  <c r="C242" i="282" s="1"/>
  <c r="K236" i="282" s="1"/>
  <c r="F237" i="282"/>
  <c r="W222" i="282"/>
  <c r="W229" i="282"/>
  <c r="L12" i="275"/>
  <c r="L57" i="276"/>
  <c r="M6" i="275"/>
  <c r="L10" i="275"/>
  <c r="Y328" i="273"/>
  <c r="M331" i="273" s="1"/>
  <c r="N331" i="273" s="1"/>
  <c r="V8" i="275"/>
  <c r="L15" i="275"/>
  <c r="M15" i="275" s="1"/>
  <c r="X329" i="273"/>
  <c r="M333" i="273" s="1"/>
  <c r="K16" i="275"/>
  <c r="M16" i="275" s="1"/>
  <c r="V6" i="275"/>
  <c r="M7" i="275"/>
  <c r="K10" i="275"/>
  <c r="V7" i="275"/>
  <c r="K12" i="275"/>
  <c r="O337" i="273"/>
  <c r="R337" i="273" s="1"/>
  <c r="P337" i="273"/>
  <c r="Q337" i="273" s="1"/>
  <c r="N337" i="273"/>
  <c r="T155" i="275"/>
  <c r="M9" i="275"/>
  <c r="X331" i="273"/>
  <c r="M339" i="273" s="1"/>
  <c r="W6" i="275"/>
  <c r="K13" i="275"/>
  <c r="M13" i="275" s="1"/>
  <c r="W7" i="275"/>
  <c r="O334" i="273"/>
  <c r="R334" i="273" s="1"/>
  <c r="P334" i="273"/>
  <c r="Q334" i="273" s="1"/>
  <c r="N334" i="273"/>
  <c r="D240" i="282" l="1"/>
  <c r="L232" i="282" s="1"/>
  <c r="G233" i="282"/>
  <c r="N233" i="282"/>
  <c r="N240" i="282" s="1"/>
  <c r="C238" i="282"/>
  <c r="E245" i="282"/>
  <c r="D244" i="282"/>
  <c r="C245" i="282"/>
  <c r="E244" i="282"/>
  <c r="E241" i="282"/>
  <c r="M235" i="282" s="1"/>
  <c r="K234" i="282"/>
  <c r="F241" i="282"/>
  <c r="N235" i="282" s="1"/>
  <c r="F244" i="282"/>
  <c r="F238" i="282"/>
  <c r="K232" i="282"/>
  <c r="F245" i="282"/>
  <c r="D242" i="282"/>
  <c r="G234" i="282"/>
  <c r="G235" i="282"/>
  <c r="D238" i="282"/>
  <c r="G237" i="282"/>
  <c r="K237" i="282"/>
  <c r="D241" i="282"/>
  <c r="L235" i="282" s="1"/>
  <c r="M233" i="282"/>
  <c r="E238" i="282"/>
  <c r="G236" i="282"/>
  <c r="F242" i="282"/>
  <c r="N237" i="282" s="1"/>
  <c r="K235" i="282"/>
  <c r="E242" i="282"/>
  <c r="M236" i="282" s="1"/>
  <c r="M12" i="275"/>
  <c r="M10" i="275"/>
  <c r="O331" i="273"/>
  <c r="R331" i="273" s="1"/>
  <c r="P331" i="273"/>
  <c r="Q331" i="273" s="1"/>
  <c r="O339" i="273"/>
  <c r="R339" i="273" s="1"/>
  <c r="P339" i="273"/>
  <c r="Q339" i="273" s="1"/>
  <c r="N339" i="273"/>
  <c r="O333" i="273"/>
  <c r="R333" i="273" s="1"/>
  <c r="N333" i="273"/>
  <c r="P333" i="273"/>
  <c r="Q333" i="273" s="1"/>
  <c r="L233" i="282" l="1"/>
  <c r="O233" i="282" s="1"/>
  <c r="G240" i="282"/>
  <c r="M237" i="282"/>
  <c r="M245" i="282" s="1"/>
  <c r="U235" i="282" s="1"/>
  <c r="G245" i="282"/>
  <c r="G238" i="282"/>
  <c r="G241" i="282"/>
  <c r="N236" i="282"/>
  <c r="N242" i="282" s="1"/>
  <c r="N234" i="282"/>
  <c r="N241" i="282" s="1"/>
  <c r="M234" i="282"/>
  <c r="M244" i="282" s="1"/>
  <c r="G244" i="282"/>
  <c r="O235" i="282"/>
  <c r="M240" i="282"/>
  <c r="G242" i="282"/>
  <c r="L237" i="282"/>
  <c r="K241" i="282"/>
  <c r="N245" i="282"/>
  <c r="L234" i="282"/>
  <c r="K242" i="282"/>
  <c r="K244" i="282"/>
  <c r="K240" i="282"/>
  <c r="K238" i="282"/>
  <c r="O232" i="282"/>
  <c r="L236" i="282"/>
  <c r="K245" i="282"/>
  <c r="S237" i="282" s="1"/>
  <c r="R341" i="273"/>
  <c r="U328" i="273" s="1"/>
  <c r="U331" i="273" s="1"/>
  <c r="L240" i="282" l="1"/>
  <c r="O240" i="282" s="1"/>
  <c r="M242" i="282"/>
  <c r="M241" i="282"/>
  <c r="M238" i="282"/>
  <c r="O234" i="282"/>
  <c r="U237" i="282"/>
  <c r="S235" i="282"/>
  <c r="N238" i="282"/>
  <c r="U233" i="282"/>
  <c r="U245" i="282" s="1"/>
  <c r="N244" i="282"/>
  <c r="V232" i="282" s="1"/>
  <c r="L242" i="282"/>
  <c r="O236" i="282"/>
  <c r="S236" i="282"/>
  <c r="S234" i="282"/>
  <c r="O237" i="282"/>
  <c r="S232" i="282"/>
  <c r="U236" i="282"/>
  <c r="U242" i="282" s="1"/>
  <c r="U232" i="282"/>
  <c r="V235" i="282"/>
  <c r="V233" i="282"/>
  <c r="S233" i="282"/>
  <c r="U234" i="282"/>
  <c r="L245" i="282"/>
  <c r="T237" i="282" s="1"/>
  <c r="L238" i="282"/>
  <c r="L241" i="282"/>
  <c r="L244" i="282"/>
  <c r="V237" i="282"/>
  <c r="B106" i="273"/>
  <c r="U333" i="273"/>
  <c r="E106" i="273" s="1"/>
  <c r="D106" i="273"/>
  <c r="O242" i="282" l="1"/>
  <c r="O241" i="282"/>
  <c r="V236" i="282"/>
  <c r="V242" i="282" s="1"/>
  <c r="O238" i="282"/>
  <c r="V234" i="282"/>
  <c r="W237" i="282"/>
  <c r="F253" i="282" s="1"/>
  <c r="T234" i="282"/>
  <c r="T232" i="282"/>
  <c r="W232" i="282" s="1"/>
  <c r="C248" i="282" s="1"/>
  <c r="V245" i="282"/>
  <c r="S244" i="282"/>
  <c r="S240" i="282"/>
  <c r="S238" i="282"/>
  <c r="V240" i="282"/>
  <c r="S241" i="282"/>
  <c r="B123" i="273"/>
  <c r="D123" i="273" s="1"/>
  <c r="D126" i="273" s="1"/>
  <c r="B114" i="273"/>
  <c r="D114" i="273" s="1"/>
  <c r="D117" i="273" s="1"/>
  <c r="U241" i="282"/>
  <c r="S245" i="282"/>
  <c r="U244" i="282"/>
  <c r="U238" i="282"/>
  <c r="U240" i="282"/>
  <c r="O244" i="282"/>
  <c r="T236" i="282"/>
  <c r="T235" i="282"/>
  <c r="T233" i="282"/>
  <c r="W233" i="282" s="1"/>
  <c r="O245" i="282"/>
  <c r="S242" i="282"/>
  <c r="W236" i="282" l="1"/>
  <c r="F252" i="282" s="1"/>
  <c r="F258" i="282" s="1"/>
  <c r="N252" i="282" s="1"/>
  <c r="V244" i="282"/>
  <c r="V238" i="282"/>
  <c r="E248" i="282"/>
  <c r="V241" i="282"/>
  <c r="D253" i="282"/>
  <c r="E249" i="282"/>
  <c r="F249" i="282"/>
  <c r="C249" i="282"/>
  <c r="W235" i="282"/>
  <c r="D251" i="282" s="1"/>
  <c r="D248" i="282"/>
  <c r="T240" i="282"/>
  <c r="W240" i="282" s="1"/>
  <c r="T238" i="282"/>
  <c r="T244" i="282"/>
  <c r="T242" i="282"/>
  <c r="W242" i="282" s="1"/>
  <c r="T241" i="282"/>
  <c r="D249" i="282"/>
  <c r="T245" i="282"/>
  <c r="W245" i="282" s="1"/>
  <c r="W234" i="282"/>
  <c r="F248" i="282"/>
  <c r="C253" i="282"/>
  <c r="E253" i="282"/>
  <c r="D252" i="282" l="1"/>
  <c r="D258" i="282" s="1"/>
  <c r="L253" i="282" s="1"/>
  <c r="C252" i="282"/>
  <c r="E252" i="282"/>
  <c r="E258" i="282" s="1"/>
  <c r="M252" i="282" s="1"/>
  <c r="W244" i="282"/>
  <c r="W241" i="282"/>
  <c r="N253" i="282"/>
  <c r="N258" i="282" s="1"/>
  <c r="G248" i="282"/>
  <c r="G249" i="282"/>
  <c r="D261" i="282"/>
  <c r="F256" i="282"/>
  <c r="N249" i="282" s="1"/>
  <c r="F250" i="282"/>
  <c r="F260" i="282" s="1"/>
  <c r="E250" i="282"/>
  <c r="C250" i="282"/>
  <c r="C258" i="282"/>
  <c r="D256" i="282"/>
  <c r="L249" i="282" s="1"/>
  <c r="C256" i="282"/>
  <c r="K249" i="282" s="1"/>
  <c r="W238" i="282"/>
  <c r="E256" i="282"/>
  <c r="M248" i="282" s="1"/>
  <c r="D250" i="282"/>
  <c r="C251" i="282"/>
  <c r="C261" i="282" s="1"/>
  <c r="E251" i="282"/>
  <c r="E261" i="282" s="1"/>
  <c r="F251" i="282"/>
  <c r="G253" i="282"/>
  <c r="D254" i="282" l="1"/>
  <c r="G252" i="282"/>
  <c r="L248" i="282"/>
  <c r="L256" i="282" s="1"/>
  <c r="G258" i="282"/>
  <c r="N248" i="282"/>
  <c r="N256" i="282" s="1"/>
  <c r="L252" i="282"/>
  <c r="G250" i="282"/>
  <c r="C257" i="282"/>
  <c r="K251" i="282" s="1"/>
  <c r="C260" i="282"/>
  <c r="C254" i="282"/>
  <c r="K253" i="282"/>
  <c r="G251" i="282"/>
  <c r="M249" i="282"/>
  <c r="M256" i="282" s="1"/>
  <c r="G256" i="282"/>
  <c r="K248" i="282"/>
  <c r="K252" i="282"/>
  <c r="E254" i="282"/>
  <c r="E257" i="282"/>
  <c r="M251" i="282" s="1"/>
  <c r="E260" i="282"/>
  <c r="F254" i="282"/>
  <c r="F261" i="282"/>
  <c r="G261" i="282" s="1"/>
  <c r="D257" i="282"/>
  <c r="L251" i="282" s="1"/>
  <c r="L261" i="282" s="1"/>
  <c r="D260" i="282"/>
  <c r="F257" i="282"/>
  <c r="N251" i="282" s="1"/>
  <c r="N261" i="282" s="1"/>
  <c r="M253" i="282"/>
  <c r="O252" i="282" l="1"/>
  <c r="L258" i="282"/>
  <c r="G254" i="282"/>
  <c r="O249" i="282"/>
  <c r="L250" i="282"/>
  <c r="L257" i="282" s="1"/>
  <c r="T251" i="282"/>
  <c r="T249" i="282"/>
  <c r="O253" i="282"/>
  <c r="N250" i="282"/>
  <c r="N254" i="282" s="1"/>
  <c r="V251" i="282"/>
  <c r="V253" i="282"/>
  <c r="V249" i="282"/>
  <c r="O251" i="282"/>
  <c r="M250" i="282"/>
  <c r="K261" i="282"/>
  <c r="S251" i="282" s="1"/>
  <c r="M261" i="282"/>
  <c r="U253" i="282" s="1"/>
  <c r="O248" i="282"/>
  <c r="K256" i="282"/>
  <c r="O256" i="282" s="1"/>
  <c r="G260" i="282"/>
  <c r="M258" i="282"/>
  <c r="K250" i="282"/>
  <c r="K260" i="282" s="1"/>
  <c r="S248" i="282" s="1"/>
  <c r="G257" i="282"/>
  <c r="K258" i="282"/>
  <c r="T253" i="282"/>
  <c r="L260" i="282" l="1"/>
  <c r="T248" i="282" s="1"/>
  <c r="L254" i="282"/>
  <c r="U249" i="282"/>
  <c r="O258" i="282"/>
  <c r="N257" i="282"/>
  <c r="N260" i="282"/>
  <c r="V248" i="282" s="1"/>
  <c r="M257" i="282"/>
  <c r="M254" i="282"/>
  <c r="M260" i="282"/>
  <c r="T261" i="282"/>
  <c r="V261" i="282"/>
  <c r="S252" i="282"/>
  <c r="K257" i="282"/>
  <c r="O250" i="282"/>
  <c r="O254" i="282" s="1"/>
  <c r="S250" i="282"/>
  <c r="K254" i="282"/>
  <c r="O261" i="282"/>
  <c r="S249" i="282"/>
  <c r="S256" i="282" s="1"/>
  <c r="S253" i="282"/>
  <c r="U251" i="282"/>
  <c r="W251" i="282" s="1"/>
  <c r="T252" i="282" l="1"/>
  <c r="T258" i="282" s="1"/>
  <c r="T250" i="282"/>
  <c r="T257" i="282" s="1"/>
  <c r="V250" i="282"/>
  <c r="V252" i="282"/>
  <c r="O257" i="282"/>
  <c r="O260" i="282"/>
  <c r="U261" i="282"/>
  <c r="D267" i="282"/>
  <c r="C267" i="282"/>
  <c r="F267" i="282"/>
  <c r="S257" i="282"/>
  <c r="U250" i="282"/>
  <c r="U248" i="282"/>
  <c r="U252" i="282"/>
  <c r="V257" i="282"/>
  <c r="S260" i="282"/>
  <c r="W249" i="282"/>
  <c r="C265" i="282" s="1"/>
  <c r="S261" i="282"/>
  <c r="V256" i="282"/>
  <c r="E267" i="282"/>
  <c r="S258" i="282"/>
  <c r="W253" i="282"/>
  <c r="T256" i="282"/>
  <c r="S254" i="282"/>
  <c r="W252" i="282" l="1"/>
  <c r="C268" i="282" s="1"/>
  <c r="W261" i="282"/>
  <c r="T260" i="282"/>
  <c r="V254" i="282"/>
  <c r="T254" i="282"/>
  <c r="V260" i="282"/>
  <c r="V258" i="282"/>
  <c r="D269" i="282"/>
  <c r="E269" i="282"/>
  <c r="F269" i="282"/>
  <c r="U257" i="282"/>
  <c r="W257" i="282" s="1"/>
  <c r="W250" i="282"/>
  <c r="E266" i="282" s="1"/>
  <c r="U258" i="282"/>
  <c r="G267" i="282"/>
  <c r="C269" i="282"/>
  <c r="D265" i="282"/>
  <c r="F265" i="282"/>
  <c r="E265" i="282"/>
  <c r="U260" i="282"/>
  <c r="U254" i="282"/>
  <c r="U256" i="282"/>
  <c r="W256" i="282" s="1"/>
  <c r="W248" i="282"/>
  <c r="D277" i="282" l="1"/>
  <c r="F268" i="282"/>
  <c r="F274" i="282" s="1"/>
  <c r="N268" i="282" s="1"/>
  <c r="E268" i="282"/>
  <c r="E274" i="282" s="1"/>
  <c r="D268" i="282"/>
  <c r="D274" i="282" s="1"/>
  <c r="L268" i="282" s="1"/>
  <c r="F277" i="282"/>
  <c r="W258" i="282"/>
  <c r="W260" i="282"/>
  <c r="W254" i="282"/>
  <c r="C264" i="282"/>
  <c r="F264" i="282"/>
  <c r="D264" i="282"/>
  <c r="E264" i="282"/>
  <c r="G269" i="282"/>
  <c r="E277" i="282"/>
  <c r="C266" i="282"/>
  <c r="D266" i="282"/>
  <c r="F266" i="282"/>
  <c r="C277" i="282"/>
  <c r="C274" i="282"/>
  <c r="K269" i="282" s="1"/>
  <c r="E273" i="282"/>
  <c r="M267" i="282" s="1"/>
  <c r="G265" i="282"/>
  <c r="M268" i="282" l="1"/>
  <c r="M269" i="282"/>
  <c r="G268" i="282"/>
  <c r="M266" i="282"/>
  <c r="M273" i="282" s="1"/>
  <c r="G277" i="282"/>
  <c r="L269" i="282"/>
  <c r="L274" i="282" s="1"/>
  <c r="C272" i="282"/>
  <c r="K264" i="282" s="1"/>
  <c r="C276" i="282"/>
  <c r="G264" i="282"/>
  <c r="C270" i="282"/>
  <c r="N269" i="282"/>
  <c r="N274" i="282" s="1"/>
  <c r="E272" i="282"/>
  <c r="E270" i="282"/>
  <c r="E276" i="282"/>
  <c r="D273" i="282"/>
  <c r="L267" i="282" s="1"/>
  <c r="F272" i="282"/>
  <c r="N265" i="282" s="1"/>
  <c r="F270" i="282"/>
  <c r="F276" i="282"/>
  <c r="G266" i="282"/>
  <c r="C273" i="282"/>
  <c r="G274" i="282"/>
  <c r="K268" i="282"/>
  <c r="F273" i="282"/>
  <c r="N267" i="282" s="1"/>
  <c r="D276" i="282"/>
  <c r="D272" i="282"/>
  <c r="L265" i="282" s="1"/>
  <c r="D270" i="282"/>
  <c r="M274" i="282" l="1"/>
  <c r="O269" i="282"/>
  <c r="N264" i="282"/>
  <c r="L264" i="282"/>
  <c r="L272" i="282" s="1"/>
  <c r="L266" i="282"/>
  <c r="L273" i="282" s="1"/>
  <c r="G276" i="282"/>
  <c r="K274" i="282"/>
  <c r="O268" i="282"/>
  <c r="M264" i="282"/>
  <c r="M265" i="282"/>
  <c r="N277" i="282"/>
  <c r="V265" i="282" s="1"/>
  <c r="K266" i="282"/>
  <c r="K276" i="282" s="1"/>
  <c r="G273" i="282"/>
  <c r="K267" i="282"/>
  <c r="G272" i="282"/>
  <c r="K265" i="282"/>
  <c r="K272" i="282" s="1"/>
  <c r="L277" i="282"/>
  <c r="T265" i="282" s="1"/>
  <c r="N266" i="282"/>
  <c r="G270" i="282"/>
  <c r="O274" i="282" l="1"/>
  <c r="N276" i="282"/>
  <c r="V266" i="282" s="1"/>
  <c r="L270" i="282"/>
  <c r="N272" i="282"/>
  <c r="N270" i="282"/>
  <c r="L276" i="282"/>
  <c r="T264" i="282" s="1"/>
  <c r="V269" i="282"/>
  <c r="S264" i="282"/>
  <c r="S268" i="282"/>
  <c r="N273" i="282"/>
  <c r="K277" i="282"/>
  <c r="S265" i="282" s="1"/>
  <c r="O265" i="282"/>
  <c r="O267" i="282"/>
  <c r="M276" i="282"/>
  <c r="M272" i="282"/>
  <c r="M270" i="282"/>
  <c r="K270" i="282"/>
  <c r="K273" i="282"/>
  <c r="O266" i="282"/>
  <c r="S266" i="282"/>
  <c r="M277" i="282"/>
  <c r="U265" i="282" s="1"/>
  <c r="T267" i="282"/>
  <c r="T269" i="282"/>
  <c r="V267" i="282"/>
  <c r="O264" i="282"/>
  <c r="O273" i="282" l="1"/>
  <c r="T266" i="282"/>
  <c r="V268" i="282"/>
  <c r="V277" i="282"/>
  <c r="V264" i="282"/>
  <c r="O272" i="282"/>
  <c r="T268" i="282"/>
  <c r="O270" i="282"/>
  <c r="S267" i="282"/>
  <c r="S273" i="282" s="1"/>
  <c r="T273" i="282"/>
  <c r="V273" i="282"/>
  <c r="S272" i="282"/>
  <c r="S276" i="282"/>
  <c r="V274" i="282"/>
  <c r="W265" i="282"/>
  <c r="C281" i="282" s="1"/>
  <c r="U267" i="282"/>
  <c r="W267" i="282" s="1"/>
  <c r="F283" i="282" s="1"/>
  <c r="U269" i="282"/>
  <c r="U264" i="282"/>
  <c r="U268" i="282"/>
  <c r="U266" i="282"/>
  <c r="O277" i="282"/>
  <c r="S269" i="282"/>
  <c r="T272" i="282"/>
  <c r="T277" i="282"/>
  <c r="O276" i="282"/>
  <c r="V270" i="282" l="1"/>
  <c r="T270" i="282"/>
  <c r="V276" i="282"/>
  <c r="W264" i="282"/>
  <c r="D280" i="282" s="1"/>
  <c r="V272" i="282"/>
  <c r="T276" i="282"/>
  <c r="T274" i="282"/>
  <c r="W269" i="282"/>
  <c r="C285" i="282" s="1"/>
  <c r="U273" i="282"/>
  <c r="W273" i="282" s="1"/>
  <c r="E283" i="282"/>
  <c r="U274" i="282"/>
  <c r="S274" i="282"/>
  <c r="U277" i="282"/>
  <c r="F281" i="282"/>
  <c r="D281" i="282"/>
  <c r="S277" i="282"/>
  <c r="C283" i="282"/>
  <c r="U276" i="282"/>
  <c r="U270" i="282"/>
  <c r="U272" i="282"/>
  <c r="D283" i="282"/>
  <c r="S270" i="282"/>
  <c r="W266" i="282"/>
  <c r="W268" i="282"/>
  <c r="E281" i="282"/>
  <c r="F280" i="282" l="1"/>
  <c r="F288" i="282" s="1"/>
  <c r="N281" i="282" s="1"/>
  <c r="W276" i="282"/>
  <c r="E280" i="282"/>
  <c r="E288" i="282" s="1"/>
  <c r="M280" i="282" s="1"/>
  <c r="C280" i="282"/>
  <c r="W272" i="282"/>
  <c r="W277" i="282"/>
  <c r="E285" i="282"/>
  <c r="E293" i="282" s="1"/>
  <c r="F282" i="282"/>
  <c r="D282" i="282"/>
  <c r="C282" i="282"/>
  <c r="C293" i="282"/>
  <c r="G283" i="282"/>
  <c r="F285" i="282"/>
  <c r="F293" i="282" s="1"/>
  <c r="D285" i="282"/>
  <c r="D293" i="282" s="1"/>
  <c r="W274" i="282"/>
  <c r="G281" i="282"/>
  <c r="W270" i="282"/>
  <c r="F284" i="282"/>
  <c r="C284" i="282"/>
  <c r="D284" i="282"/>
  <c r="E284" i="282"/>
  <c r="E282" i="282"/>
  <c r="D288" i="282"/>
  <c r="L280" i="282" s="1"/>
  <c r="E290" i="282" l="1"/>
  <c r="M284" i="282" s="1"/>
  <c r="G280" i="282"/>
  <c r="C288" i="282"/>
  <c r="K281" i="282" s="1"/>
  <c r="F292" i="282"/>
  <c r="F286" i="282"/>
  <c r="C292" i="282"/>
  <c r="G285" i="282"/>
  <c r="N280" i="282"/>
  <c r="N288" i="282" s="1"/>
  <c r="D290" i="282"/>
  <c r="L285" i="282" s="1"/>
  <c r="D292" i="282"/>
  <c r="C290" i="282"/>
  <c r="K284" i="282" s="1"/>
  <c r="G284" i="282"/>
  <c r="C286" i="282"/>
  <c r="G293" i="282"/>
  <c r="G282" i="282"/>
  <c r="C289" i="282"/>
  <c r="E289" i="282"/>
  <c r="M283" i="282" s="1"/>
  <c r="F290" i="282"/>
  <c r="N284" i="282" s="1"/>
  <c r="M281" i="282"/>
  <c r="M288" i="282" s="1"/>
  <c r="D289" i="282"/>
  <c r="L283" i="282" s="1"/>
  <c r="E286" i="282"/>
  <c r="D286" i="282"/>
  <c r="F289" i="282"/>
  <c r="N283" i="282" s="1"/>
  <c r="L281" i="282"/>
  <c r="L288" i="282" s="1"/>
  <c r="E292" i="282"/>
  <c r="N125" i="204"/>
  <c r="O125" i="204" s="1"/>
  <c r="P125" i="204" s="1"/>
  <c r="Q125" i="204" s="1"/>
  <c r="R125" i="204" s="1"/>
  <c r="S125" i="204" s="1"/>
  <c r="T125" i="204" s="1"/>
  <c r="U125" i="204" s="1"/>
  <c r="V125" i="204" s="1"/>
  <c r="W125" i="204" s="1"/>
  <c r="C125" i="204"/>
  <c r="D125" i="204" s="1"/>
  <c r="E125" i="204" s="1"/>
  <c r="F125" i="204" s="1"/>
  <c r="G125" i="204" s="1"/>
  <c r="H125" i="204" s="1"/>
  <c r="I125" i="204" s="1"/>
  <c r="J125" i="204" s="1"/>
  <c r="K125" i="204" s="1"/>
  <c r="L125" i="204" s="1"/>
  <c r="N95" i="204"/>
  <c r="O95" i="204" s="1"/>
  <c r="P95" i="204" s="1"/>
  <c r="Q95" i="204" s="1"/>
  <c r="R95" i="204" s="1"/>
  <c r="S95" i="204" s="1"/>
  <c r="T95" i="204" s="1"/>
  <c r="U95" i="204" s="1"/>
  <c r="V95" i="204" s="1"/>
  <c r="W95" i="204" s="1"/>
  <c r="C95" i="204"/>
  <c r="D95" i="204" s="1"/>
  <c r="E95" i="204" s="1"/>
  <c r="F95" i="204" s="1"/>
  <c r="G95" i="204" s="1"/>
  <c r="H95" i="204" s="1"/>
  <c r="I95" i="204" s="1"/>
  <c r="J95" i="204" s="1"/>
  <c r="K95" i="204" s="1"/>
  <c r="L95" i="204" s="1"/>
  <c r="N65" i="204"/>
  <c r="O65" i="204" s="1"/>
  <c r="P65" i="204" s="1"/>
  <c r="Q65" i="204" s="1"/>
  <c r="R65" i="204" s="1"/>
  <c r="S65" i="204" s="1"/>
  <c r="T65" i="204" s="1"/>
  <c r="U65" i="204" s="1"/>
  <c r="V65" i="204" s="1"/>
  <c r="W65" i="204" s="1"/>
  <c r="C65" i="204"/>
  <c r="D65" i="204" s="1"/>
  <c r="E65" i="204" s="1"/>
  <c r="F65" i="204" s="1"/>
  <c r="G65" i="204" s="1"/>
  <c r="H65" i="204" s="1"/>
  <c r="I65" i="204" s="1"/>
  <c r="J65" i="204" s="1"/>
  <c r="K65" i="204" s="1"/>
  <c r="L65" i="204" s="1"/>
  <c r="N35" i="204"/>
  <c r="O35" i="204" s="1"/>
  <c r="P35" i="204" s="1"/>
  <c r="Q35" i="204" s="1"/>
  <c r="R35" i="204" s="1"/>
  <c r="S35" i="204" s="1"/>
  <c r="T35" i="204" s="1"/>
  <c r="U35" i="204" s="1"/>
  <c r="V35" i="204" s="1"/>
  <c r="W35" i="204" s="1"/>
  <c r="C35" i="204"/>
  <c r="D35" i="204" s="1"/>
  <c r="E35" i="204" s="1"/>
  <c r="F35" i="204" s="1"/>
  <c r="G35" i="204" s="1"/>
  <c r="H35" i="204" s="1"/>
  <c r="I35" i="204" s="1"/>
  <c r="J35" i="204" s="1"/>
  <c r="K35" i="204" s="1"/>
  <c r="L35" i="204" s="1"/>
  <c r="N5" i="204"/>
  <c r="O5" i="204" s="1"/>
  <c r="P5" i="204" s="1"/>
  <c r="Q5" i="204" s="1"/>
  <c r="R5" i="204" s="1"/>
  <c r="S5" i="204" s="1"/>
  <c r="T5" i="204" s="1"/>
  <c r="U5" i="204" s="1"/>
  <c r="V5" i="204" s="1"/>
  <c r="W5" i="204" s="1"/>
  <c r="C5" i="204"/>
  <c r="D5" i="204" s="1"/>
  <c r="E5" i="204" s="1"/>
  <c r="F5" i="204" s="1"/>
  <c r="G5" i="204" s="1"/>
  <c r="H5" i="204" s="1"/>
  <c r="I5" i="204" s="1"/>
  <c r="J5" i="204" s="1"/>
  <c r="K5" i="204" s="1"/>
  <c r="L5" i="204" s="1"/>
  <c r="G288" i="282" l="1"/>
  <c r="M285" i="282"/>
  <c r="M290" i="282" s="1"/>
  <c r="K280" i="282"/>
  <c r="K288" i="282" s="1"/>
  <c r="O288" i="282" s="1"/>
  <c r="N282" i="282"/>
  <c r="N292" i="282" s="1"/>
  <c r="V280" i="282" s="1"/>
  <c r="G286" i="282"/>
  <c r="M282" i="282"/>
  <c r="M289" i="282" s="1"/>
  <c r="L293" i="282"/>
  <c r="T281" i="282" s="1"/>
  <c r="N285" i="282"/>
  <c r="L284" i="282"/>
  <c r="O284" i="282" s="1"/>
  <c r="G292" i="282"/>
  <c r="L282" i="282"/>
  <c r="G290" i="282"/>
  <c r="K285" i="282"/>
  <c r="K282" i="282"/>
  <c r="G289" i="282"/>
  <c r="K283" i="282"/>
  <c r="O281" i="282"/>
  <c r="M293" i="282" l="1"/>
  <c r="U285" i="282" s="1"/>
  <c r="N289" i="282"/>
  <c r="O280" i="282"/>
  <c r="N286" i="282"/>
  <c r="T285" i="282"/>
  <c r="V284" i="282"/>
  <c r="T283" i="282"/>
  <c r="V282" i="282"/>
  <c r="N290" i="282"/>
  <c r="L290" i="282"/>
  <c r="L286" i="282"/>
  <c r="N293" i="282"/>
  <c r="M292" i="282"/>
  <c r="U280" i="282" s="1"/>
  <c r="M286" i="282"/>
  <c r="K289" i="282"/>
  <c r="O282" i="282"/>
  <c r="O283" i="282"/>
  <c r="K293" i="282"/>
  <c r="S285" i="282" s="1"/>
  <c r="L289" i="282"/>
  <c r="L292" i="282"/>
  <c r="O285" i="282"/>
  <c r="K286" i="282"/>
  <c r="K290" i="282"/>
  <c r="K292" i="282"/>
  <c r="S282" i="282" s="1"/>
  <c r="U283" i="282" l="1"/>
  <c r="U281" i="282"/>
  <c r="U288" i="282" s="1"/>
  <c r="U282" i="282"/>
  <c r="T293" i="282"/>
  <c r="V292" i="282"/>
  <c r="U284" i="282"/>
  <c r="O290" i="282"/>
  <c r="O286" i="282"/>
  <c r="V281" i="282"/>
  <c r="V283" i="282"/>
  <c r="V285" i="282"/>
  <c r="V290" i="282" s="1"/>
  <c r="S283" i="282"/>
  <c r="S289" i="282" s="1"/>
  <c r="O289" i="282"/>
  <c r="T282" i="282"/>
  <c r="T280" i="282"/>
  <c r="T284" i="282"/>
  <c r="O292" i="282"/>
  <c r="S280" i="282"/>
  <c r="S284" i="282"/>
  <c r="S281" i="282"/>
  <c r="O293" i="282"/>
  <c r="U293" i="282" l="1"/>
  <c r="U289" i="282"/>
  <c r="U292" i="282"/>
  <c r="U286" i="282"/>
  <c r="U290" i="282"/>
  <c r="V286" i="282"/>
  <c r="V289" i="282"/>
  <c r="V288" i="282"/>
  <c r="V293" i="282"/>
  <c r="W285" i="282"/>
  <c r="C301" i="282" s="1"/>
  <c r="W280" i="282"/>
  <c r="D296" i="282" s="1"/>
  <c r="S288" i="282"/>
  <c r="S292" i="282"/>
  <c r="S286" i="282"/>
  <c r="T290" i="282"/>
  <c r="T292" i="282"/>
  <c r="T288" i="282"/>
  <c r="T286" i="282"/>
  <c r="W281" i="282"/>
  <c r="S293" i="282"/>
  <c r="T289" i="282"/>
  <c r="W283" i="282"/>
  <c r="W282" i="282"/>
  <c r="W284" i="282"/>
  <c r="S290" i="282"/>
  <c r="D301" i="282" l="1"/>
  <c r="F301" i="282"/>
  <c r="E301" i="282"/>
  <c r="W293" i="282"/>
  <c r="W289" i="282"/>
  <c r="W292" i="282"/>
  <c r="F300" i="282"/>
  <c r="E300" i="282"/>
  <c r="D299" i="282"/>
  <c r="F299" i="282"/>
  <c r="E299" i="282"/>
  <c r="F297" i="282"/>
  <c r="D297" i="282"/>
  <c r="E297" i="282"/>
  <c r="F298" i="282"/>
  <c r="C298" i="282"/>
  <c r="E298" i="282"/>
  <c r="D298" i="282"/>
  <c r="D300" i="282"/>
  <c r="W286" i="282"/>
  <c r="F296" i="282"/>
  <c r="E296" i="282"/>
  <c r="C300" i="282"/>
  <c r="C297" i="282"/>
  <c r="W288" i="282"/>
  <c r="W290" i="282"/>
  <c r="C299" i="282"/>
  <c r="C296" i="282"/>
  <c r="G301" i="282" l="1"/>
  <c r="E306" i="282"/>
  <c r="M300" i="282" s="1"/>
  <c r="D308" i="282"/>
  <c r="G297" i="282"/>
  <c r="C309" i="282"/>
  <c r="D309" i="282"/>
  <c r="C306" i="282"/>
  <c r="G300" i="282"/>
  <c r="F305" i="282"/>
  <c r="N298" i="282" s="1"/>
  <c r="G299" i="282"/>
  <c r="E302" i="282"/>
  <c r="E304" i="282"/>
  <c r="M296" i="282" s="1"/>
  <c r="E308" i="282"/>
  <c r="D304" i="282"/>
  <c r="L296" i="282" s="1"/>
  <c r="D305" i="282"/>
  <c r="L299" i="282" s="1"/>
  <c r="F306" i="282"/>
  <c r="N301" i="282" s="1"/>
  <c r="G298" i="282"/>
  <c r="C305" i="282"/>
  <c r="K299" i="282" s="1"/>
  <c r="C304" i="282"/>
  <c r="K297" i="282" s="1"/>
  <c r="G296" i="282"/>
  <c r="C302" i="282"/>
  <c r="C308" i="282"/>
  <c r="D306" i="282"/>
  <c r="L301" i="282" s="1"/>
  <c r="F304" i="282"/>
  <c r="N297" i="282" s="1"/>
  <c r="F308" i="282"/>
  <c r="F302" i="282"/>
  <c r="D302" i="282"/>
  <c r="E305" i="282"/>
  <c r="M299" i="282" s="1"/>
  <c r="E309" i="282"/>
  <c r="F309" i="282"/>
  <c r="M301" i="282" l="1"/>
  <c r="M306" i="282" s="1"/>
  <c r="M298" i="282"/>
  <c r="L297" i="282"/>
  <c r="L309" i="282" s="1"/>
  <c r="T299" i="282" s="1"/>
  <c r="L298" i="282"/>
  <c r="L305" i="282" s="1"/>
  <c r="N299" i="282"/>
  <c r="K296" i="282"/>
  <c r="K304" i="282" s="1"/>
  <c r="G308" i="282"/>
  <c r="N296" i="282"/>
  <c r="N304" i="282" s="1"/>
  <c r="O299" i="282"/>
  <c r="M308" i="282"/>
  <c r="U300" i="282" s="1"/>
  <c r="G306" i="282"/>
  <c r="K301" i="282"/>
  <c r="K309" i="282" s="1"/>
  <c r="M297" i="282"/>
  <c r="M305" i="282"/>
  <c r="L300" i="282"/>
  <c r="G302" i="282"/>
  <c r="G304" i="282"/>
  <c r="N300" i="282"/>
  <c r="K300" i="282"/>
  <c r="G309" i="282"/>
  <c r="K298" i="282"/>
  <c r="G305" i="282"/>
  <c r="O297" i="282" l="1"/>
  <c r="L304" i="282"/>
  <c r="N302" i="282"/>
  <c r="L302" i="282"/>
  <c r="N309" i="282"/>
  <c r="V297" i="282" s="1"/>
  <c r="N305" i="282"/>
  <c r="N308" i="282"/>
  <c r="V298" i="282" s="1"/>
  <c r="O296" i="282"/>
  <c r="L308" i="282"/>
  <c r="T298" i="282" s="1"/>
  <c r="T305" i="282" s="1"/>
  <c r="T297" i="282"/>
  <c r="T301" i="282"/>
  <c r="S297" i="282"/>
  <c r="S299" i="282"/>
  <c r="K305" i="282"/>
  <c r="O298" i="282"/>
  <c r="M309" i="282"/>
  <c r="M304" i="282"/>
  <c r="O300" i="282"/>
  <c r="K306" i="282"/>
  <c r="K302" i="282"/>
  <c r="N306" i="282"/>
  <c r="U298" i="282"/>
  <c r="M302" i="282"/>
  <c r="K308" i="282"/>
  <c r="S298" i="282" s="1"/>
  <c r="L306" i="282"/>
  <c r="O301" i="282"/>
  <c r="S301" i="282"/>
  <c r="U296" i="282"/>
  <c r="O304" i="282" l="1"/>
  <c r="O309" i="282"/>
  <c r="T309" i="282"/>
  <c r="T296" i="282"/>
  <c r="T304" i="282" s="1"/>
  <c r="V301" i="282"/>
  <c r="O305" i="282"/>
  <c r="V299" i="282"/>
  <c r="V296" i="282"/>
  <c r="V300" i="282"/>
  <c r="T300" i="282"/>
  <c r="O302" i="282"/>
  <c r="O306" i="282"/>
  <c r="U297" i="282"/>
  <c r="U304" i="282" s="1"/>
  <c r="W298" i="282"/>
  <c r="E314" i="282" s="1"/>
  <c r="S305" i="282"/>
  <c r="U308" i="282"/>
  <c r="S300" i="282"/>
  <c r="S309" i="282"/>
  <c r="O308" i="282"/>
  <c r="S296" i="282"/>
  <c r="U299" i="282"/>
  <c r="U301" i="282"/>
  <c r="V306" i="282" l="1"/>
  <c r="T308" i="282"/>
  <c r="T302" i="282"/>
  <c r="T306" i="282"/>
  <c r="V308" i="282"/>
  <c r="W299" i="282"/>
  <c r="C315" i="282" s="1"/>
  <c r="V305" i="282"/>
  <c r="V309" i="282"/>
  <c r="V302" i="282"/>
  <c r="V304" i="282"/>
  <c r="U309" i="282"/>
  <c r="U305" i="282"/>
  <c r="W297" i="282"/>
  <c r="F313" i="282" s="1"/>
  <c r="W296" i="282"/>
  <c r="C312" i="282" s="1"/>
  <c r="S308" i="282"/>
  <c r="S304" i="282"/>
  <c r="S302" i="282"/>
  <c r="S306" i="282"/>
  <c r="W300" i="282"/>
  <c r="C316" i="282" s="1"/>
  <c r="F314" i="282"/>
  <c r="D314" i="282"/>
  <c r="C314" i="282"/>
  <c r="U306" i="282"/>
  <c r="W301" i="282"/>
  <c r="U302" i="282"/>
  <c r="W308" i="282" l="1"/>
  <c r="E315" i="282"/>
  <c r="E321" i="282" s="1"/>
  <c r="M314" i="282" s="1"/>
  <c r="F315" i="282"/>
  <c r="F321" i="282" s="1"/>
  <c r="N314" i="282" s="1"/>
  <c r="D315" i="282"/>
  <c r="D321" i="282" s="1"/>
  <c r="L315" i="282" s="1"/>
  <c r="W305" i="282"/>
  <c r="W309" i="282"/>
  <c r="W304" i="282"/>
  <c r="E313" i="282"/>
  <c r="C313" i="282"/>
  <c r="C320" i="282" s="1"/>
  <c r="D313" i="282"/>
  <c r="D317" i="282"/>
  <c r="C317" i="282"/>
  <c r="C322" i="282" s="1"/>
  <c r="K316" i="282" s="1"/>
  <c r="F317" i="282"/>
  <c r="W302" i="282"/>
  <c r="E317" i="282"/>
  <c r="E316" i="282"/>
  <c r="D316" i="282"/>
  <c r="F316" i="282"/>
  <c r="D312" i="282"/>
  <c r="E312" i="282"/>
  <c r="F312" i="282"/>
  <c r="G314" i="282"/>
  <c r="C321" i="282"/>
  <c r="W306" i="282"/>
  <c r="C324" i="282"/>
  <c r="G315" i="282" l="1"/>
  <c r="F325" i="282"/>
  <c r="M315" i="282"/>
  <c r="M321" i="282" s="1"/>
  <c r="G312" i="282"/>
  <c r="C318" i="282"/>
  <c r="C325" i="282"/>
  <c r="N315" i="282"/>
  <c r="N321" i="282" s="1"/>
  <c r="E325" i="282"/>
  <c r="G313" i="282"/>
  <c r="D325" i="282"/>
  <c r="E322" i="282"/>
  <c r="M316" i="282" s="1"/>
  <c r="F322" i="282"/>
  <c r="N316" i="282" s="1"/>
  <c r="G317" i="282"/>
  <c r="K317" i="282"/>
  <c r="E318" i="282"/>
  <c r="E324" i="282"/>
  <c r="E320" i="282"/>
  <c r="K314" i="282"/>
  <c r="G321" i="282"/>
  <c r="K315" i="282"/>
  <c r="D324" i="282"/>
  <c r="D320" i="282"/>
  <c r="L313" i="282" s="1"/>
  <c r="D318" i="282"/>
  <c r="G316" i="282"/>
  <c r="K312" i="282"/>
  <c r="L314" i="282"/>
  <c r="K313" i="282"/>
  <c r="F320" i="282"/>
  <c r="N313" i="282" s="1"/>
  <c r="F324" i="282"/>
  <c r="F318" i="282"/>
  <c r="D322" i="282"/>
  <c r="L316" i="282" s="1"/>
  <c r="N317" i="282" l="1"/>
  <c r="N322" i="282" s="1"/>
  <c r="G325" i="282"/>
  <c r="G322" i="282"/>
  <c r="M317" i="282"/>
  <c r="M322" i="282" s="1"/>
  <c r="G324" i="282"/>
  <c r="G318" i="282"/>
  <c r="L317" i="282"/>
  <c r="L322" i="282" s="1"/>
  <c r="L312" i="282"/>
  <c r="L320" i="282" s="1"/>
  <c r="L321" i="282"/>
  <c r="K321" i="282"/>
  <c r="O314" i="282"/>
  <c r="M312" i="282"/>
  <c r="M313" i="282"/>
  <c r="O313" i="282" s="1"/>
  <c r="K318" i="282"/>
  <c r="K320" i="282"/>
  <c r="K324" i="282"/>
  <c r="S312" i="282" s="1"/>
  <c r="O316" i="282"/>
  <c r="N312" i="282"/>
  <c r="K325" i="282"/>
  <c r="O315" i="282"/>
  <c r="G320" i="282"/>
  <c r="K322" i="282"/>
  <c r="N325" i="282" l="1"/>
  <c r="V317" i="282" s="1"/>
  <c r="O321" i="282"/>
  <c r="L325" i="282"/>
  <c r="T315" i="282" s="1"/>
  <c r="O317" i="282"/>
  <c r="O312" i="282"/>
  <c r="L324" i="282"/>
  <c r="T314" i="282" s="1"/>
  <c r="L318" i="282"/>
  <c r="O322" i="282"/>
  <c r="S317" i="282"/>
  <c r="N320" i="282"/>
  <c r="N324" i="282"/>
  <c r="N318" i="282"/>
  <c r="S316" i="282"/>
  <c r="M318" i="282"/>
  <c r="M320" i="282"/>
  <c r="M324" i="282"/>
  <c r="S315" i="282"/>
  <c r="M325" i="282"/>
  <c r="S313" i="282"/>
  <c r="V313" i="282"/>
  <c r="S314" i="282"/>
  <c r="S324" i="282" l="1"/>
  <c r="V315" i="282"/>
  <c r="V325" i="282" s="1"/>
  <c r="O318" i="282"/>
  <c r="T317" i="282"/>
  <c r="T321" i="282"/>
  <c r="T313" i="282"/>
  <c r="T316" i="282"/>
  <c r="T312" i="282"/>
  <c r="O324" i="282"/>
  <c r="U312" i="282"/>
  <c r="O320" i="282"/>
  <c r="S325" i="282"/>
  <c r="U316" i="282"/>
  <c r="U314" i="282"/>
  <c r="V312" i="282"/>
  <c r="V314" i="282"/>
  <c r="V316" i="282"/>
  <c r="V322" i="282" s="1"/>
  <c r="U315" i="282"/>
  <c r="U317" i="282"/>
  <c r="S318" i="282"/>
  <c r="S321" i="282"/>
  <c r="U313" i="282"/>
  <c r="S320" i="282"/>
  <c r="S322" i="282"/>
  <c r="O325" i="282"/>
  <c r="W315" i="282" l="1"/>
  <c r="V321" i="282"/>
  <c r="T325" i="282"/>
  <c r="T324" i="282"/>
  <c r="W317" i="282"/>
  <c r="T322" i="282"/>
  <c r="T318" i="282"/>
  <c r="T320" i="282"/>
  <c r="W312" i="282"/>
  <c r="W314" i="282"/>
  <c r="U320" i="282"/>
  <c r="W313" i="282"/>
  <c r="U322" i="282"/>
  <c r="U321" i="282"/>
  <c r="U318" i="282"/>
  <c r="W316" i="282"/>
  <c r="U325" i="282"/>
  <c r="V318" i="282"/>
  <c r="V320" i="282"/>
  <c r="V324" i="282"/>
  <c r="U324" i="282"/>
  <c r="W325" i="282" l="1"/>
  <c r="W321" i="282"/>
  <c r="W320" i="282"/>
  <c r="W322" i="282"/>
  <c r="W318" i="282"/>
  <c r="W324" i="282"/>
  <c r="Z21" i="302" l="1"/>
  <c r="Z20" i="302" l="1"/>
  <c r="AA20" i="302" s="1"/>
  <c r="Z19" i="302"/>
  <c r="AA19" i="302" s="1"/>
  <c r="Z27" i="302" l="1"/>
  <c r="Z25" i="302" l="1"/>
  <c r="AA25" i="302" s="1"/>
  <c r="Z26" i="302"/>
  <c r="AA26" i="302" s="1"/>
  <c r="L14" i="499" l="1"/>
  <c r="K15" i="499"/>
  <c r="L15" i="499" s="1"/>
  <c r="J9" i="499" s="1"/>
  <c r="J7" i="499"/>
  <c r="M14" i="499" l="1"/>
  <c r="N14" i="499" s="1"/>
  <c r="O14" i="499" s="1"/>
  <c r="J6" i="499"/>
  <c r="J8" i="499"/>
  <c r="N7" i="514" l="1"/>
  <c r="P14" i="514"/>
  <c r="O15" i="514"/>
  <c r="AA4" i="514" l="1"/>
  <c r="AA6" i="514" s="1"/>
  <c r="AA7" i="514" s="1"/>
  <c r="AB10" i="514" s="1" a="1"/>
  <c r="P15" i="514"/>
  <c r="N9" i="514" s="1"/>
  <c r="N6" i="514"/>
  <c r="N8" i="514"/>
  <c r="AB10" i="514" l="1"/>
  <c r="AB12" i="514"/>
  <c r="AB13" i="514"/>
  <c r="AB11" i="514"/>
  <c r="Q14" i="514"/>
  <c r="R14" i="514" s="1"/>
  <c r="S14" i="514" s="1"/>
  <c r="AE6" i="514" l="1"/>
  <c r="AE14" i="514"/>
  <c r="AE17" i="514"/>
  <c r="AE13" i="514"/>
  <c r="AE18" i="514"/>
  <c r="AE24" i="514" l="1"/>
  <c r="AE25" i="514"/>
  <c r="S15" i="499" l="1"/>
  <c r="T15" i="499" s="1"/>
  <c r="R9" i="499" s="1"/>
  <c r="K21" i="502" s="1"/>
  <c r="L13" i="502" s="1"/>
  <c r="M13" i="502" s="1"/>
  <c r="R7" i="499"/>
  <c r="R6" i="499" s="1"/>
  <c r="T14" i="499"/>
  <c r="R8" i="499" l="1"/>
  <c r="L17" i="502"/>
  <c r="M17" i="502" s="1"/>
  <c r="L16" i="502"/>
  <c r="M16" i="502" s="1"/>
  <c r="U14" i="499"/>
  <c r="V14" i="499" s="1"/>
  <c r="W14" i="499" s="1"/>
  <c r="L14" i="502"/>
  <c r="M14" i="502" s="1"/>
  <c r="L15" i="502"/>
  <c r="M15" i="502" s="1"/>
  <c r="M19" i="502" l="1"/>
  <c r="M20" i="502"/>
  <c r="M18" i="502"/>
  <c r="Q14" i="723" l="1"/>
  <c r="O7" i="723"/>
  <c r="P15" i="723"/>
  <c r="R8" i="723" l="1"/>
  <c r="Q15" i="723"/>
  <c r="O9" i="723" s="1"/>
  <c r="R6" i="723"/>
  <c r="R7" i="723" s="1"/>
  <c r="O6" i="723"/>
  <c r="O8" i="723"/>
  <c r="R14" i="723" l="1"/>
  <c r="S14" i="723" s="1"/>
  <c r="T14" i="723" s="1"/>
  <c r="H46" i="460" l="1"/>
  <c r="I46" i="460" s="1"/>
  <c r="H19" i="460"/>
  <c r="I19" i="460" s="1"/>
  <c r="K20" i="460"/>
  <c r="X23" i="471" a="1"/>
  <c r="X23" i="468" a="1"/>
  <c r="X23" i="466" a="1"/>
  <c r="X23" i="466" s="1"/>
  <c r="K47" i="460"/>
  <c r="L47" i="460"/>
  <c r="H47" i="460"/>
  <c r="I47" i="460" s="1"/>
  <c r="Z23" i="466"/>
  <c r="X25" i="466" l="1"/>
  <c r="Z25" i="466"/>
  <c r="X24" i="466"/>
  <c r="Y24" i="466"/>
  <c r="L20" i="460"/>
  <c r="H20" i="460"/>
  <c r="I20" i="460" s="1"/>
  <c r="Z24" i="466"/>
  <c r="Y23" i="466"/>
  <c r="Y25" i="466"/>
  <c r="R5" i="401" a="1"/>
  <c r="R5" i="401" s="1"/>
  <c r="AE20" i="466" l="1" a="1"/>
  <c r="AF22" i="466" s="1"/>
  <c r="R6" i="401"/>
  <c r="O10" i="401" s="1"/>
  <c r="P10" i="401" s="1"/>
  <c r="AF23" i="466" l="1"/>
  <c r="AI22" i="466"/>
  <c r="AH20" i="466"/>
  <c r="AF21" i="466"/>
  <c r="AF25" i="466"/>
  <c r="AI25" i="466"/>
  <c r="AI24" i="466"/>
  <c r="AJ21" i="466"/>
  <c r="AH25" i="466"/>
  <c r="AJ25" i="466"/>
  <c r="AE20" i="466"/>
  <c r="AE23" i="466"/>
  <c r="AJ20" i="466"/>
  <c r="AG22" i="466"/>
  <c r="AE25" i="466"/>
  <c r="AG21" i="466"/>
  <c r="AE24" i="466"/>
  <c r="AI21" i="466"/>
  <c r="AI20" i="466"/>
  <c r="AH21" i="466"/>
  <c r="AE22" i="466"/>
  <c r="AG20" i="466"/>
  <c r="AH24" i="466"/>
  <c r="AI23" i="466"/>
  <c r="AJ22" i="466"/>
  <c r="AG23" i="466"/>
  <c r="AH22" i="466"/>
  <c r="AH23" i="466"/>
  <c r="AJ24" i="466"/>
  <c r="AF20" i="466"/>
  <c r="AJ23" i="466"/>
  <c r="AG24" i="466"/>
  <c r="AG25" i="466"/>
  <c r="AE21" i="466"/>
  <c r="AF24" i="466"/>
  <c r="O12" i="401"/>
  <c r="P12" i="401" s="1"/>
  <c r="O7" i="401"/>
  <c r="P7" i="401" s="1"/>
  <c r="O4" i="401"/>
  <c r="P4" i="401" s="1"/>
  <c r="O11" i="401"/>
  <c r="P11" i="401" s="1"/>
  <c r="O9" i="401"/>
  <c r="P9" i="401" s="1"/>
  <c r="O6" i="401"/>
  <c r="P6" i="401" s="1"/>
  <c r="O5" i="401"/>
  <c r="P5" i="401" s="1"/>
  <c r="O13" i="401"/>
  <c r="P13" i="401" s="1"/>
  <c r="O8" i="401"/>
  <c r="P8" i="401" s="1"/>
  <c r="M23" i="466" l="1"/>
  <c r="J30" i="466"/>
  <c r="K30" i="466" s="1"/>
  <c r="M24" i="466"/>
  <c r="J22" i="466"/>
  <c r="K22" i="466" s="1"/>
  <c r="J29" i="466"/>
  <c r="K29" i="466" s="1"/>
  <c r="J31" i="466"/>
  <c r="K31" i="466" s="1"/>
  <c r="P14" i="401"/>
  <c r="N31" i="466" l="1"/>
  <c r="N24" i="466"/>
  <c r="J24" i="466"/>
  <c r="K24" i="466" s="1"/>
  <c r="M31" i="466"/>
  <c r="M30" i="466"/>
  <c r="N30" i="466"/>
  <c r="N23" i="466"/>
  <c r="J23" i="466"/>
  <c r="K23" i="466" s="1"/>
  <c r="AG10" i="468" l="1" a="1"/>
  <c r="Z5" i="401" l="1" a="1"/>
  <c r="AH5" i="401" l="1" a="1"/>
  <c r="R21" i="401" a="1"/>
  <c r="Z21" i="401" l="1" a="1"/>
  <c r="AP5" i="401" l="1" a="1"/>
  <c r="AX5" i="401" l="1" a="1"/>
  <c r="K21" i="791" l="1"/>
  <c r="I21" i="791"/>
  <c r="J21" i="791" s="1"/>
  <c r="L21" i="791"/>
  <c r="L19" i="791"/>
  <c r="K19" i="791"/>
  <c r="I19" i="791"/>
  <c r="J19" i="791" s="1"/>
  <c r="L20" i="791"/>
  <c r="I20" i="791"/>
  <c r="J20" i="791" s="1"/>
  <c r="K20" i="791"/>
  <c r="AA15" i="468" l="1"/>
  <c r="AA14" i="468"/>
  <c r="AA13" i="468"/>
  <c r="Y23" i="468"/>
  <c r="Y25" i="468"/>
  <c r="X24" i="468"/>
  <c r="Y24" i="468"/>
  <c r="X23" i="468"/>
  <c r="X25" i="468"/>
  <c r="Z25" i="468"/>
  <c r="Z23" i="468"/>
  <c r="Z24" i="468"/>
  <c r="AA11" i="468"/>
  <c r="AA12" i="468"/>
  <c r="AA10" i="468"/>
  <c r="H15" i="462" l="1"/>
  <c r="I15" i="462" s="1"/>
  <c r="I38" i="463"/>
  <c r="J38" i="463" s="1"/>
  <c r="I21" i="463"/>
  <c r="J21" i="463" s="1"/>
  <c r="H19" i="461"/>
  <c r="I19" i="461" s="1"/>
  <c r="I55" i="463"/>
  <c r="J55" i="463" s="1"/>
  <c r="K86" i="463"/>
  <c r="L86" i="463" s="1"/>
  <c r="AE20" i="468" a="1"/>
  <c r="AI23" i="468" l="1"/>
  <c r="AH25" i="468"/>
  <c r="AH22" i="468"/>
  <c r="AE23" i="468"/>
  <c r="AG21" i="468"/>
  <c r="AJ24" i="468"/>
  <c r="AH20" i="468"/>
  <c r="AI21" i="468"/>
  <c r="AI25" i="468"/>
  <c r="AG24" i="468"/>
  <c r="AG23" i="468"/>
  <c r="AJ21" i="468"/>
  <c r="AF23" i="468"/>
  <c r="AH21" i="468"/>
  <c r="AJ20" i="468"/>
  <c r="AH24" i="468"/>
  <c r="AF21" i="468"/>
  <c r="AF24" i="468"/>
  <c r="AG20" i="468"/>
  <c r="AJ23" i="468"/>
  <c r="AE22" i="468"/>
  <c r="AI22" i="468"/>
  <c r="AF22" i="468"/>
  <c r="AE24" i="468"/>
  <c r="AE21" i="468"/>
  <c r="AE25" i="468"/>
  <c r="AJ22" i="468"/>
  <c r="AF20" i="468"/>
  <c r="AJ25" i="468"/>
  <c r="AH23" i="468"/>
  <c r="AG22" i="468"/>
  <c r="AI24" i="468"/>
  <c r="AF25" i="468"/>
  <c r="AG25" i="468"/>
  <c r="AE20" i="468"/>
  <c r="AI20" i="468"/>
  <c r="O89" i="463"/>
  <c r="K89" i="463"/>
  <c r="L89" i="463" s="1"/>
  <c r="N89" i="463"/>
  <c r="L21" i="790"/>
  <c r="I21" i="790"/>
  <c r="J21" i="790" s="1"/>
  <c r="K21" i="790"/>
  <c r="M39" i="463"/>
  <c r="I39" i="463"/>
  <c r="J39" i="463" s="1"/>
  <c r="L39" i="463"/>
  <c r="L17" i="462"/>
  <c r="H17" i="462"/>
  <c r="I17" i="462" s="1"/>
  <c r="K17" i="462"/>
  <c r="K88" i="463"/>
  <c r="L88" i="463" s="1"/>
  <c r="O88" i="463"/>
  <c r="N88" i="463"/>
  <c r="M23" i="463"/>
  <c r="L23" i="463"/>
  <c r="I23" i="463"/>
  <c r="J23" i="463" s="1"/>
  <c r="O87" i="463"/>
  <c r="N87" i="463"/>
  <c r="K87" i="463"/>
  <c r="L87" i="463" s="1"/>
  <c r="L19" i="790"/>
  <c r="I19" i="790"/>
  <c r="J19" i="790" s="1"/>
  <c r="K19" i="790"/>
  <c r="L20" i="461"/>
  <c r="K20" i="461"/>
  <c r="H20" i="461"/>
  <c r="I20" i="461" s="1"/>
  <c r="M22" i="463"/>
  <c r="I22" i="463"/>
  <c r="J22" i="463" s="1"/>
  <c r="L22" i="463"/>
  <c r="I20" i="790"/>
  <c r="J20" i="790" s="1"/>
  <c r="L20" i="790"/>
  <c r="K20" i="790"/>
  <c r="L56" i="463"/>
  <c r="I56" i="463"/>
  <c r="J56" i="463" s="1"/>
  <c r="M56" i="463"/>
  <c r="L16" i="462"/>
  <c r="H16" i="462"/>
  <c r="I16" i="462" s="1"/>
  <c r="K16" i="462"/>
  <c r="J22" i="468" l="1"/>
  <c r="K22" i="468" s="1"/>
  <c r="J22" i="471"/>
  <c r="K22" i="471" s="1"/>
  <c r="J30" i="471"/>
  <c r="K30" i="471" s="1"/>
  <c r="J30" i="468"/>
  <c r="K30" i="468" s="1"/>
  <c r="AD10" i="468" a="1"/>
  <c r="AD10" i="468" l="1"/>
  <c r="AD13" i="468"/>
  <c r="AD14" i="468"/>
  <c r="AD15" i="468"/>
  <c r="AD12" i="468"/>
  <c r="AD11" i="468"/>
  <c r="M31" i="471"/>
  <c r="N31" i="471"/>
  <c r="J31" i="471"/>
  <c r="K31" i="471" s="1"/>
  <c r="M23" i="468"/>
  <c r="N23" i="468"/>
  <c r="J23" i="468"/>
  <c r="K23" i="468" s="1"/>
  <c r="M32" i="468"/>
  <c r="J32" i="468"/>
  <c r="K32" i="468" s="1"/>
  <c r="N32" i="468"/>
  <c r="J32" i="471"/>
  <c r="K32" i="471" s="1"/>
  <c r="M32" i="471"/>
  <c r="N32" i="471"/>
  <c r="J23" i="471"/>
  <c r="K23" i="471" s="1"/>
  <c r="M23" i="471"/>
  <c r="N23" i="471"/>
  <c r="M31" i="468"/>
  <c r="N31" i="468"/>
  <c r="J31" i="468"/>
  <c r="K31" i="468" s="1"/>
  <c r="J24" i="468"/>
  <c r="K24" i="468" s="1"/>
  <c r="M24" i="468"/>
  <c r="N24" i="468"/>
  <c r="J24" i="471"/>
  <c r="K24" i="471" s="1"/>
  <c r="M24" i="471"/>
  <c r="N24" i="471"/>
  <c r="AG15" i="468" l="1"/>
  <c r="AH8" i="468" s="1"/>
  <c r="AE8" i="468"/>
  <c r="AE7" i="468"/>
  <c r="AG14" i="468"/>
  <c r="AH7" i="468" s="1"/>
  <c r="AG11" i="468"/>
  <c r="AG7" i="468" s="1"/>
  <c r="AD7" i="468"/>
  <c r="AG13" i="468"/>
  <c r="AH6" i="468" s="1"/>
  <c r="AE6" i="468"/>
  <c r="AD8" i="468"/>
  <c r="AG12" i="468"/>
  <c r="AG8" i="468" s="1"/>
  <c r="AG10" i="468"/>
  <c r="AG6" i="468" s="1"/>
  <c r="AD6" i="468"/>
  <c r="AA23" i="471" l="1" a="1"/>
  <c r="AE6" i="471" a="1"/>
  <c r="AD6" i="471" a="1"/>
  <c r="Y4" i="798" a="1"/>
  <c r="X20" i="471" a="1"/>
  <c r="AA20" i="471" a="1"/>
  <c r="AA71" i="463" a="1"/>
  <c r="Z4" i="790" a="1"/>
  <c r="W50" i="463" a="1"/>
  <c r="X6" i="463" a="1"/>
  <c r="R9" i="401" a="1"/>
  <c r="W29" i="463" a="1"/>
  <c r="W4" i="800" a="1"/>
  <c r="V6" i="461" a="1"/>
  <c r="W6" i="462" a="1"/>
  <c r="Y8" i="462" l="1"/>
  <c r="W7" i="462"/>
  <c r="Y6" i="462"/>
  <c r="W6" i="462"/>
  <c r="X6" i="462"/>
  <c r="W8" i="462"/>
  <c r="X8" i="462"/>
  <c r="Y7" i="462"/>
  <c r="X7" i="462"/>
  <c r="V6" i="461"/>
  <c r="W6" i="461"/>
  <c r="W7" i="461"/>
  <c r="V7" i="461"/>
  <c r="X5" i="800"/>
  <c r="X4" i="800"/>
  <c r="W4" i="800"/>
  <c r="W5" i="800"/>
  <c r="X30" i="463"/>
  <c r="W30" i="463"/>
  <c r="W29" i="463"/>
  <c r="X29" i="463"/>
  <c r="S9" i="401"/>
  <c r="S10" i="401"/>
  <c r="R9" i="401"/>
  <c r="R10" i="401"/>
  <c r="Z7" i="463"/>
  <c r="Y7" i="463"/>
  <c r="X7" i="463"/>
  <c r="Z8" i="463"/>
  <c r="Z6" i="463"/>
  <c r="Y8" i="463"/>
  <c r="Y6" i="463"/>
  <c r="X8" i="463"/>
  <c r="X6" i="463"/>
  <c r="X50" i="463"/>
  <c r="W51" i="463"/>
  <c r="W50" i="463"/>
  <c r="X51" i="463"/>
  <c r="Z5" i="790"/>
  <c r="AB6" i="790"/>
  <c r="AA6" i="790"/>
  <c r="AA4" i="790"/>
  <c r="AB4" i="790"/>
  <c r="Z4" i="790"/>
  <c r="AB5" i="790"/>
  <c r="Z6" i="790"/>
  <c r="AA5" i="790"/>
  <c r="AA74" i="463"/>
  <c r="AC73" i="463"/>
  <c r="AD72" i="463"/>
  <c r="AB72" i="463"/>
  <c r="AC71" i="463"/>
  <c r="AA71" i="463"/>
  <c r="AD73" i="463"/>
  <c r="AB73" i="463"/>
  <c r="AC72" i="463"/>
  <c r="AA73" i="463"/>
  <c r="AD74" i="463"/>
  <c r="AC74" i="463"/>
  <c r="AD71" i="463"/>
  <c r="AB74" i="463"/>
  <c r="AB71" i="463"/>
  <c r="AA72" i="463"/>
  <c r="AC20" i="471"/>
  <c r="Z23" i="471" s="1"/>
  <c r="AA20" i="471"/>
  <c r="X23" i="471" s="1"/>
  <c r="AC21" i="471"/>
  <c r="Z24" i="471" s="1"/>
  <c r="AA21" i="471"/>
  <c r="X24" i="471" s="1"/>
  <c r="AA22" i="471"/>
  <c r="X25" i="471" s="1"/>
  <c r="AB21" i="471"/>
  <c r="Y24" i="471" s="1"/>
  <c r="AC22" i="471"/>
  <c r="Z25" i="471" s="1"/>
  <c r="AB22" i="471"/>
  <c r="Y25" i="471" s="1"/>
  <c r="AB20" i="471"/>
  <c r="Y23" i="471" s="1"/>
  <c r="Z22" i="471"/>
  <c r="Z20" i="471"/>
  <c r="Y21" i="471"/>
  <c r="X22" i="471"/>
  <c r="Y20" i="471"/>
  <c r="X21" i="471"/>
  <c r="X20" i="471"/>
  <c r="AE20" i="471" s="1" a="1"/>
  <c r="Z21" i="471"/>
  <c r="Y22" i="471"/>
  <c r="AA5" i="798"/>
  <c r="Y7" i="798"/>
  <c r="AA6" i="798"/>
  <c r="AB4" i="798"/>
  <c r="Y4" i="798"/>
  <c r="Z4" i="798"/>
  <c r="AA7" i="798"/>
  <c r="AB5" i="798"/>
  <c r="Y5" i="798"/>
  <c r="Z5" i="798"/>
  <c r="AA4" i="798"/>
  <c r="AB6" i="798"/>
  <c r="Y6" i="798"/>
  <c r="Z6" i="798"/>
  <c r="AB7" i="798"/>
  <c r="Z7" i="798"/>
  <c r="AD6" i="471"/>
  <c r="AD10" i="471" s="1"/>
  <c r="AD7" i="471"/>
  <c r="AD11" i="471" s="1"/>
  <c r="AD8" i="471"/>
  <c r="AD12" i="471" s="1"/>
  <c r="AE6" i="471"/>
  <c r="AD13" i="471" s="1"/>
  <c r="AE7" i="471"/>
  <c r="AD14" i="471" s="1"/>
  <c r="AE8" i="471"/>
  <c r="AD15" i="471" s="1"/>
  <c r="AB23" i="471"/>
  <c r="AA24" i="471"/>
  <c r="AA23" i="471"/>
  <c r="AC24" i="471"/>
  <c r="AB25" i="471"/>
  <c r="AB24" i="471"/>
  <c r="AC23" i="471"/>
  <c r="AC25" i="471"/>
  <c r="AA25" i="471"/>
  <c r="Z50" i="463" a="1"/>
  <c r="AF71" i="463" a="1"/>
  <c r="AC4" i="798" a="1"/>
  <c r="Y6" i="461" a="1"/>
  <c r="AB6" i="463" a="1"/>
  <c r="AA6" i="462" a="1"/>
  <c r="Y4" i="800" a="1"/>
  <c r="Z29" i="463" a="1"/>
  <c r="R13" i="401" a="1"/>
  <c r="AD4" i="790" a="1"/>
  <c r="AD6" i="790" l="1"/>
  <c r="AD5" i="790"/>
  <c r="AD4" i="790"/>
  <c r="R14" i="401"/>
  <c r="Z6" i="401" s="1"/>
  <c r="R13" i="401"/>
  <c r="Z5" i="401" s="1"/>
  <c r="Z29" i="463"/>
  <c r="Z30" i="463"/>
  <c r="Y5" i="800"/>
  <c r="Y4" i="800"/>
  <c r="AA7" i="462"/>
  <c r="AA8" i="462"/>
  <c r="AA6" i="462"/>
  <c r="AB8" i="463"/>
  <c r="AB7" i="463"/>
  <c r="AB6" i="463"/>
  <c r="Y7" i="461"/>
  <c r="Y6" i="461"/>
  <c r="AC7" i="798"/>
  <c r="AC4" i="798"/>
  <c r="AC5" i="798"/>
  <c r="AC6" i="798"/>
  <c r="AF72" i="463"/>
  <c r="AF73" i="463"/>
  <c r="AF71" i="463"/>
  <c r="AF74" i="463"/>
  <c r="Z50" i="463"/>
  <c r="Z51" i="463"/>
  <c r="AG24" i="471"/>
  <c r="AG20" i="471"/>
  <c r="AE23" i="471"/>
  <c r="AF20" i="471"/>
  <c r="AH21" i="471"/>
  <c r="AE20" i="471"/>
  <c r="AG10" i="471" s="1" a="1"/>
  <c r="AJ23" i="471"/>
  <c r="AF21" i="471"/>
  <c r="AE25" i="471"/>
  <c r="AJ24" i="471"/>
  <c r="AI22" i="471"/>
  <c r="AH22" i="471"/>
  <c r="AI24" i="471"/>
  <c r="AI21" i="471"/>
  <c r="AJ25" i="471"/>
  <c r="AF25" i="471"/>
  <c r="AH24" i="471"/>
  <c r="AI23" i="471"/>
  <c r="AH25" i="471"/>
  <c r="AG21" i="471"/>
  <c r="AJ22" i="471"/>
  <c r="AF23" i="471"/>
  <c r="AF22" i="471"/>
  <c r="AJ20" i="471"/>
  <c r="AG22" i="471"/>
  <c r="AI20" i="471"/>
  <c r="AE24" i="471"/>
  <c r="AF24" i="471"/>
  <c r="AI25" i="471"/>
  <c r="AH20" i="471"/>
  <c r="AG25" i="471"/>
  <c r="AG23" i="471"/>
  <c r="AE21" i="471"/>
  <c r="AH23" i="471"/>
  <c r="AE22" i="471"/>
  <c r="AJ21" i="471"/>
  <c r="W4" i="401" l="1"/>
  <c r="X4" i="401" s="1"/>
  <c r="X14" i="401" s="1"/>
  <c r="AG15" i="471"/>
  <c r="AH8" i="471" s="1"/>
  <c r="AG13" i="471"/>
  <c r="AH6" i="471" s="1"/>
  <c r="AG10" i="471"/>
  <c r="AG6" i="471" s="1"/>
  <c r="AG12" i="471"/>
  <c r="AG8" i="471" s="1"/>
  <c r="AG11" i="471"/>
  <c r="AG7" i="471" s="1"/>
  <c r="AG14" i="471"/>
  <c r="AH7" i="471" s="1"/>
  <c r="W11" i="401"/>
  <c r="X11" i="401" s="1"/>
  <c r="W9" i="401"/>
  <c r="X9" i="401" s="1"/>
  <c r="W6" i="401"/>
  <c r="X6" i="401" s="1"/>
  <c r="W5" i="401"/>
  <c r="X5" i="401" s="1"/>
  <c r="W12" i="401"/>
  <c r="X12" i="401" s="1"/>
  <c r="W10" i="401"/>
  <c r="X10" i="401" s="1"/>
  <c r="W8" i="401"/>
  <c r="X8" i="401" s="1"/>
  <c r="W7" i="401"/>
  <c r="X7" i="401" s="1"/>
  <c r="W13" i="401"/>
  <c r="X13" i="401" s="1"/>
  <c r="AK14" i="800" a="1"/>
  <c r="AK14" i="800"/>
  <c r="AL14" i="800"/>
  <c r="AM14" i="800"/>
  <c r="AK12" i="800" a="1"/>
  <c r="AK12" i="800"/>
  <c r="AL12" i="800"/>
  <c r="AM12" i="800"/>
  <c r="AK13" i="800" a="1"/>
  <c r="AK13" i="800"/>
  <c r="AL13" i="800"/>
  <c r="AM13" i="800"/>
  <c r="AK16" i="800" a="1"/>
  <c r="AK16" i="800"/>
  <c r="AL16" i="800"/>
  <c r="AM16" i="800"/>
  <c r="AK4" i="800" a="1"/>
  <c r="AK4" i="800"/>
  <c r="AL4" i="800"/>
  <c r="AM4" i="800"/>
  <c r="AK10" i="800" a="1"/>
  <c r="AK10" i="800"/>
  <c r="AL10" i="800"/>
  <c r="AM10" i="800"/>
  <c r="AK8" i="800" a="1"/>
  <c r="AK8" i="800"/>
  <c r="AM8" i="800"/>
  <c r="AL8" i="800"/>
  <c r="AK11" i="800" a="1"/>
  <c r="AK11" i="800"/>
  <c r="AM11" i="800"/>
  <c r="AL11" i="800"/>
  <c r="AO12" i="798" a="1"/>
  <c r="AO12" i="798"/>
  <c r="AP12" i="798"/>
  <c r="AQ12" i="798"/>
  <c r="AO17" i="798" a="1"/>
  <c r="AO17" i="798"/>
  <c r="AQ17" i="798"/>
  <c r="AP17" i="798"/>
  <c r="AO15" i="798" a="1"/>
  <c r="AO15" i="798"/>
  <c r="AP15" i="798"/>
  <c r="AQ15" i="798"/>
  <c r="AO9" i="798" a="1"/>
  <c r="AO9" i="798"/>
  <c r="AQ9" i="798"/>
  <c r="AP9" i="798"/>
  <c r="AO4" i="798" a="1"/>
  <c r="AO4" i="798"/>
  <c r="AQ4" i="798"/>
  <c r="AP4" i="798"/>
  <c r="AO14" i="798" a="1"/>
  <c r="AO14" i="798"/>
  <c r="AP14" i="798"/>
  <c r="AQ14" i="798"/>
  <c r="AO16" i="798" a="1"/>
  <c r="AO16" i="798"/>
  <c r="AP16" i="798"/>
  <c r="AQ16" i="798"/>
  <c r="AO18" i="798" a="1"/>
  <c r="AO18" i="798"/>
  <c r="AP18" i="798"/>
  <c r="AQ18" i="798"/>
  <c r="AK18" i="800" a="1"/>
  <c r="AK18" i="800"/>
  <c r="AM18" i="800"/>
  <c r="AL18" i="800"/>
  <c r="AK15" i="800" a="1"/>
  <c r="AK15" i="800"/>
  <c r="AM15" i="800"/>
  <c r="AL15" i="800"/>
  <c r="AK7" i="800" a="1"/>
  <c r="AK7" i="800"/>
  <c r="AM7" i="800"/>
  <c r="AL7" i="800"/>
  <c r="AK5" i="800" a="1"/>
  <c r="AK5" i="800"/>
  <c r="AL5" i="800"/>
  <c r="AM5" i="800"/>
  <c r="AK6" i="800" a="1"/>
  <c r="AK6" i="800"/>
  <c r="AM6" i="800"/>
  <c r="AL6" i="800"/>
  <c r="AK9" i="800" a="1"/>
  <c r="AK9" i="800"/>
  <c r="AM9" i="800"/>
  <c r="AL9" i="800"/>
  <c r="AK17" i="800" a="1"/>
  <c r="AK17" i="800"/>
  <c r="AM17" i="800"/>
  <c r="AL17" i="800"/>
  <c r="AO7" i="798" a="1"/>
  <c r="AO7" i="798"/>
  <c r="AP7" i="798"/>
  <c r="AQ7" i="798"/>
  <c r="AO10" i="798" a="1"/>
  <c r="AO10" i="798"/>
  <c r="AQ10" i="798"/>
  <c r="AP10" i="798"/>
  <c r="AO13" i="798" a="1"/>
  <c r="AO13" i="798"/>
  <c r="AP13" i="798"/>
  <c r="AQ13" i="798"/>
  <c r="AO11" i="798" a="1"/>
  <c r="AO11" i="798"/>
  <c r="AQ11" i="798"/>
  <c r="AP11" i="798"/>
  <c r="AO8" i="798" a="1"/>
  <c r="AO8" i="798"/>
  <c r="AQ8" i="798"/>
  <c r="AP8" i="798"/>
  <c r="AO5" i="798" a="1"/>
  <c r="AO5" i="798"/>
  <c r="AQ5" i="798"/>
  <c r="AP5" i="798"/>
  <c r="AO6" i="798" a="1"/>
  <c r="AO6" i="798"/>
  <c r="AQ6" i="798"/>
  <c r="AP6" i="798"/>
  <c r="Z9" i="401" a="1"/>
  <c r="Z9" i="401"/>
  <c r="AA9" i="401"/>
  <c r="AA10" i="401"/>
  <c r="Z10" i="401"/>
  <c r="Z13" i="401" a="1"/>
  <c r="Z13" i="401" l="1"/>
  <c r="Z14" i="401"/>
  <c r="R22" i="401" l="1"/>
  <c r="AH6" i="401"/>
  <c r="AH5" i="401"/>
  <c r="R21" i="401"/>
  <c r="O29" i="401" l="1"/>
  <c r="P29" i="401" s="1"/>
  <c r="O28" i="401"/>
  <c r="P28" i="401" s="1"/>
  <c r="O21" i="401"/>
  <c r="P21" i="401" s="1"/>
  <c r="O24" i="401"/>
  <c r="P24" i="401" s="1"/>
  <c r="O20" i="401"/>
  <c r="P20" i="401" s="1"/>
  <c r="P30" i="401" s="1"/>
  <c r="O27" i="401"/>
  <c r="P27" i="401" s="1"/>
  <c r="O26" i="401"/>
  <c r="P26" i="401" s="1"/>
  <c r="O22" i="401"/>
  <c r="P22" i="401" s="1"/>
  <c r="O23" i="401"/>
  <c r="P23" i="401" s="1"/>
  <c r="O25" i="401"/>
  <c r="P25" i="401" s="1"/>
  <c r="AE8" i="401"/>
  <c r="AF8" i="401" s="1"/>
  <c r="AE13" i="401"/>
  <c r="AF13" i="401" s="1"/>
  <c r="AE4" i="401"/>
  <c r="AF4" i="401" s="1"/>
  <c r="AF14" i="401" s="1"/>
  <c r="AE11" i="401"/>
  <c r="AF11" i="401" s="1"/>
  <c r="AE9" i="401"/>
  <c r="AF9" i="401" s="1"/>
  <c r="AE5" i="401"/>
  <c r="AF5" i="401" s="1"/>
  <c r="AE10" i="401"/>
  <c r="AF10" i="401" s="1"/>
  <c r="AE7" i="401"/>
  <c r="AF7" i="401" s="1"/>
  <c r="AE12" i="401"/>
  <c r="AF12" i="401" s="1"/>
  <c r="AE6" i="401"/>
  <c r="AF6" i="401" s="1"/>
  <c r="R25" i="401" a="1"/>
  <c r="S25" i="401"/>
  <c r="R26" i="401"/>
  <c r="R25" i="401"/>
  <c r="S26" i="401"/>
  <c r="AH9" i="401" a="1"/>
  <c r="AH9" i="401"/>
  <c r="AH13" i="401" a="1"/>
  <c r="R29" i="401" a="1"/>
  <c r="R30" i="401"/>
  <c r="AH10" i="401"/>
  <c r="AH14" i="401"/>
  <c r="Z22" i="401"/>
  <c r="AH13" i="401"/>
  <c r="AI10" i="401"/>
  <c r="R29" i="401"/>
  <c r="Z21" i="401"/>
  <c r="W25" i="401"/>
  <c r="X25" i="401"/>
  <c r="W29" i="401"/>
  <c r="X29" i="401"/>
  <c r="W22" i="401"/>
  <c r="W27" i="401"/>
  <c r="W26" i="401"/>
  <c r="W23" i="401"/>
  <c r="W24" i="401"/>
  <c r="X24" i="401"/>
  <c r="W20" i="401"/>
  <c r="X23" i="401"/>
  <c r="X26" i="401"/>
  <c r="X27" i="401"/>
  <c r="X22" i="401"/>
  <c r="AP5" i="401"/>
  <c r="AP6" i="401"/>
  <c r="AM13" i="401"/>
  <c r="AM4" i="401"/>
  <c r="AN4" i="401"/>
  <c r="AN14" i="401"/>
  <c r="AM11" i="401"/>
  <c r="AN11" i="401"/>
  <c r="AM9" i="401"/>
  <c r="AN9" i="401"/>
  <c r="AM8" i="401"/>
  <c r="AN8" i="401"/>
  <c r="AN13" i="401"/>
  <c r="AM10" i="401"/>
  <c r="AN10" i="401"/>
  <c r="AM12" i="401"/>
  <c r="AM6" i="401"/>
  <c r="AN6" i="401"/>
  <c r="AM5" i="401"/>
  <c r="AN5" i="401"/>
  <c r="AI9" i="401"/>
  <c r="X20" i="401"/>
  <c r="X30" i="401"/>
  <c r="W21" i="401"/>
  <c r="X21" i="401"/>
  <c r="W28" i="401"/>
  <c r="X28" i="401"/>
  <c r="AM7" i="401"/>
  <c r="AN7" i="401"/>
  <c r="AN12" i="401"/>
  <c r="Z25" i="401" a="1"/>
  <c r="Z25" i="401"/>
  <c r="AA26" i="401"/>
  <c r="AA25" i="401"/>
  <c r="Z26" i="401"/>
  <c r="AP9" i="401" a="1"/>
  <c r="AP10" i="401"/>
  <c r="Z29" i="401" a="1"/>
  <c r="AQ9" i="401"/>
  <c r="Z30" i="401"/>
  <c r="AP13" i="401" a="1"/>
  <c r="AP14" i="401"/>
  <c r="AX6" i="401"/>
  <c r="AP9" i="401"/>
  <c r="Z29" i="401"/>
  <c r="AQ10" i="401"/>
  <c r="AP13" i="401"/>
  <c r="AX5" i="401"/>
  <c r="AU4" i="401"/>
  <c r="AU8" i="401"/>
  <c r="AU6" i="401"/>
  <c r="AU11" i="401"/>
  <c r="AU12" i="401"/>
  <c r="AU7" i="401"/>
  <c r="AV7" i="401"/>
  <c r="AU5" i="401"/>
  <c r="AV5" i="401"/>
  <c r="AU9" i="401"/>
  <c r="AV9" i="401"/>
  <c r="AU10" i="401"/>
  <c r="AV10" i="401"/>
  <c r="AU13" i="401"/>
  <c r="AV13" i="401"/>
  <c r="AV12" i="401"/>
  <c r="AV11" i="401"/>
  <c r="AV6" i="401"/>
  <c r="AV8" i="401"/>
  <c r="AV4" i="401"/>
  <c r="AV14" i="401"/>
  <c r="AX9" i="401" a="1"/>
  <c r="AY9" i="401"/>
  <c r="AX10" i="401"/>
  <c r="AX9" i="401"/>
  <c r="AX13" i="401" a="1"/>
  <c r="AX14" i="401"/>
  <c r="AX13" i="401"/>
  <c r="AY10" i="401"/>
</calcChain>
</file>

<file path=xl/sharedStrings.xml><?xml version="1.0" encoding="utf-8"?>
<sst xmlns="http://schemas.openxmlformats.org/spreadsheetml/2006/main" count="8889" uniqueCount="1559">
  <si>
    <t>Table of Contents</t>
  </si>
  <si>
    <t>Total</t>
  </si>
  <si>
    <t>Age</t>
  </si>
  <si>
    <t>Income</t>
  </si>
  <si>
    <t>x</t>
  </si>
  <si>
    <t>f</t>
  </si>
  <si>
    <t>mean</t>
  </si>
  <si>
    <t>var</t>
  </si>
  <si>
    <t>stdev</t>
  </si>
  <si>
    <t>Mean</t>
  </si>
  <si>
    <t>Standard Error</t>
  </si>
  <si>
    <t>Sum</t>
  </si>
  <si>
    <t>Count</t>
  </si>
  <si>
    <t>Descriptive Statistics</t>
  </si>
  <si>
    <t>freq</t>
  </si>
  <si>
    <t>lower</t>
  </si>
  <si>
    <t>upper</t>
  </si>
  <si>
    <t>n</t>
  </si>
  <si>
    <t>Alpha</t>
  </si>
  <si>
    <t>z</t>
  </si>
  <si>
    <t>Score</t>
  </si>
  <si>
    <t>Row</t>
  </si>
  <si>
    <t>Raw Data</t>
  </si>
  <si>
    <t>Method 1</t>
  </si>
  <si>
    <t>Method 2</t>
  </si>
  <si>
    <t>a</t>
  </si>
  <si>
    <t>b</t>
  </si>
  <si>
    <t>c</t>
  </si>
  <si>
    <t>d</t>
  </si>
  <si>
    <t>row</t>
  </si>
  <si>
    <t>Method 3</t>
  </si>
  <si>
    <t>Method 4</t>
  </si>
  <si>
    <t>α</t>
  </si>
  <si>
    <t>Min</t>
  </si>
  <si>
    <t>Q1-Min</t>
  </si>
  <si>
    <t>Med-Q1</t>
  </si>
  <si>
    <t>Q3-Med</t>
  </si>
  <si>
    <t>Max-Q3</t>
  </si>
  <si>
    <t>k</t>
  </si>
  <si>
    <t>Subject</t>
  </si>
  <si>
    <t>Std Err</t>
  </si>
  <si>
    <t>df</t>
  </si>
  <si>
    <t>t stat</t>
  </si>
  <si>
    <t>SUMMARY</t>
  </si>
  <si>
    <t>t</t>
  </si>
  <si>
    <t>Cohen d</t>
  </si>
  <si>
    <t>T TEST</t>
  </si>
  <si>
    <t xml:space="preserve"> </t>
  </si>
  <si>
    <t>p-value</t>
  </si>
  <si>
    <t>t-crit</t>
  </si>
  <si>
    <t>reject</t>
  </si>
  <si>
    <t>Old</t>
  </si>
  <si>
    <t>std dev</t>
  </si>
  <si>
    <t>Groups</t>
  </si>
  <si>
    <t>Variance</t>
  </si>
  <si>
    <t>Observations</t>
  </si>
  <si>
    <t>Pooled</t>
  </si>
  <si>
    <t>t Stat</t>
  </si>
  <si>
    <t>Drug</t>
  </si>
  <si>
    <t>Before</t>
  </si>
  <si>
    <t>t-stat</t>
  </si>
  <si>
    <t>a1</t>
  </si>
  <si>
    <t>a2</t>
  </si>
  <si>
    <t>a3</t>
  </si>
  <si>
    <r>
      <t xml:space="preserve">Studentized Q Table - critical value for q(k, df, </t>
    </r>
    <r>
      <rPr>
        <b/>
        <sz val="11"/>
        <color theme="1"/>
        <rFont val="Calibri"/>
        <family val="2"/>
      </rPr>
      <t>α)</t>
    </r>
  </si>
  <si>
    <t xml:space="preserve">k --&gt; </t>
  </si>
  <si>
    <t>Inf</t>
  </si>
  <si>
    <t>p</t>
  </si>
  <si>
    <t>Chi-Square Test</t>
  </si>
  <si>
    <t>Sample</t>
  </si>
  <si>
    <t>alpha</t>
  </si>
  <si>
    <t>chi-sq</t>
  </si>
  <si>
    <t>Female</t>
  </si>
  <si>
    <t>χ2</t>
  </si>
  <si>
    <t>χ2-crit</t>
  </si>
  <si>
    <t>x-crit</t>
  </si>
  <si>
    <t>Obs</t>
  </si>
  <si>
    <t>Observed Values</t>
  </si>
  <si>
    <t>Expected Values</t>
  </si>
  <si>
    <t>Therapy 1</t>
  </si>
  <si>
    <t>Therapy 2</t>
  </si>
  <si>
    <t>Cured</t>
  </si>
  <si>
    <t>Not Cured</t>
  </si>
  <si>
    <t>P-value</t>
  </si>
  <si>
    <t>r</t>
  </si>
  <si>
    <t>Wealthy</t>
  </si>
  <si>
    <t>Middle Class</t>
  </si>
  <si>
    <t>Poor</t>
  </si>
  <si>
    <t>High Sch</t>
  </si>
  <si>
    <t>Univ</t>
  </si>
  <si>
    <t>None</t>
  </si>
  <si>
    <t>Observed</t>
  </si>
  <si>
    <t>Effect size</t>
  </si>
  <si>
    <t>Odds</t>
  </si>
  <si>
    <t>Male</t>
  </si>
  <si>
    <t>B</t>
  </si>
  <si>
    <t>C</t>
  </si>
  <si>
    <t>D</t>
  </si>
  <si>
    <t>F</t>
  </si>
  <si>
    <t>Rows</t>
  </si>
  <si>
    <t>Cols</t>
  </si>
  <si>
    <t>CHI-SQUARE</t>
  </si>
  <si>
    <t>Pearson's</t>
  </si>
  <si>
    <t>Cramer V</t>
  </si>
  <si>
    <t>Max likelihood</t>
  </si>
  <si>
    <t>y</t>
  </si>
  <si>
    <t>White</t>
  </si>
  <si>
    <t>z-crit</t>
  </si>
  <si>
    <t>std error</t>
  </si>
  <si>
    <t>A</t>
  </si>
  <si>
    <t>count</t>
  </si>
  <si>
    <t>SS</t>
  </si>
  <si>
    <t>Chi-sq</t>
  </si>
  <si>
    <t>Regression</t>
  </si>
  <si>
    <t>Prediction</t>
  </si>
  <si>
    <t>MS</t>
  </si>
  <si>
    <t>T</t>
  </si>
  <si>
    <t>Reg</t>
  </si>
  <si>
    <t>Res</t>
  </si>
  <si>
    <t>F-crit</t>
  </si>
  <si>
    <t>R Square</t>
  </si>
  <si>
    <t>SUMMARY OUTPUT</t>
  </si>
  <si>
    <t>Regression Statistics</t>
  </si>
  <si>
    <t>Multiple R</t>
  </si>
  <si>
    <t>Adjusted R Square</t>
  </si>
  <si>
    <t>ANOVA</t>
  </si>
  <si>
    <t>Residual</t>
  </si>
  <si>
    <t>Intercept</t>
  </si>
  <si>
    <t>Significance F</t>
  </si>
  <si>
    <t>Coefficients</t>
  </si>
  <si>
    <t>Lower 95%</t>
  </si>
  <si>
    <t>Upper 95%</t>
  </si>
  <si>
    <t>Observation</t>
  </si>
  <si>
    <t>Residuals</t>
  </si>
  <si>
    <t>se</t>
  </si>
  <si>
    <t>Lower</t>
  </si>
  <si>
    <t>Upper</t>
  </si>
  <si>
    <t>ln y</t>
  </si>
  <si>
    <t>X</t>
  </si>
  <si>
    <t>Y</t>
  </si>
  <si>
    <t>b1</t>
  </si>
  <si>
    <t>b2</t>
  </si>
  <si>
    <t>b0</t>
  </si>
  <si>
    <t>intercept</t>
  </si>
  <si>
    <t>b3</t>
  </si>
  <si>
    <t>Lower 95.0%</t>
  </si>
  <si>
    <t>Upper 95.0%</t>
  </si>
  <si>
    <t>df2</t>
  </si>
  <si>
    <t>s.e.</t>
  </si>
  <si>
    <t>Interaction Model</t>
  </si>
  <si>
    <t>Interaction</t>
  </si>
  <si>
    <t>ANOVA: Single Factor</t>
  </si>
  <si>
    <t>DESCRIPTION</t>
  </si>
  <si>
    <t>Sources</t>
  </si>
  <si>
    <t>P value</t>
  </si>
  <si>
    <t xml:space="preserve"> F crit</t>
  </si>
  <si>
    <t>Between Groups</t>
  </si>
  <si>
    <t>Within Groups</t>
  </si>
  <si>
    <t>Anova: Single Factor</t>
  </si>
  <si>
    <t>Average</t>
  </si>
  <si>
    <t>Source of Variation</t>
  </si>
  <si>
    <t>F crit</t>
  </si>
  <si>
    <t>MSW</t>
  </si>
  <si>
    <t>T-TEST</t>
  </si>
  <si>
    <t>sig</t>
  </si>
  <si>
    <t>Tukey's HSD</t>
  </si>
  <si>
    <t>q-crit</t>
  </si>
  <si>
    <t>i</t>
  </si>
  <si>
    <t>Contrast</t>
  </si>
  <si>
    <t>inf</t>
  </si>
  <si>
    <t>dfB</t>
  </si>
  <si>
    <t>dfW</t>
  </si>
  <si>
    <t>t1</t>
  </si>
  <si>
    <t>t2</t>
  </si>
  <si>
    <t>m</t>
  </si>
  <si>
    <t>Anova: Two-Factor Without Replication</t>
  </si>
  <si>
    <t>Error</t>
  </si>
  <si>
    <t>Columns</t>
  </si>
  <si>
    <t>Within</t>
  </si>
  <si>
    <t>MEAN</t>
  </si>
  <si>
    <t>Gender</t>
  </si>
  <si>
    <t>A x B</t>
  </si>
  <si>
    <t>A x C</t>
  </si>
  <si>
    <t>B x C</t>
  </si>
  <si>
    <t>A x B x C</t>
  </si>
  <si>
    <t>AB Bet</t>
  </si>
  <si>
    <t>AC Bet</t>
  </si>
  <si>
    <t>BC Bet</t>
  </si>
  <si>
    <t>Counts</t>
  </si>
  <si>
    <t>t3</t>
  </si>
  <si>
    <t>R</t>
  </si>
  <si>
    <t>Summary</t>
  </si>
  <si>
    <t>Cig</t>
  </si>
  <si>
    <t>Normality</t>
  </si>
  <si>
    <t>dfE</t>
  </si>
  <si>
    <t>complete</t>
  </si>
  <si>
    <t>reduced</t>
  </si>
  <si>
    <t>difference</t>
  </si>
  <si>
    <t>Observed Data</t>
  </si>
  <si>
    <t>t1 * t2</t>
  </si>
  <si>
    <t>y = freq</t>
  </si>
  <si>
    <t>Expected Data</t>
  </si>
  <si>
    <t>R-Square</t>
  </si>
  <si>
    <t>AIC</t>
  </si>
  <si>
    <t>AICc</t>
  </si>
  <si>
    <t>Low Fault</t>
  </si>
  <si>
    <t>High Fault</t>
  </si>
  <si>
    <t>Marginal</t>
  </si>
  <si>
    <t>t1 = 1 if Low, -1 if High</t>
  </si>
  <si>
    <t>t2 = 1 if Guilty, -1 if Innocent</t>
  </si>
  <si>
    <t>y -obs</t>
  </si>
  <si>
    <r>
      <rPr>
        <sz val="11"/>
        <color theme="1"/>
        <rFont val="Calibri"/>
        <family val="2"/>
      </rPr>
      <t>ŷ</t>
    </r>
    <r>
      <rPr>
        <sz val="11"/>
        <color theme="1"/>
        <rFont val="Calibri"/>
        <family val="2"/>
        <scheme val="minor"/>
      </rPr>
      <t xml:space="preserve"> = exp</t>
    </r>
  </si>
  <si>
    <r>
      <t xml:space="preserve">ln </t>
    </r>
    <r>
      <rPr>
        <sz val="11"/>
        <color theme="1"/>
        <rFont val="Calibri"/>
        <family val="2"/>
      </rPr>
      <t>ŷ</t>
    </r>
  </si>
  <si>
    <t>Equiprob</t>
  </si>
  <si>
    <t>Saturated</t>
  </si>
  <si>
    <t>t1 = 1 if Guilty, -1 if Innocent</t>
  </si>
  <si>
    <t>t2 = 1 if Low Fault, -1 if High Fault</t>
  </si>
  <si>
    <t>t3 = 1 if High Morality, -1 if Low Morality, 0 otherwise</t>
  </si>
  <si>
    <t>t4 = 1 if Neutral Morality, -1 if Low Morality, 0 otherwise</t>
  </si>
  <si>
    <t>%</t>
  </si>
  <si>
    <t>Count (y)</t>
  </si>
  <si>
    <r>
      <t>Count (</t>
    </r>
    <r>
      <rPr>
        <sz val="11"/>
        <color theme="1"/>
        <rFont val="Calibri"/>
        <family val="2"/>
      </rPr>
      <t>ŷ)</t>
    </r>
  </si>
  <si>
    <t>Expectation</t>
  </si>
  <si>
    <t>Prob</t>
  </si>
  <si>
    <t>Eqipiprob Model</t>
  </si>
  <si>
    <t>no</t>
  </si>
  <si>
    <t>No</t>
  </si>
  <si>
    <t>Observations and Marginals</t>
  </si>
  <si>
    <t>Ln of Observations and Marginals</t>
  </si>
  <si>
    <t>Therapy</t>
  </si>
  <si>
    <t>Outcome</t>
  </si>
  <si>
    <t>Std Res</t>
  </si>
  <si>
    <t>Log-linear regression (2-way)</t>
  </si>
  <si>
    <t>Log-linear regression (alternative coding)</t>
  </si>
  <si>
    <t>Log-linear regression (using Excel data analysis tool)</t>
  </si>
  <si>
    <t>Log-linear regression (all models)</t>
  </si>
  <si>
    <t>Independence Model (A, B)</t>
  </si>
  <si>
    <t>Saturated Model (AB)</t>
  </si>
  <si>
    <t>Equiprobability Model</t>
  </si>
  <si>
    <t>Cond Eq A</t>
  </si>
  <si>
    <t>Cond Eq B</t>
  </si>
  <si>
    <t>Independ</t>
  </si>
  <si>
    <t>Conditional Equiprob Model - Rows (A)</t>
  </si>
  <si>
    <t>Conditional Equiprobability Model - Columns (B)</t>
  </si>
  <si>
    <t>Conditional Equiprobability Model - Rows (A)</t>
  </si>
  <si>
    <t>Conditional Equiprob Model - Columns (B)</t>
  </si>
  <si>
    <t>Log-linear models for three-way contingency tables</t>
  </si>
  <si>
    <t>Therapy 3</t>
  </si>
  <si>
    <t>Cure</t>
  </si>
  <si>
    <t>Positive</t>
  </si>
  <si>
    <t>Negative</t>
  </si>
  <si>
    <t>Saturated Model (CGT)</t>
  </si>
  <si>
    <t>Iterative Proportional Fitting for Homogeneous Association Model</t>
  </si>
  <si>
    <t>Expected (IPF)</t>
  </si>
  <si>
    <t>Associations</t>
  </si>
  <si>
    <t>G</t>
  </si>
  <si>
    <t>C, G</t>
  </si>
  <si>
    <t>G, T</t>
  </si>
  <si>
    <t>C, T</t>
  </si>
  <si>
    <t>C, G, T</t>
  </si>
  <si>
    <t>CG</t>
  </si>
  <si>
    <t>GT</t>
  </si>
  <si>
    <t>CT</t>
  </si>
  <si>
    <t>C, GT</t>
  </si>
  <si>
    <t>G, CT</t>
  </si>
  <si>
    <t>T, CG</t>
  </si>
  <si>
    <t>CG, CT</t>
  </si>
  <si>
    <t>CG, GT</t>
  </si>
  <si>
    <t>CT, GT</t>
  </si>
  <si>
    <t>CG, GT, CT</t>
  </si>
  <si>
    <t>CGT</t>
  </si>
  <si>
    <t>C Model</t>
  </si>
  <si>
    <t>G Model</t>
  </si>
  <si>
    <t>T Model</t>
  </si>
  <si>
    <t>CG Model</t>
  </si>
  <si>
    <t>GT Model</t>
  </si>
  <si>
    <t>CT Model</t>
  </si>
  <si>
    <t>C, G Model</t>
  </si>
  <si>
    <t>G, T Model</t>
  </si>
  <si>
    <t>C, T Model</t>
  </si>
  <si>
    <t>CG, GT, CT Model</t>
  </si>
  <si>
    <t>C, G, T Model</t>
  </si>
  <si>
    <t>G, CT Model</t>
  </si>
  <si>
    <t>C, GT Model</t>
  </si>
  <si>
    <t>T, CG Model</t>
  </si>
  <si>
    <t>CG, GT Model</t>
  </si>
  <si>
    <t>CG, CT Model</t>
  </si>
  <si>
    <t>CT, GT Model</t>
  </si>
  <si>
    <t>Expectation for CG, CT model</t>
  </si>
  <si>
    <t>Expectations</t>
  </si>
  <si>
    <t>Expectation for C, GT model</t>
  </si>
  <si>
    <t>Expectation for C, G, T model</t>
  </si>
  <si>
    <t>Expectation for C, T model</t>
  </si>
  <si>
    <t>Expectation for CG, CT, GT model</t>
  </si>
  <si>
    <t>Seed</t>
  </si>
  <si>
    <t>Log-linear regression (calculating coefficients)</t>
  </si>
  <si>
    <t>tC</t>
  </si>
  <si>
    <t>tG</t>
  </si>
  <si>
    <t>tT1</t>
  </si>
  <si>
    <t>tT2</t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</si>
  <si>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</si>
  <si>
    <r>
      <t>t</t>
    </r>
    <r>
      <rPr>
        <vertAlign val="subscript"/>
        <sz val="11"/>
        <color theme="1"/>
        <rFont val="Calibri"/>
        <family val="2"/>
        <scheme val="minor"/>
      </rPr>
      <t>G</t>
    </r>
  </si>
  <si>
    <r>
      <t>t</t>
    </r>
    <r>
      <rPr>
        <vertAlign val="subscript"/>
        <sz val="11"/>
        <color theme="1"/>
        <rFont val="Calibri"/>
        <family val="2"/>
        <scheme val="minor"/>
      </rPr>
      <t>T1</t>
    </r>
  </si>
  <si>
    <r>
      <t>t</t>
    </r>
    <r>
      <rPr>
        <vertAlign val="subscript"/>
        <sz val="11"/>
        <color theme="1"/>
        <rFont val="Calibri"/>
        <family val="2"/>
        <scheme val="minor"/>
      </rPr>
      <t>T2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</si>
  <si>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G</t>
    </r>
  </si>
  <si>
    <t>tC * tG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</si>
  <si>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T1</t>
    </r>
  </si>
  <si>
    <t>tC * tT1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</si>
  <si>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T2</t>
    </r>
  </si>
  <si>
    <t xml:space="preserve"> ŷ</t>
  </si>
  <si>
    <t>tC * tT2</t>
  </si>
  <si>
    <t>=L18</t>
  </si>
  <si>
    <t>=L12-O7</t>
  </si>
  <si>
    <t>=L15-O7</t>
  </si>
  <si>
    <t>=L16-O7</t>
  </si>
  <si>
    <t>=L17-O7</t>
  </si>
  <si>
    <t>=L9-O7-O8-O9</t>
  </si>
  <si>
    <t>=L10-O7-O8-O10</t>
  </si>
  <si>
    <t>=L11-O7-O8-O11</t>
  </si>
  <si>
    <t>coefficient</t>
  </si>
  <si>
    <t>(CG, GT, CT) vs. (CG, GT)</t>
  </si>
  <si>
    <t>model 1</t>
  </si>
  <si>
    <t>model 2</t>
  </si>
  <si>
    <t xml:space="preserve"> χ2</t>
  </si>
  <si>
    <t>(CG, GT, CT) vs. (CG, CT)</t>
  </si>
  <si>
    <t>(CG, CT) vs. (T, CG)</t>
  </si>
  <si>
    <t>Odds ratios</t>
  </si>
  <si>
    <t>Odds Ratio (Therapy 1 vs. Therapy 2)</t>
  </si>
  <si>
    <t>Log of odds ratio</t>
  </si>
  <si>
    <t>Odds Ratio (Male vs. Female)</t>
  </si>
  <si>
    <t>Expected Data (Independence Model)</t>
  </si>
  <si>
    <t>Observed Data (Saturated Model)</t>
  </si>
  <si>
    <t>Log of Observed Data</t>
  </si>
  <si>
    <t>Chi-square and residuals</t>
  </si>
  <si>
    <t>Alternative coding for coefficients of two-way models</t>
  </si>
  <si>
    <t>Iterative Proportional Fitting Procedure</t>
  </si>
  <si>
    <t>Goal</t>
  </si>
  <si>
    <t>Row Adjustments</t>
  </si>
  <si>
    <t>Column Adjustments</t>
  </si>
  <si>
    <t xml:space="preserve">Iterative Proportional Fitting Procedure for creating independent </t>
  </si>
  <si>
    <t>Column</t>
  </si>
  <si>
    <t>Layer</t>
  </si>
  <si>
    <t>Specification of goal for IPF procedure</t>
  </si>
  <si>
    <t>Target</t>
  </si>
  <si>
    <t>Specification of a three-way table</t>
  </si>
  <si>
    <t>Row/Column Adjustments</t>
  </si>
  <si>
    <t>Row/Layer Adjustments</t>
  </si>
  <si>
    <t>Column/Layer Adjustments</t>
  </si>
  <si>
    <t>Row/Column Adjustment</t>
  </si>
  <si>
    <t>Row/Layer Adjustment</t>
  </si>
  <si>
    <t>Column/Layer Adjustment</t>
  </si>
  <si>
    <t>COUNTS</t>
  </si>
  <si>
    <t>Subjects</t>
  </si>
  <si>
    <t>COVARIANCE MATRIX</t>
  </si>
  <si>
    <t>EPSILON</t>
  </si>
  <si>
    <t># Subjects</t>
  </si>
  <si>
    <t># Groups</t>
  </si>
  <si>
    <t>Means of Var</t>
  </si>
  <si>
    <t>Matrix Mean</t>
  </si>
  <si>
    <t>SS Matrix</t>
  </si>
  <si>
    <t>SS Row Means</t>
  </si>
  <si>
    <t>GG Numerator</t>
  </si>
  <si>
    <t>GG Denominator</t>
  </si>
  <si>
    <t>GG Epsilon</t>
  </si>
  <si>
    <t>HF Numerator</t>
  </si>
  <si>
    <t>HF Denominator</t>
  </si>
  <si>
    <t>HF Epsilon</t>
  </si>
  <si>
    <t>Greenhouse and Geisser</t>
  </si>
  <si>
    <t>Huyhn and Feldt</t>
  </si>
  <si>
    <t>Judge</t>
  </si>
  <si>
    <t>Wine</t>
  </si>
  <si>
    <t>Sample covariance matrix</t>
  </si>
  <si>
    <t>1 week</t>
  </si>
  <si>
    <t>2 weeks</t>
  </si>
  <si>
    <t>3 weeks</t>
  </si>
  <si>
    <t>1-month</t>
  </si>
  <si>
    <t>2-months</t>
  </si>
  <si>
    <t>3-months</t>
  </si>
  <si>
    <t>T0 - T1</t>
  </si>
  <si>
    <t>T0 - T2</t>
  </si>
  <si>
    <t>T0 - T3</t>
  </si>
  <si>
    <t>T1 - T2</t>
  </si>
  <si>
    <t>T1 - T3</t>
  </si>
  <si>
    <t>T2 - T3</t>
  </si>
  <si>
    <t>T0</t>
  </si>
  <si>
    <t>T1</t>
  </si>
  <si>
    <t>T2</t>
  </si>
  <si>
    <t>T3</t>
  </si>
  <si>
    <t>ANOVA with matched samples - contrasts</t>
  </si>
  <si>
    <t>Diff</t>
  </si>
  <si>
    <t>std err</t>
  </si>
  <si>
    <t>t-score</t>
  </si>
  <si>
    <t>=AVERAGE(H22:K22)</t>
  </si>
  <si>
    <t>=AVERAGE(H30:K33)</t>
  </si>
  <si>
    <t>=AR5</t>
  </si>
  <si>
    <t>=COUNTA(G6:G20)</t>
  </si>
  <si>
    <t>=COUNTA(H5:K5)</t>
  </si>
  <si>
    <t>Testing for sphericity</t>
  </si>
  <si>
    <t>effect d</t>
  </si>
  <si>
    <t>effect r</t>
  </si>
  <si>
    <t>=SUMSQ(AL5:AO8)</t>
  </si>
  <si>
    <t>=SUMSQ(AL9:AO9)</t>
  </si>
  <si>
    <t>=(AR5*(AR6-AR7))^2</t>
  </si>
  <si>
    <t>=(AR5-1)*(AR8-2*AR5*AR9+AR5^2*AR7^2)</t>
  </si>
  <si>
    <t>=AR10/AR11</t>
  </si>
  <si>
    <t>=AR12</t>
  </si>
  <si>
    <t>=AR14*(AR15-1)*AR16-2</t>
  </si>
  <si>
    <t>=(AR15-1)*(AR14-1-(AR15-1)*AR16)</t>
  </si>
  <si>
    <t>=MIN(AR17/AR18,1)</t>
  </si>
  <si>
    <t>Effect size (omega squared) using GG epsilon</t>
  </si>
  <si>
    <t>Lower Bound</t>
  </si>
  <si>
    <t>=1/(AR15-1)</t>
  </si>
  <si>
    <t>MS Subj</t>
  </si>
  <si>
    <t>MS Grps</t>
  </si>
  <si>
    <t>MS Error</t>
  </si>
  <si>
    <t>Num</t>
  </si>
  <si>
    <t>Den</t>
  </si>
  <si>
    <t>Omega^2</t>
  </si>
  <si>
    <t>Calculation of GG Epsilon</t>
  </si>
  <si>
    <t>Estimated population matrix S</t>
  </si>
  <si>
    <t>=D13</t>
  </si>
  <si>
    <t>num</t>
  </si>
  <si>
    <t>=SUM(A18:D18)^2</t>
  </si>
  <si>
    <t>den</t>
  </si>
  <si>
    <t>=(G14-1)*SUMSQ(A14:D17)</t>
  </si>
  <si>
    <t>epsilon</t>
  </si>
  <si>
    <t>=G15/G16</t>
  </si>
  <si>
    <r>
      <rPr>
        <sz val="11"/>
        <color theme="1"/>
        <rFont val="Calibri"/>
        <family val="2"/>
      </rPr>
      <t xml:space="preserve">← </t>
    </r>
    <r>
      <rPr>
        <sz val="11"/>
        <color theme="1"/>
        <rFont val="Calibri"/>
        <family val="2"/>
        <scheme val="minor"/>
      </rPr>
      <t>diag</t>
    </r>
  </si>
  <si>
    <t>Eigenvalues of S</t>
  </si>
  <si>
    <t>=SUM(A22:C22)^2</t>
  </si>
  <si>
    <t>=(G22-1)*SUMSQ(A22:C22)</t>
  </si>
  <si>
    <t>=G23/G24</t>
  </si>
  <si>
    <t>Mauchly's test for sphericity</t>
  </si>
  <si>
    <t>Eigenvalues</t>
  </si>
  <si>
    <t>W</t>
  </si>
  <si>
    <t>test stat</t>
  </si>
  <si>
    <t xml:space="preserve">John, Nagao and Sugiura's test </t>
  </si>
  <si>
    <t>V</t>
  </si>
  <si>
    <t>Working Table</t>
  </si>
  <si>
    <t>Product</t>
  </si>
  <si>
    <t>Client</t>
  </si>
  <si>
    <t>Action</t>
  </si>
  <si>
    <t>Covariance Matrix (A)</t>
  </si>
  <si>
    <t>Covariance Matrix (B)</t>
  </si>
  <si>
    <t>Pre</t>
  </si>
  <si>
    <t>Post</t>
  </si>
  <si>
    <t>Sources of Variation</t>
  </si>
  <si>
    <t>A (Training)</t>
  </si>
  <si>
    <t>Sphericity</t>
  </si>
  <si>
    <t>GG</t>
  </si>
  <si>
    <t>A x C (Error)</t>
  </si>
  <si>
    <t>HF</t>
  </si>
  <si>
    <t>B (Skill)</t>
  </si>
  <si>
    <t>B x C (Error)</t>
  </si>
  <si>
    <t>variance</t>
  </si>
  <si>
    <t>C (Subject)</t>
  </si>
  <si>
    <t>A x B x C (Error)</t>
  </si>
  <si>
    <t>Covariance (AB)</t>
  </si>
  <si>
    <t>#A</t>
  </si>
  <si>
    <t>#B</t>
  </si>
  <si>
    <t>GG Num</t>
  </si>
  <si>
    <t>GG Den</t>
  </si>
  <si>
    <t>Effect size for ANOVA</t>
  </si>
  <si>
    <t>Client vs Training</t>
  </si>
  <si>
    <t>t-obs</t>
  </si>
  <si>
    <t>Between subject effects</t>
  </si>
  <si>
    <t>Between Subjects</t>
  </si>
  <si>
    <t>Between Subj</t>
  </si>
  <si>
    <t>Within Subjects</t>
  </si>
  <si>
    <t>Within Subj</t>
  </si>
  <si>
    <t>Huynh and Feldt</t>
  </si>
  <si>
    <t>Covariance matrices</t>
  </si>
  <si>
    <t>Average MSE</t>
  </si>
  <si>
    <t>Epsilon</t>
  </si>
  <si>
    <t>Young</t>
  </si>
  <si>
    <t>Middle</t>
  </si>
  <si>
    <t>Day 1</t>
  </si>
  <si>
    <t>Day 2</t>
  </si>
  <si>
    <t>Day 3</t>
  </si>
  <si>
    <t>Day 4</t>
  </si>
  <si>
    <t>Day 5</t>
  </si>
  <si>
    <t>Days</t>
  </si>
  <si>
    <t>Days x S w/i Age</t>
  </si>
  <si>
    <t>Subj w/i Age</t>
  </si>
  <si>
    <t>Days x Age</t>
  </si>
  <si>
    <t>Bet Days x Age</t>
  </si>
  <si>
    <t xml:space="preserve">   Subj w/i Age (Error)</t>
  </si>
  <si>
    <t xml:space="preserve">   Days</t>
  </si>
  <si>
    <t xml:space="preserve">   D x S w/i Age (Error)</t>
  </si>
  <si>
    <t>Age x Day 1</t>
  </si>
  <si>
    <t>Age x Day 5</t>
  </si>
  <si>
    <t># Days</t>
  </si>
  <si>
    <t># Age Groups</t>
  </si>
  <si>
    <t>ANOVA - Young</t>
  </si>
  <si>
    <t>ANOVA - Middle</t>
  </si>
  <si>
    <t>ANOVA - Old</t>
  </si>
  <si>
    <t>ANOVA with matched samples -1 within-subjects factor</t>
  </si>
  <si>
    <t>ANOVA with matched samples - 1 within-subjects factor</t>
  </si>
  <si>
    <t>ANOVA with matched samples - 2 within-subjects factors</t>
  </si>
  <si>
    <t>ANOVA with matched samples - 2 within-subjects factors (contrasts)</t>
  </si>
  <si>
    <t>ANOVA with matched samples - 1 within-subjects factor and 1 between-subjects factor</t>
  </si>
  <si>
    <t>Pre vs Post</t>
  </si>
  <si>
    <t xml:space="preserve">   Age groups</t>
  </si>
  <si>
    <t>Y 1</t>
  </si>
  <si>
    <t>Y 2</t>
  </si>
  <si>
    <t xml:space="preserve">Y 4 </t>
  </si>
  <si>
    <t>Y 5</t>
  </si>
  <si>
    <t>Y 3</t>
  </si>
  <si>
    <t>M 2</t>
  </si>
  <si>
    <t>M 3</t>
  </si>
  <si>
    <t xml:space="preserve">M 4 </t>
  </si>
  <si>
    <t>M 5</t>
  </si>
  <si>
    <t>M 1</t>
  </si>
  <si>
    <t>O 1</t>
  </si>
  <si>
    <t>O 2</t>
  </si>
  <si>
    <t>O 3</t>
  </si>
  <si>
    <t xml:space="preserve">O 4 </t>
  </si>
  <si>
    <t>O 5</t>
  </si>
  <si>
    <t>Levene's</t>
  </si>
  <si>
    <t>Between-subjects</t>
  </si>
  <si>
    <t>Box's Test</t>
  </si>
  <si>
    <t># matrices</t>
  </si>
  <si>
    <t># col/rows</t>
  </si>
  <si>
    <t># subjects</t>
  </si>
  <si>
    <t>det</t>
  </si>
  <si>
    <t>ln det</t>
  </si>
  <si>
    <t>M</t>
  </si>
  <si>
    <t>c0</t>
  </si>
  <si>
    <t>df0</t>
  </si>
  <si>
    <t>F+</t>
  </si>
  <si>
    <t>a+</t>
  </si>
  <si>
    <t>a-</t>
  </si>
  <si>
    <t>F-</t>
  </si>
  <si>
    <t>(m-1)*ln det</t>
  </si>
  <si>
    <t>1/(m-1)</t>
  </si>
  <si>
    <t>1/(m-1)^2</t>
  </si>
  <si>
    <t xml:space="preserve">   Days x Age</t>
  </si>
  <si>
    <t>ANOVA - Young (corrected with GG epsilon)</t>
  </si>
  <si>
    <t xml:space="preserve">Corrected </t>
  </si>
  <si>
    <t>ANOVA - within-subjects simple effects</t>
  </si>
  <si>
    <t>ANOVA - Middle (corrected with GG epsilon)</t>
  </si>
  <si>
    <t>Row 1</t>
  </si>
  <si>
    <t>Row 2</t>
  </si>
  <si>
    <t>Row 3</t>
  </si>
  <si>
    <t>Row 4</t>
  </si>
  <si>
    <t>Row 5</t>
  </si>
  <si>
    <t>Row 6</t>
  </si>
  <si>
    <t>Row 7</t>
  </si>
  <si>
    <t>Column 1</t>
  </si>
  <si>
    <t>Column 2</t>
  </si>
  <si>
    <t>Column 3</t>
  </si>
  <si>
    <t>Column 4</t>
  </si>
  <si>
    <t>Column 5</t>
  </si>
  <si>
    <t>ANOVA - Old (corrected with HF epsilon)</t>
  </si>
  <si>
    <t>Alternative calculation of Error terms:</t>
  </si>
  <si>
    <t>Simple Effects (between-subjects)</t>
  </si>
  <si>
    <t>x*t1</t>
  </si>
  <si>
    <t>x*t2</t>
  </si>
  <si>
    <t>x*t3</t>
  </si>
  <si>
    <r>
      <t>SS</t>
    </r>
    <r>
      <rPr>
        <vertAlign val="sub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(for X)</t>
    </r>
  </si>
  <si>
    <t>ANCOVA</t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</si>
  <si>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</si>
  <si>
    <t>Regression (adj)</t>
  </si>
  <si>
    <t>Group</t>
  </si>
  <si>
    <t>Total (adj)</t>
  </si>
  <si>
    <t>SUMMARY OUTPUT (Reduced model - x, t)</t>
  </si>
  <si>
    <t>SUMMARY OUTPUT (Reduced model - y, t)</t>
  </si>
  <si>
    <t>SUMMARY OUTPUT (Reduced model - y, x)</t>
  </si>
  <si>
    <t>Covariate</t>
  </si>
  <si>
    <t>Treatment (adj)</t>
  </si>
  <si>
    <t>slope</t>
  </si>
  <si>
    <r>
      <t>b</t>
    </r>
    <r>
      <rPr>
        <vertAlign val="subscript"/>
        <sz val="11"/>
        <color theme="1"/>
        <rFont val="Calibri"/>
        <family val="2"/>
        <scheme val="minor"/>
      </rPr>
      <t>W</t>
    </r>
  </si>
  <si>
    <t>SUMMARY OUTPUT (Complete model - y, x, t, x*t)</t>
  </si>
  <si>
    <t>ANCOVA (Reduced)</t>
  </si>
  <si>
    <t>ANCOVA (Complete)</t>
  </si>
  <si>
    <t>ANOVA (Reduced model - x, t)</t>
  </si>
  <si>
    <t>ANOVA (Reduced model - y, t)</t>
  </si>
  <si>
    <t>ANOVA (Reduced model - y, x)</t>
  </si>
  <si>
    <t>Creation of ANCOVA models</t>
  </si>
  <si>
    <t>ANOVA (Full model - y, x, t)</t>
  </si>
  <si>
    <t>ANCOVA (Reduced) - using slope</t>
  </si>
  <si>
    <t>Adjusted means</t>
  </si>
  <si>
    <t xml:space="preserve"> Y (adj)</t>
  </si>
  <si>
    <t>Scatter plots</t>
  </si>
  <si>
    <t>Test for homogeneity of regression slopes</t>
  </si>
  <si>
    <t>Slopes</t>
  </si>
  <si>
    <t>SUMMARY OUTPUT (Full model - y, x, t)</t>
  </si>
  <si>
    <t>Y (adj)</t>
  </si>
  <si>
    <t>ANCOVA Contrasts</t>
  </si>
  <si>
    <t>SS * slope</t>
  </si>
  <si>
    <t>Anova: Single Factor (Reading Score)</t>
  </si>
  <si>
    <t>Reading Score</t>
  </si>
  <si>
    <t>Family Income</t>
  </si>
  <si>
    <t>Anova: Single Factor (Family Income)</t>
  </si>
  <si>
    <t>Between (adj)</t>
  </si>
  <si>
    <t>Within (adj)</t>
  </si>
  <si>
    <t>Treatment</t>
  </si>
  <si>
    <t>ANOVA (Reading Score)</t>
  </si>
  <si>
    <t>ANOVA (Family Income)</t>
  </si>
  <si>
    <t>Mean y (adj)</t>
  </si>
  <si>
    <t>Mean x</t>
  </si>
  <si>
    <t>Sample Size</t>
  </si>
  <si>
    <t>MS Res(y,x,t)</t>
  </si>
  <si>
    <t>SS Res(x,t)</t>
  </si>
  <si>
    <t>eta-squared</t>
  </si>
  <si>
    <t>partial eta-squared</t>
  </si>
  <si>
    <t>Effect size - treatment</t>
  </si>
  <si>
    <t>Effect size - covariate</t>
  </si>
  <si>
    <t>Effect size - covariate (from regression coefficients)</t>
  </si>
  <si>
    <t>Effect size r</t>
  </si>
  <si>
    <t>ANCOVA - Regression Approach</t>
  </si>
  <si>
    <t>ANCOVA - ANOVA Approach</t>
  </si>
  <si>
    <t xml:space="preserve">Effect sizes </t>
  </si>
  <si>
    <t>ANCOVA effect sizes - omnibus test</t>
  </si>
  <si>
    <t>ANCOVA effect sizes - contrasts</t>
  </si>
  <si>
    <t>crit</t>
  </si>
  <si>
    <t>RMSSE</t>
  </si>
  <si>
    <t>Omega Sq</t>
  </si>
  <si>
    <t>Logistic Regression</t>
  </si>
  <si>
    <t>Survived</t>
  </si>
  <si>
    <t>Died</t>
  </si>
  <si>
    <t>P(E)</t>
  </si>
  <si>
    <t>Odds(E)</t>
  </si>
  <si>
    <t>X Variable 1</t>
  </si>
  <si>
    <t>logit(p)</t>
  </si>
  <si>
    <t>LL0</t>
  </si>
  <si>
    <t>LL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</si>
  <si>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</si>
  <si>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Sigmoid Curve</t>
  </si>
  <si>
    <t>Test using RSquareTest</t>
  </si>
  <si>
    <t>=ABS(B4-C4)</t>
  </si>
  <si>
    <t>=(B5-C5)^2</t>
  </si>
  <si>
    <t>=1/B6+1/C6</t>
  </si>
  <si>
    <t>=SQRT(D7*(D6+D5/D8))</t>
  </si>
  <si>
    <t>=D4/D9</t>
  </si>
  <si>
    <t>=TDIST(D10,D11,2)</t>
  </si>
  <si>
    <t>=TINV(D12,D11)</t>
  </si>
  <si>
    <t>=IF(D13&lt;D12,"yes","no")</t>
  </si>
  <si>
    <t>H</t>
  </si>
  <si>
    <t>diff</t>
  </si>
  <si>
    <t>Friedman Test</t>
  </si>
  <si>
    <t>Red</t>
  </si>
  <si>
    <t>Rose'</t>
  </si>
  <si>
    <r>
      <t>SS</t>
    </r>
    <r>
      <rPr>
        <vertAlign val="subscript"/>
        <sz val="11"/>
        <color theme="1"/>
        <rFont val="Calibri"/>
        <family val="2"/>
        <scheme val="minor"/>
      </rPr>
      <t>Col</t>
    </r>
  </si>
  <si>
    <t>k(k+1)/12</t>
  </si>
  <si>
    <t>Q</t>
  </si>
  <si>
    <t>Corrected version</t>
  </si>
  <si>
    <t>Anova: Two-Factor Without Replication (Young)</t>
  </si>
  <si>
    <t>Anova: Two-Factor Without Replication (Middle)</t>
  </si>
  <si>
    <t>Anova: Two-Factor Without Replication (Old)</t>
  </si>
  <si>
    <t>ANOVA with repeated measures, use of data analysis tools</t>
  </si>
  <si>
    <t>Rems</t>
  </si>
  <si>
    <t>Logistic Regression using Solver</t>
  </si>
  <si>
    <t>LL1</t>
  </si>
  <si>
    <t>E = event that the person survived</t>
  </si>
  <si>
    <t>Inter</t>
  </si>
  <si>
    <t>Temp</t>
  </si>
  <si>
    <t>Water</t>
  </si>
  <si>
    <t>p-Obs</t>
  </si>
  <si>
    <t>p-Pred</t>
  </si>
  <si>
    <t>Coeff</t>
  </si>
  <si>
    <t>R-Sq (L)</t>
  </si>
  <si>
    <t>R-Sq (CS)</t>
  </si>
  <si>
    <t>R-Sq (N)</t>
  </si>
  <si>
    <t>Chi-Sq</t>
  </si>
  <si>
    <t>Concise Table of Contents</t>
  </si>
  <si>
    <t>Log-Linear Regression</t>
  </si>
  <si>
    <t>ANOVA with Repeated Measures</t>
  </si>
  <si>
    <t>Analysis of Covariance (ANCOVA)</t>
  </si>
  <si>
    <t>Appendices</t>
  </si>
  <si>
    <t>Tables</t>
  </si>
  <si>
    <t>Studentized Q Table (table 1)</t>
  </si>
  <si>
    <t>Studentized Q Table (table 2)</t>
  </si>
  <si>
    <t>Basic concepts</t>
  </si>
  <si>
    <t>Interative proportional fitting procedure</t>
  </si>
  <si>
    <t>Iterative Proportional Fitting Procedure, 3-way (Example 3)</t>
  </si>
  <si>
    <t>Iterative Proportional Fitting Procedure, 2-way (Example 1)</t>
  </si>
  <si>
    <t>Finding coefficients using Excel's Solver</t>
  </si>
  <si>
    <t>Finding coefficients using Newton's method</t>
  </si>
  <si>
    <t>Logistic Regression (Example 1)</t>
  </si>
  <si>
    <t>Sigmoid curve (Figure 1)</t>
  </si>
  <si>
    <t>Solution using Excel's Solver (Example 1)</t>
  </si>
  <si>
    <t>Solution using Newton's Method (Example 1)</t>
  </si>
  <si>
    <t>Two-way contingency tables</t>
  </si>
  <si>
    <t>Three-way contingency tables</t>
  </si>
  <si>
    <t>Two-way log-linear saturated model (Example 1)</t>
  </si>
  <si>
    <t>Two-way log-linear independence model (Example 2)</t>
  </si>
  <si>
    <t>Marginal averages for two-way models (Figure 3)</t>
  </si>
  <si>
    <t>Best fit model</t>
  </si>
  <si>
    <t>Summary of all two-way log-linear models (Figure 1)</t>
  </si>
  <si>
    <t>Other two-way log-linear models (Figure 3)</t>
  </si>
  <si>
    <t>Coefficients via Excel regression data analysis tool (Figure 3)</t>
  </si>
  <si>
    <t>Saturated model for two-way contingency tables</t>
  </si>
  <si>
    <t>Independence model for two-way contingency tables</t>
  </si>
  <si>
    <t>Other models for two-way contingency tables</t>
  </si>
  <si>
    <t>Best fit model for two-way contingency tables</t>
  </si>
  <si>
    <t>Three-way contingency tables (Example 1)</t>
  </si>
  <si>
    <t>One within subjects factor</t>
  </si>
  <si>
    <t>ANOVA with repeated measures, 1 treatment variable (Example 1)</t>
  </si>
  <si>
    <t>Contrasts for ANOVA with repeated measures (Example 2)</t>
  </si>
  <si>
    <t>Tests for sphericity (Example 1)</t>
  </si>
  <si>
    <t>ANOVA with repeated measures corrected for sphericity (Example 2)</t>
  </si>
  <si>
    <t>One within subjects factor and one between subjects factor</t>
  </si>
  <si>
    <t>ANOVA with repeated measures, 2 within-subjects factors (Example 1)</t>
  </si>
  <si>
    <t>Friedman's test (Example 1)</t>
  </si>
  <si>
    <t>Friedman test</t>
  </si>
  <si>
    <t>Intraclass correlation</t>
  </si>
  <si>
    <t>Representation of a 3-way contingency table (Figure 5)</t>
  </si>
  <si>
    <t>Using a regression approach</t>
  </si>
  <si>
    <t>ANCOVA data (Example 1)</t>
  </si>
  <si>
    <t>ANCOVA regression models (Figure 2)</t>
  </si>
  <si>
    <t>ANCOVA results (Figure 3 and 4)</t>
  </si>
  <si>
    <t>ANCOVA adjusted means (Figure 6 and 7)</t>
  </si>
  <si>
    <t>ANCOVA full model (Figure 5)</t>
  </si>
  <si>
    <t>Assumptions</t>
  </si>
  <si>
    <t>ANOVA approach</t>
  </si>
  <si>
    <t>Contrasts</t>
  </si>
  <si>
    <t>Additional information about sphericity</t>
  </si>
  <si>
    <t>Calculation of GG and HF epsilon and lower bound correction (Figure 3)</t>
  </si>
  <si>
    <t>GG epsilon calculation (Example 1)</t>
  </si>
  <si>
    <t>GG epsilon calculation using eigenvalues (Example 2)</t>
  </si>
  <si>
    <t>Mauchly's test for sphericity (Example 3)</t>
  </si>
  <si>
    <t>ANOVA with repeated measures, 1 within and 1 between subjects (Example 1)</t>
  </si>
  <si>
    <t>Assumptions between subjects: Boxplot (Figure 5)</t>
  </si>
  <si>
    <t>Assumptions between subjects: Levene's test (Figure 6)</t>
  </si>
  <si>
    <t>Assumptions within subjects: Boxplot (Figure 7)</t>
  </si>
  <si>
    <t>Assumptions within subjects: Levene's test (Figure 8)</t>
  </si>
  <si>
    <t>Within subjects covariance matrices (Figure 9)</t>
  </si>
  <si>
    <t>Within subjects GG and HF epsilon factors (Figure 10)</t>
  </si>
  <si>
    <t>Within subjects ANOVA corrected for sphericity (Figure 11)</t>
  </si>
  <si>
    <t>Within subjects simple effects ANOVA (Figure 12)</t>
  </si>
  <si>
    <t>Within subjects GG and HF epsilon factors for Young (Figure 13)</t>
  </si>
  <si>
    <t>Summary of within subjects GG and HF epsilon factors (Figure 14)</t>
  </si>
  <si>
    <t>Corrected within subjects simple effects ANOVA (Figure 15)</t>
  </si>
  <si>
    <t>Between subjects simple effects ANOVA (Figure 16)</t>
  </si>
  <si>
    <t>Corrected between subjects simple effects ANOVA (Figure 18)</t>
  </si>
  <si>
    <t>ANCOVA assumptions (Example 1, Figure 1 and 2)</t>
  </si>
  <si>
    <t>ANCOVA assumptions - homogeneous regression slopes (Figure 4)</t>
  </si>
  <si>
    <t>ANCOVA complete model (Figure 3)</t>
  </si>
  <si>
    <t>ANCOVA regression approach (Figure 1)</t>
  </si>
  <si>
    <t>ANOVA approach (Example 1)</t>
  </si>
  <si>
    <t>ANCOVA Contrasts (Example 1)</t>
  </si>
  <si>
    <t>Residuals and chi-square for two-way model (Figure 2)</t>
  </si>
  <si>
    <t>Box's test for equivalence of covariance matrices (Example 1 of Detail)</t>
  </si>
  <si>
    <t>Summary of all three-way log-linear models (Figure 1)</t>
  </si>
  <si>
    <t>Odds ratio for three-way log-linear models (Figure 2)</t>
  </si>
  <si>
    <t>Coefficients for three-way log-linear model (Figure 3)</t>
  </si>
  <si>
    <t>Iterative proportional fitting for homogeneous case (Figure 1)</t>
  </si>
  <si>
    <t>Homogeneous association model</t>
  </si>
  <si>
    <t>Expectation for 3-way models (various figures)</t>
  </si>
  <si>
    <t>Residuals and chi-square for three-way models (Figure 2 of Conditional Independence Model)</t>
  </si>
  <si>
    <t>Independence and non-comprehensive models</t>
  </si>
  <si>
    <t>Logistic Regression using Solver and Real Statistics Resource Pack</t>
  </si>
  <si>
    <t>% Correct</t>
  </si>
  <si>
    <t>Covariance Matrix</t>
  </si>
  <si>
    <t>coeff b</t>
  </si>
  <si>
    <t>Wald</t>
  </si>
  <si>
    <t>exp(b)</t>
  </si>
  <si>
    <t>Now use Excel's Solver as follows to complete the analysis:</t>
  </si>
  <si>
    <t>- Set Objectives: sum of LL; To: Max</t>
  </si>
  <si>
    <t>- By Changing Variable Cells: Coeff range</t>
  </si>
  <si>
    <t>- Make Unconstrained Variabes Non-Negative: uncheck this option</t>
  </si>
  <si>
    <t>- Select a Solving Method: GRG Nonlinear</t>
  </si>
  <si>
    <t>Logistic Regression using Newton's Method and Real Statistics Resource Pack</t>
  </si>
  <si>
    <t>Iteration Matrix</t>
  </si>
  <si>
    <t>Iteration 0</t>
  </si>
  <si>
    <t>Logistic Regression using Newton Method</t>
  </si>
  <si>
    <t>Iteration 1</t>
  </si>
  <si>
    <t>Iteration 2</t>
  </si>
  <si>
    <t>Iteration 3</t>
  </si>
  <si>
    <t>Iteration 4</t>
  </si>
  <si>
    <t>Iteration 5</t>
  </si>
  <si>
    <t>Logistic Regression using Real Statistics Resource Pack with Newton option</t>
  </si>
  <si>
    <t>Logistic Regression using raw data</t>
  </si>
  <si>
    <t>Temperature only model</t>
  </si>
  <si>
    <t>Water only model</t>
  </si>
  <si>
    <t>T x W</t>
  </si>
  <si>
    <t>Logistic Regression data analysis tool - coefficient table (Example 1)</t>
  </si>
  <si>
    <t>Testing coefficients</t>
  </si>
  <si>
    <t>Fit of the model</t>
  </si>
  <si>
    <t>Logistic Regression data analysis tool using Newton's method (Example 1)</t>
  </si>
  <si>
    <t>Comparing models</t>
  </si>
  <si>
    <t>Logistic Regression data analysis tool using raw data (Example 3)</t>
  </si>
  <si>
    <t>Log-linear ratio (Example 2)</t>
  </si>
  <si>
    <t>Basic model (Example 4)</t>
  </si>
  <si>
    <t>Reduced models (Example 4)</t>
  </si>
  <si>
    <t>Interaction model (Example 4)</t>
  </si>
  <si>
    <t>Population Covariance Matrix</t>
  </si>
  <si>
    <t>u</t>
  </si>
  <si>
    <t>Shapiro-Wilk Test</t>
  </si>
  <si>
    <t>normal</t>
  </si>
  <si>
    <t>c2</t>
  </si>
  <si>
    <t>1/nn</t>
  </si>
  <si>
    <t>1/nn^2</t>
  </si>
  <si>
    <t>nn*ln det</t>
  </si>
  <si>
    <t>nn = n -1</t>
  </si>
  <si>
    <t>Real Statistics data analysis tool</t>
  </si>
  <si>
    <t>coeff</t>
  </si>
  <si>
    <t>Regression Analysis</t>
  </si>
  <si>
    <t>OVERALL FIT</t>
  </si>
  <si>
    <t>q-stat</t>
  </si>
  <si>
    <t>Q TEST</t>
  </si>
  <si>
    <t>means</t>
  </si>
  <si>
    <t>Interclass correlation</t>
  </si>
  <si>
    <t>Hosmer-Lemeshow Test</t>
  </si>
  <si>
    <t>Hosmer-Lemeshow Test (Example 1)</t>
  </si>
  <si>
    <t>Male Exp</t>
  </si>
  <si>
    <t>Fem Exp</t>
  </si>
  <si>
    <t>Homer-Lemeshow</t>
  </si>
  <si>
    <t>HL Stat</t>
  </si>
  <si>
    <t>HL stat</t>
  </si>
  <si>
    <t>Regression Coeff</t>
  </si>
  <si>
    <t>20-21</t>
  </si>
  <si>
    <t>Revised Version</t>
  </si>
  <si>
    <t>Hosmer</t>
  </si>
  <si>
    <t>Success</t>
  </si>
  <si>
    <t>Failure</t>
  </si>
  <si>
    <t>Logistic Regression data analysis tool using Solver (Example 1)</t>
  </si>
  <si>
    <t>More powerful test for sphericity, John, Nagao and Sugiura's test  (Example 4)</t>
  </si>
  <si>
    <t>Input data in standard format</t>
  </si>
  <si>
    <t>COUNT</t>
  </si>
  <si>
    <t>VARIANCE</t>
  </si>
  <si>
    <t>Input data with rows and columns exchanged</t>
  </si>
  <si>
    <t>Two Factor Anova</t>
  </si>
  <si>
    <t>Input in Excel Anova format</t>
  </si>
  <si>
    <t>Suc-Pred</t>
  </si>
  <si>
    <t>Fail-Pred</t>
  </si>
  <si>
    <t>Classification Table</t>
  </si>
  <si>
    <t>Suc-Obs</t>
  </si>
  <si>
    <t>Fail-Obs</t>
  </si>
  <si>
    <t>Cutoff</t>
  </si>
  <si>
    <t>ROC Table</t>
  </si>
  <si>
    <t>Fail-Cum</t>
  </si>
  <si>
    <t>Suc-Cum</t>
  </si>
  <si>
    <t>FPR</t>
  </si>
  <si>
    <t>TPR</t>
  </si>
  <si>
    <t>AUC</t>
  </si>
  <si>
    <t>Converge</t>
  </si>
  <si>
    <t>For display purposes only</t>
  </si>
  <si>
    <t>Compare with Temp + Water</t>
  </si>
  <si>
    <t>Compare with Temp</t>
  </si>
  <si>
    <t>Classification Table and ROC Curve</t>
  </si>
  <si>
    <t>Classification Table (Example 1)</t>
  </si>
  <si>
    <t>ROC Table and ROC Curve (Example 1)</t>
  </si>
  <si>
    <t>TP</t>
  </si>
  <si>
    <t>FP</t>
  </si>
  <si>
    <t>FN</t>
  </si>
  <si>
    <t>TN</t>
  </si>
  <si>
    <t>PP</t>
  </si>
  <si>
    <t>PN</t>
  </si>
  <si>
    <t>OP</t>
  </si>
  <si>
    <t>ON</t>
  </si>
  <si>
    <t>Tot</t>
  </si>
  <si>
    <t>Accuracy</t>
  </si>
  <si>
    <t>Multinomial Logistic Regression</t>
  </si>
  <si>
    <t>Forecast</t>
  </si>
  <si>
    <t>Rem</t>
  </si>
  <si>
    <t>Pred</t>
  </si>
  <si>
    <t>Coefficient Table</t>
  </si>
  <si>
    <t>Chi-sq Test</t>
  </si>
  <si>
    <t>LL-const</t>
  </si>
  <si>
    <t>Dosage</t>
  </si>
  <si>
    <t>Sick</t>
  </si>
  <si>
    <t>Dead</t>
  </si>
  <si>
    <t>using binary logistic regression coefficients</t>
  </si>
  <si>
    <t>using Solver</t>
  </si>
  <si>
    <t>using Newton's Method</t>
  </si>
  <si>
    <t>Using summary</t>
  </si>
  <si>
    <t>Using raw data</t>
  </si>
  <si>
    <t>MLogitRSquare</t>
  </si>
  <si>
    <t>MLogitTest</t>
  </si>
  <si>
    <t>Using binary logistic regression</t>
  </si>
  <si>
    <t>Using Solver</t>
  </si>
  <si>
    <t>Using Newton's method</t>
  </si>
  <si>
    <t>Logistic Regression (Cured + Dead)</t>
  </si>
  <si>
    <t>one step using Newton's Method</t>
  </si>
  <si>
    <t>One step using Newton's method</t>
  </si>
  <si>
    <t>ICC</t>
  </si>
  <si>
    <t>=LogitCoeff(A4:D15,TRUE)</t>
  </si>
  <si>
    <t>=LogitCoeff(A4:D15)</t>
  </si>
  <si>
    <t>=LogitTest(A4:D15,1)</t>
  </si>
  <si>
    <t>=LogitRSquare(A4:D15,TRUE)</t>
  </si>
  <si>
    <t>p-Male</t>
  </si>
  <si>
    <t>=LogitPred(I19:J19,$A$4:$D$15)</t>
  </si>
  <si>
    <t>=LogitPredC(I25:J25,$G$18:$G$20)</t>
  </si>
  <si>
    <t>=LogitCoeff(A4:C52,TRUE,TRUE)</t>
  </si>
  <si>
    <t>=LogitPred(N37:O37,$A$4:$C$52,TRUE)</t>
  </si>
  <si>
    <t>=LogitPredC(N43:O43,$F$37:$F$39)</t>
  </si>
  <si>
    <t>=LogitPred(N49:O49,$E$6:$H$11)</t>
  </si>
  <si>
    <t>=LogitTest(A4:C52,TRUE,TRUE)</t>
  </si>
  <si>
    <t>=LogitSummary(A4:C52)</t>
  </si>
  <si>
    <t>Log-Likelihood</t>
  </si>
  <si>
    <t>Indep Variables</t>
  </si>
  <si>
    <t>Forecasted Values</t>
  </si>
  <si>
    <t>Predicted Probabilities</t>
  </si>
  <si>
    <t>Logistic Regression (Sick + Dead)</t>
  </si>
  <si>
    <t xml:space="preserve">=MLogitExtract(G4:K16,2,”2,0”) </t>
  </si>
  <si>
    <t>=U17+V17</t>
  </si>
  <si>
    <t>=IF(AB9&lt;AB10,"yes","no")</t>
  </si>
  <si>
    <t>=SUMPRODUCT(I17:K17,LN(I17:K17/L17))+V17</t>
  </si>
  <si>
    <t>Inverse of Covariance Matrix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</si>
  <si>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(Y-P)</t>
    </r>
  </si>
  <si>
    <t>Inverse of Covariance</t>
  </si>
  <si>
    <t>Revised Coefficients</t>
  </si>
  <si>
    <t>Initial Coefficients</t>
  </si>
  <si>
    <t>LL const</t>
  </si>
  <si>
    <t>MLogitPred</t>
  </si>
  <si>
    <t>MLogitPredC</t>
  </si>
  <si>
    <t>Multinomial Logistic Regression (Cured + Dead)</t>
  </si>
  <si>
    <t>Multinomial Logistic Regression (Sick + Dead)</t>
  </si>
  <si>
    <t>Finding coefficients using Solver</t>
  </si>
  <si>
    <t>Multinomial and Ordinal Logistic Regression</t>
  </si>
  <si>
    <t>Interaction Terms</t>
  </si>
  <si>
    <t>Dos</t>
  </si>
  <si>
    <t>Gen</t>
  </si>
  <si>
    <t>MLogitSummary (w/o headings)</t>
  </si>
  <si>
    <t>MLogitSummary (with headings)</t>
  </si>
  <si>
    <t>=MLogitCoeff(A5:E16,2,TRUE)</t>
  </si>
  <si>
    <t>=MLogitCoeff(A5:E16,2,FALSE,TRUE)</t>
  </si>
  <si>
    <t>=MLogitCoeff(A5:E16,2,TRUE,TRUE)</t>
  </si>
  <si>
    <t>=MLogitCoeff(MLogitSelect(A4:E16,2,"1,2,1*2",TRUE),2,TRUE,TRUE)</t>
  </si>
  <si>
    <t>=MLogitCoeff(MLogitSelect(A5:E16,2,"1,2,1*2"),2,TRUE)</t>
  </si>
  <si>
    <t>=MLogitCoeff(MLogitSelect(A5:E16,2,"1,2,1*2"),2)</t>
  </si>
  <si>
    <t>=MLogitCoeff(MLogitSelect(A4:E16,2,"1,2,1*2",TRUE),2,FALSE,TRUE)</t>
  </si>
  <si>
    <t>=MLogitCoeff(A4:C53,0,TRUE,TRUE)</t>
  </si>
  <si>
    <t>=MLogitCoeff(A5:C53,0,TRUE)</t>
  </si>
  <si>
    <t>=LogitSummary(A3:C52,TRUE)</t>
  </si>
  <si>
    <t>=LogitCoeff(A3:C52,TRUE,TRUE,TRUE)</t>
  </si>
  <si>
    <t>=LogitCoeff(A4:D15,TRUE,,TRUE)</t>
  </si>
  <si>
    <t>Multinomial Logistic Regression (Sick + Dead), formula with headings</t>
  </si>
  <si>
    <t>Ordered Logistic Regression</t>
  </si>
  <si>
    <t>Pred Cum Prob</t>
  </si>
  <si>
    <t>gender</t>
  </si>
  <si>
    <t>age</t>
  </si>
  <si>
    <t>total</t>
  </si>
  <si>
    <t>1+2+3</t>
  </si>
  <si>
    <t>Sort + Chart</t>
  </si>
  <si>
    <t>using binary model coefficients</t>
  </si>
  <si>
    <t>using proportional odds model and Solver</t>
  </si>
  <si>
    <t>Ordinal logistic regression</t>
  </si>
  <si>
    <t>HL-Suc</t>
  </si>
  <si>
    <t>HL-Fail</t>
  </si>
  <si>
    <t>Real Statistics Functions (Example 1)</t>
  </si>
  <si>
    <t>Real Statistics Functions</t>
  </si>
  <si>
    <t>Creation of the Interaction Model</t>
  </si>
  <si>
    <t>2+3+4</t>
  </si>
  <si>
    <t>1+2</t>
  </si>
  <si>
    <t>3+4</t>
  </si>
  <si>
    <t>Multinomial logistic regression</t>
  </si>
  <si>
    <t>Using raw data (Figure 3)</t>
  </si>
  <si>
    <t>Proportional odds model</t>
  </si>
  <si>
    <t>Multinomial logistic regression model</t>
  </si>
  <si>
    <t>MSR-MSE</t>
  </si>
  <si>
    <t>kMSE</t>
  </si>
  <si>
    <t>k(MSC-MSE)/n</t>
  </si>
  <si>
    <t>v</t>
  </si>
  <si>
    <t>w</t>
  </si>
  <si>
    <t>g</t>
  </si>
  <si>
    <t>h</t>
  </si>
  <si>
    <t>d'</t>
  </si>
  <si>
    <t>=AA8</t>
  </si>
  <si>
    <t>=MAX(1,ROUND(AB21,0))</t>
  </si>
  <si>
    <t>=FINV(AB15/2,AB16-1,AB22)</t>
  </si>
  <si>
    <t>=FINV(AB15/2,AB23,AB16-1)</t>
  </si>
  <si>
    <t>=I23+1</t>
  </si>
  <si>
    <t>=I24+1</t>
  </si>
  <si>
    <t>=(AB17-1)*(AB16-1)*(AB17*I29*AB19+AB18)^2/((AB16-1)*(AB17*I29*AB19)^2+AB18^2)</t>
  </si>
  <si>
    <t>=AB16*(1+(AB17-1)*I29)-AB17*I29</t>
  </si>
  <si>
    <t>=AB17*J24+(AB16*AB17-AB17-AB16)*J25</t>
  </si>
  <si>
    <t>=AB16*(J23-AB23*J25)/(AB21+AB23*AB20+AB16*J23)</t>
  </si>
  <si>
    <t>=AB16*(AB24*J23-J25)/(AB20+AB16*AB24*J23)</t>
  </si>
  <si>
    <t>Intraclass Correlation - class 2</t>
  </si>
  <si>
    <t>F-lower</t>
  </si>
  <si>
    <t>F-upper</t>
  </si>
  <si>
    <t>Intraclass Correlation - class 3</t>
  </si>
  <si>
    <t>ICC(3,1)</t>
  </si>
  <si>
    <t>dfRow</t>
  </si>
  <si>
    <t>ICC(2,4)</t>
  </si>
  <si>
    <t>=(J23-J25)/J23</t>
  </si>
  <si>
    <t>=1-1/I36</t>
  </si>
  <si>
    <t>=1-1/I37</t>
  </si>
  <si>
    <t>ICC(3,4)</t>
  </si>
  <si>
    <r>
      <t xml:space="preserve">Cron </t>
    </r>
    <r>
      <rPr>
        <sz val="11"/>
        <color theme="1"/>
        <rFont val="Calibri"/>
        <family val="2"/>
      </rPr>
      <t>α</t>
    </r>
  </si>
  <si>
    <t>=CRONALPHA(B5:E12)</t>
  </si>
  <si>
    <t>Intraclass Correlation - case 2</t>
  </si>
  <si>
    <t>Intraclass Correlation - case 1</t>
  </si>
  <si>
    <t>Intraclass Correlation - case 3</t>
  </si>
  <si>
    <t>ICC(2,1)</t>
  </si>
  <si>
    <t>=ICC(B5:E12,2,1)</t>
  </si>
  <si>
    <t>=ICC(B5:E12,2,4)</t>
  </si>
  <si>
    <t>=ICC(B5:E12,3,1)</t>
  </si>
  <si>
    <t>=ICC(B5:E12,3,4)</t>
  </si>
  <si>
    <t>s.e</t>
  </si>
  <si>
    <t>Data analysis tool</t>
  </si>
  <si>
    <t>Missing Data - Listwise Deletion</t>
  </si>
  <si>
    <t>Id</t>
  </si>
  <si>
    <t>math</t>
  </si>
  <si>
    <t>science</t>
  </si>
  <si>
    <t>No missing data</t>
  </si>
  <si>
    <t>Missing data</t>
  </si>
  <si>
    <t>Regression Analysis (Listwise Deletion)</t>
  </si>
  <si>
    <t>Missing Data - Mean Imputation</t>
  </si>
  <si>
    <t>Mean Imputation</t>
  </si>
  <si>
    <t>Missing Data - Regression Imputation</t>
  </si>
  <si>
    <t>Regression Imputation</t>
  </si>
  <si>
    <t>correl</t>
  </si>
  <si>
    <t>Regression Analysis (Complete Data)</t>
  </si>
  <si>
    <t>Missing Data - Stochastic Regression Imputation</t>
  </si>
  <si>
    <t>Stochastic regression Imputation</t>
  </si>
  <si>
    <t>rand err</t>
  </si>
  <si>
    <t>sci - reg</t>
  </si>
  <si>
    <t>Multiple Imputation</t>
  </si>
  <si>
    <t>SSRes</t>
  </si>
  <si>
    <t>B'</t>
  </si>
  <si>
    <t>Missing Data and Multiple Imputation</t>
  </si>
  <si>
    <t>read</t>
  </si>
  <si>
    <t>medicine</t>
  </si>
  <si>
    <t>id</t>
  </si>
  <si>
    <t>Frequency of Non-Missing Data</t>
  </si>
  <si>
    <t>Patterns of Missing Data</t>
  </si>
  <si>
    <t>Simple Imputation</t>
  </si>
  <si>
    <t>min</t>
  </si>
  <si>
    <t>max</t>
  </si>
  <si>
    <t>round</t>
  </si>
  <si>
    <t>Simple Imputation with constraints</t>
  </si>
  <si>
    <t>Imputation of column 1</t>
  </si>
  <si>
    <t>Imputation of column 1 with constraints</t>
  </si>
  <si>
    <t>FCS Imputation</t>
  </si>
  <si>
    <t>FCS Imputation with constraints</t>
  </si>
  <si>
    <t>Multiple Imputation - FCS</t>
  </si>
  <si>
    <t>FCS Imputation 1</t>
  </si>
  <si>
    <t>FCS Imputation 2</t>
  </si>
  <si>
    <t>FCS Imputation 3</t>
  </si>
  <si>
    <t>FCS Imputation 4</t>
  </si>
  <si>
    <t>R2, size</t>
  </si>
  <si>
    <t>FCS Imputation Statistics</t>
  </si>
  <si>
    <t>Imputed data only</t>
  </si>
  <si>
    <t>Complete data</t>
  </si>
  <si>
    <t>Descriptive statistics</t>
  </si>
  <si>
    <t>Descriptive statistics (complete data)</t>
  </si>
  <si>
    <t>Descriptive statistics (imputed data)</t>
  </si>
  <si>
    <t>Combined Parameters</t>
  </si>
  <si>
    <t>Variance Information</t>
  </si>
  <si>
    <t>Parameter Information</t>
  </si>
  <si>
    <t>Compact summary table</t>
  </si>
  <si>
    <t>Impute</t>
  </si>
  <si>
    <t>Multiple Imputation Summary</t>
  </si>
  <si>
    <t>R-sq, size</t>
  </si>
  <si>
    <t>Core</t>
  </si>
  <si>
    <t>MSRes'</t>
  </si>
  <si>
    <t>Cholesky (L)</t>
  </si>
  <si>
    <t>Coeff (B)</t>
  </si>
  <si>
    <t>s.e.'</t>
  </si>
  <si>
    <t>Step 1 of Imputation 1</t>
  </si>
  <si>
    <t>Multiple Imputation FCS - Step 1 of Imputation 1</t>
  </si>
  <si>
    <t>FIML</t>
  </si>
  <si>
    <t>Pairwise non-missing</t>
  </si>
  <si>
    <t>Sample Covariance Matrix</t>
  </si>
  <si>
    <t>Population Means</t>
  </si>
  <si>
    <t>Sample Means</t>
  </si>
  <si>
    <t>Solver</t>
  </si>
  <si>
    <t>FIML - initial</t>
  </si>
  <si>
    <t>FIML - final</t>
  </si>
  <si>
    <t>FIML (no missing data) - initial</t>
  </si>
  <si>
    <t>Constraint</t>
  </si>
  <si>
    <t>FIML (no missing data) - final</t>
  </si>
  <si>
    <t>Regression Coefficients</t>
  </si>
  <si>
    <r>
      <t>Estimate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</si>
  <si>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Sample Counts</t>
  </si>
  <si>
    <t>Population covariance matrix</t>
  </si>
  <si>
    <t>Population means</t>
  </si>
  <si>
    <t>Sample means</t>
  </si>
  <si>
    <t>-2LL</t>
  </si>
  <si>
    <t>Regression coefficients</t>
  </si>
  <si>
    <t>Estimate of Inverse of XTX</t>
  </si>
  <si>
    <t>FIML (no missing data) - final (data analysis tool)</t>
  </si>
  <si>
    <t>FIML - data analysis tool</t>
  </si>
  <si>
    <t>Regression Analysis (usual model)</t>
  </si>
  <si>
    <t>Regression Analysis (missing data model)</t>
  </si>
  <si>
    <t>Traditional approaches</t>
  </si>
  <si>
    <t>Listwise Deletion (Example 1)</t>
  </si>
  <si>
    <t>Mean Imputation (Example 2)</t>
  </si>
  <si>
    <t>Regression Imputation (Example 3)</t>
  </si>
  <si>
    <t>Stochastic Regression Imputation (Example 4)</t>
  </si>
  <si>
    <t>Frequency and patterns of missing data</t>
  </si>
  <si>
    <t>Fully conditional specification (FCS)</t>
  </si>
  <si>
    <t>Simple imputation (with and w/o constraints)</t>
  </si>
  <si>
    <t>Summary of FCS results</t>
  </si>
  <si>
    <t>One step of the FCS algorithm</t>
  </si>
  <si>
    <t>Combining multiple imputations</t>
  </si>
  <si>
    <t>Multiple FCS imputations</t>
  </si>
  <si>
    <t>MI data analysis tool</t>
  </si>
  <si>
    <t>Multiple imputations from MI data analysis tool</t>
  </si>
  <si>
    <t>MI data analysis tool with constraints</t>
  </si>
  <si>
    <t>Multiple imputations from MI data analysis tool with constraints</t>
  </si>
  <si>
    <t>One step of the FCS algorithm details</t>
  </si>
  <si>
    <t>Full Information Maximum Log-Likelihood (FIML)</t>
  </si>
  <si>
    <t>FIML statistics</t>
  </si>
  <si>
    <t>FIML initial conditions</t>
  </si>
  <si>
    <t>FIML after using Solver</t>
  </si>
  <si>
    <t>FIML with modified degrees of freedom</t>
  </si>
  <si>
    <t>FIML data analysis tool</t>
  </si>
  <si>
    <t>FIML complete data: initial conditions</t>
  </si>
  <si>
    <t>FIML complete data: after using Solver</t>
  </si>
  <si>
    <t>FIML complete data: data analysis tool</t>
  </si>
  <si>
    <t>Logistic Regression using raw data (alternative approach)</t>
  </si>
  <si>
    <t>Logistic Regression with raw data, alternative approach</t>
  </si>
  <si>
    <t>Multiple Imputation - initialization</t>
  </si>
  <si>
    <t xml:space="preserve">FCS - Single Imputation </t>
  </si>
  <si>
    <t>Summary of the Means</t>
  </si>
  <si>
    <t>Calculate -2LL for the first row</t>
  </si>
  <si>
    <t>data</t>
  </si>
  <si>
    <t>cov matrix</t>
  </si>
  <si>
    <t>Calculate -2LL for the 18th row</t>
  </si>
  <si>
    <t>Usual calculation of population cov matrix</t>
  </si>
  <si>
    <r>
      <t>Usual calculation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</si>
  <si>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Est.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via pop cov matrix</t>
    </r>
  </si>
  <si>
    <t>Real Statistics functions</t>
  </si>
  <si>
    <r>
      <t>1-</t>
    </r>
    <r>
      <rPr>
        <sz val="11"/>
        <color theme="1"/>
        <rFont val="Calibri"/>
        <family val="2"/>
      </rPr>
      <t>β</t>
    </r>
  </si>
  <si>
    <t>ln Odds(E)</t>
  </si>
  <si>
    <t>Real Statistics function</t>
  </si>
  <si>
    <t>Real Statistics formulas</t>
  </si>
  <si>
    <t>Anova data analysis tool</t>
  </si>
  <si>
    <t>Reliability data analysis tool</t>
  </si>
  <si>
    <t>ICC Case</t>
  </si>
  <si>
    <t>ICC Type</t>
  </si>
  <si>
    <t>GGEpsilon</t>
  </si>
  <si>
    <t>GG epsilon</t>
  </si>
  <si>
    <t>HF epsilon</t>
  </si>
  <si>
    <t>Two Factor Anova with Repeated Measures</t>
  </si>
  <si>
    <t>- Rows</t>
  </si>
  <si>
    <t>- Error</t>
  </si>
  <si>
    <t>- Columns</t>
  </si>
  <si>
    <t>- Interaction</t>
  </si>
  <si>
    <t>Standard Format</t>
  </si>
  <si>
    <t>Sorted using QSORTRows</t>
  </si>
  <si>
    <t>One-way ANOVA with random factor (Example 1)</t>
  </si>
  <si>
    <t>Nested models</t>
  </si>
  <si>
    <t>Nested model (Example 1)</t>
  </si>
  <si>
    <t>Nested ANOVA</t>
  </si>
  <si>
    <t>Psychology</t>
  </si>
  <si>
    <t>Negotiation</t>
  </si>
  <si>
    <t>Conflict Management</t>
  </si>
  <si>
    <t>Office 1</t>
  </si>
  <si>
    <t>Office 2</t>
  </si>
  <si>
    <t>Office 3</t>
  </si>
  <si>
    <t>Office 4</t>
  </si>
  <si>
    <t>Office 5</t>
  </si>
  <si>
    <t>Office 6</t>
  </si>
  <si>
    <t>Office 7</t>
  </si>
  <si>
    <t>Office 8</t>
  </si>
  <si>
    <t>Office 9</t>
  </si>
  <si>
    <t>Negot</t>
  </si>
  <si>
    <t>Conflict</t>
  </si>
  <si>
    <t>Psychol</t>
  </si>
  <si>
    <t>Negotiat</t>
  </si>
  <si>
    <t>Office A</t>
  </si>
  <si>
    <t>Office B</t>
  </si>
  <si>
    <t>Office C</t>
  </si>
  <si>
    <t>One Sample Random ANOVA</t>
  </si>
  <si>
    <t>Region 2</t>
  </si>
  <si>
    <t>Region 3</t>
  </si>
  <si>
    <t>Region 4</t>
  </si>
  <si>
    <t>Region 5</t>
  </si>
  <si>
    <t>Region 1</t>
  </si>
  <si>
    <t>ANCOVA: Single Factor</t>
  </si>
  <si>
    <t>adj mean</t>
  </si>
  <si>
    <t>Slope W</t>
  </si>
  <si>
    <t>Slope T</t>
  </si>
  <si>
    <t>Between</t>
  </si>
  <si>
    <t>ANCOVA - Data Analysis Tool</t>
  </si>
  <si>
    <t>RANDOM FACTOR</t>
  </si>
  <si>
    <t>Estimate</t>
  </si>
  <si>
    <t>chi crit -</t>
  </si>
  <si>
    <t>chi crit +</t>
  </si>
  <si>
    <t>Nested ANOVA - standard format</t>
  </si>
  <si>
    <t>Two Factor Nested Anova</t>
  </si>
  <si>
    <t>Col (Rows)</t>
  </si>
  <si>
    <t>Two factor mixed model</t>
  </si>
  <si>
    <t>One random factor ANOVA</t>
  </si>
  <si>
    <t>Two factor mixed model (Example 1)</t>
  </si>
  <si>
    <t>Nested Anova data analysis tool</t>
  </si>
  <si>
    <t>Nested Anova data analysis tool (Example 1)</t>
  </si>
  <si>
    <t>Nested Anova using data in standard form (Example 2)</t>
  </si>
  <si>
    <t>ANCOVA data analysis tool (Example 1)</t>
  </si>
  <si>
    <t>Two within subjects factors</t>
  </si>
  <si>
    <t>ANOVA with Random Factors and Nested Models</t>
  </si>
  <si>
    <t>ANOVA with Random or Nested Factors</t>
  </si>
  <si>
    <t>Mixed Factor ANOVA</t>
  </si>
  <si>
    <t>Mixed Factors ANOVA</t>
  </si>
  <si>
    <t>Two Mixed Factors Anova</t>
  </si>
  <si>
    <t>Two factor mixed Anova data analysis tool (Example 1)</t>
  </si>
  <si>
    <t>Nested Anova analysis</t>
  </si>
  <si>
    <t>Durbin-Watson Table (alpha .01)</t>
  </si>
  <si>
    <t>Durbin-Watson Table (alpha .05)</t>
  </si>
  <si>
    <t>Durbin-Watson Table</t>
  </si>
  <si>
    <t>Alpha = .05</t>
  </si>
  <si>
    <t>n\k</t>
  </si>
  <si>
    <t>https://www3.nd.edu/~wevans1/econ30331/Durbin_Watson_tables.pdf</t>
  </si>
  <si>
    <t>Alpha = .01</t>
  </si>
  <si>
    <t>R-square</t>
  </si>
  <si>
    <t>Cochran's Q test</t>
  </si>
  <si>
    <t>Cochran's Q test, summarized data (Example 2)</t>
  </si>
  <si>
    <t>Cochran's Q test, raw data (Example 1)</t>
  </si>
  <si>
    <t>Cochran's Q Test</t>
  </si>
  <si>
    <t>Wed</t>
  </si>
  <si>
    <t>Mon</t>
  </si>
  <si>
    <t>Fri</t>
  </si>
  <si>
    <t>Q-crit</t>
  </si>
  <si>
    <t>Proportion that are energetic</t>
  </si>
  <si>
    <t>Q-stat</t>
  </si>
  <si>
    <t>Group percentages</t>
  </si>
  <si>
    <t>Data anaòysis tool</t>
  </si>
  <si>
    <t>Friedman's Test</t>
  </si>
  <si>
    <t>H-stat</t>
  </si>
  <si>
    <t>Logistic Regression Real Statistics functions, summary data (Figure 1)</t>
  </si>
  <si>
    <t>Logistic Regression Real Statistics functions, rawdata (Figure 2)</t>
  </si>
  <si>
    <t>Using Real Statistics functions</t>
  </si>
  <si>
    <t>Using Real Statistics data analysis tool</t>
  </si>
  <si>
    <t>using Real Statistics formulas</t>
  </si>
  <si>
    <t>Using Real Statistics formulas</t>
  </si>
  <si>
    <t>Interaction model using Real Statistics formulas</t>
  </si>
  <si>
    <t>Logistic Regression using Real Statistics Real Statistics functions</t>
  </si>
  <si>
    <t>Intraclass Correlation</t>
  </si>
  <si>
    <t>Party</t>
  </si>
  <si>
    <t>Rep</t>
  </si>
  <si>
    <t>Dem</t>
  </si>
  <si>
    <t>Ind</t>
  </si>
  <si>
    <t>Vote</t>
  </si>
  <si>
    <t>Yes</t>
  </si>
  <si>
    <t>using Real Statistics data analysis tool</t>
  </si>
  <si>
    <t>Reference Variable</t>
  </si>
  <si>
    <t>Significance Test</t>
  </si>
  <si>
    <t>Real Statistics capabilities</t>
  </si>
  <si>
    <t>Using Real Statistics data analysis tool for input with raw data</t>
  </si>
  <si>
    <t>Finding multinomial logistic regression coefficients using binary logistic regression</t>
  </si>
  <si>
    <t>Real Statistics function, 2-way</t>
  </si>
  <si>
    <t>Real Statistics IPFP2 function</t>
  </si>
  <si>
    <t>Real Statistics output (IPFP3)</t>
  </si>
  <si>
    <t>Real Statistics function, 3-way</t>
  </si>
  <si>
    <t>Data Summary</t>
  </si>
  <si>
    <t>Power and Sample Size for ICC(1,1)</t>
  </si>
  <si>
    <t>rho0</t>
  </si>
  <si>
    <t>rho1</t>
  </si>
  <si>
    <t>ICC(1,1) Power and Sample Size</t>
  </si>
  <si>
    <t>df\k</t>
  </si>
  <si>
    <t>two-tailed comparisons</t>
  </si>
  <si>
    <t>k includes the control group</t>
  </si>
  <si>
    <t>Dunnett's Test Critical Values</t>
  </si>
  <si>
    <t>Dunnett's Table</t>
  </si>
  <si>
    <t>Chart comparing means for interaction (Figure 9)</t>
  </si>
  <si>
    <t>Comparisons of means for interaction (Example 2)</t>
  </si>
  <si>
    <t>Comparisons of means for interaction (Example 3)</t>
  </si>
  <si>
    <t>IPFP</t>
  </si>
  <si>
    <t>Survival Analysis</t>
  </si>
  <si>
    <t>Kaplan-Meier</t>
  </si>
  <si>
    <t>Yrs in Trial</t>
  </si>
  <si>
    <t>1-d/n</t>
  </si>
  <si>
    <t>S(t)</t>
  </si>
  <si>
    <t>Log-Rank Test</t>
  </si>
  <si>
    <t>Trial A</t>
  </si>
  <si>
    <t>Trial B</t>
  </si>
  <si>
    <t>Combined</t>
  </si>
  <si>
    <t>failure rate</t>
  </si>
  <si>
    <t>hazard ratio</t>
  </si>
  <si>
    <t>=(AH20/AJ20)/(AK20/AM20)</t>
  </si>
  <si>
    <t>ln h</t>
  </si>
  <si>
    <t>s.e ln h</t>
  </si>
  <si>
    <t>ln h lower</t>
  </si>
  <si>
    <t>ln h upper</t>
  </si>
  <si>
    <t>h lower</t>
  </si>
  <si>
    <t>h upper</t>
  </si>
  <si>
    <t>Survival curve</t>
  </si>
  <si>
    <t>Kaplan-Meier (Example 1)</t>
  </si>
  <si>
    <t>e</t>
  </si>
  <si>
    <t>Log-Rank (Alternative)</t>
  </si>
  <si>
    <t>Log-Rank</t>
  </si>
  <si>
    <t>Wilcoxon</t>
  </si>
  <si>
    <t>Tarone Ware</t>
  </si>
  <si>
    <t>Tarone-Ware</t>
  </si>
  <si>
    <t>Cox Regression (Solver initial state)</t>
  </si>
  <si>
    <t>mo</t>
  </si>
  <si>
    <t>died</t>
  </si>
  <si>
    <t>size</t>
  </si>
  <si>
    <t>BX</t>
  </si>
  <si>
    <t>EXP(BX)</t>
  </si>
  <si>
    <t>G1</t>
  </si>
  <si>
    <t>G2</t>
  </si>
  <si>
    <t>G11</t>
  </si>
  <si>
    <t>G12</t>
  </si>
  <si>
    <t>G22</t>
  </si>
  <si>
    <t>LL11</t>
  </si>
  <si>
    <t>I</t>
  </si>
  <si>
    <t>Cov</t>
  </si>
  <si>
    <t>U</t>
  </si>
  <si>
    <t>low</t>
  </si>
  <si>
    <t>high</t>
  </si>
  <si>
    <t>wald</t>
  </si>
  <si>
    <t>Cox Regression (Solver)</t>
  </si>
  <si>
    <t>U1</t>
  </si>
  <si>
    <t>U2</t>
  </si>
  <si>
    <t>V11</t>
  </si>
  <si>
    <t>V12</t>
  </si>
  <si>
    <t>V22</t>
  </si>
  <si>
    <r>
      <t>Cov = I</t>
    </r>
    <r>
      <rPr>
        <vertAlign val="superscript"/>
        <sz val="11"/>
        <color theme="1"/>
        <rFont val="Calibri"/>
        <family val="2"/>
        <scheme val="minor"/>
      </rPr>
      <t>-1</t>
    </r>
  </si>
  <si>
    <t>Goodness of fit of Cox Regression Model</t>
  </si>
  <si>
    <t>Cox Regression (Age only)</t>
  </si>
  <si>
    <t>Cox Regression (Size only)</t>
  </si>
  <si>
    <t>Age only Model</t>
  </si>
  <si>
    <t>Size only Model</t>
  </si>
  <si>
    <t>Age-only Model</t>
  </si>
  <si>
    <t>Size-only Model</t>
  </si>
  <si>
    <t>Cox Regression</t>
  </si>
  <si>
    <t>Yrs</t>
  </si>
  <si>
    <t>risk</t>
  </si>
  <si>
    <t>Hazard Ratio</t>
  </si>
  <si>
    <t>Profile 1</t>
  </si>
  <si>
    <t>Profile 2</t>
  </si>
  <si>
    <t>Size</t>
  </si>
  <si>
    <t>Hazard</t>
  </si>
  <si>
    <t>Ratio</t>
  </si>
  <si>
    <t>Baseline survivor function</t>
  </si>
  <si>
    <t>Kaplan-Meier Method</t>
  </si>
  <si>
    <t>Group A</t>
  </si>
  <si>
    <t>Group B</t>
  </si>
  <si>
    <t>Kaplan-Meier (two samples)</t>
  </si>
  <si>
    <t>Hypothesis Testing</t>
  </si>
  <si>
    <t>Real Statistics data analysis tool for one sample</t>
  </si>
  <si>
    <t>Real Statistics data analysis tool for two samples</t>
  </si>
  <si>
    <t>Real Statistics data analysis tool for two samples (stacked format)</t>
  </si>
  <si>
    <t>Alternatives to Log-Rank Test</t>
  </si>
  <si>
    <t>Standard error and confidence intervals (Example 2)</t>
  </si>
  <si>
    <t>Finding regression coefficients using Solver (Example 1)</t>
  </si>
  <si>
    <t>Finding standard errors of the regression coefficients (Example 2)</t>
  </si>
  <si>
    <t>Finding regression coefficients baseline model</t>
  </si>
  <si>
    <t>Reduced Model 1</t>
  </si>
  <si>
    <t>Reduced Model 2</t>
  </si>
  <si>
    <t>Goodness of Fit vs. reduced models</t>
  </si>
  <si>
    <t>Goodness of Fit vs, baseline model</t>
  </si>
  <si>
    <t>Hazard ratio (Example 3)</t>
  </si>
  <si>
    <t>Comparing two models: Log-Rank Test (Example 3)</t>
  </si>
  <si>
    <t>Overall Fit</t>
  </si>
  <si>
    <t>Parameters</t>
  </si>
  <si>
    <t>Iter</t>
  </si>
  <si>
    <t>converge</t>
  </si>
  <si>
    <t>Cov Matrix</t>
  </si>
  <si>
    <r>
      <rPr>
        <b/>
        <sz val="11"/>
        <color theme="1"/>
        <rFont val="Calibri"/>
        <family val="2"/>
        <scheme val="minor"/>
      </rPr>
      <t>Cox Regression</t>
    </r>
    <r>
      <rPr>
        <sz val="11"/>
        <color theme="1"/>
        <rFont val="Calibri"/>
        <family val="2"/>
        <scheme val="minor"/>
      </rPr>
      <t xml:space="preserve"> (multiple deaths)</t>
    </r>
  </si>
  <si>
    <t>sex</t>
  </si>
  <si>
    <t>blood</t>
  </si>
  <si>
    <t>Cox Regression (Real Statistics)</t>
  </si>
  <si>
    <t>Real Statistics data analysis tool (multiple covariates)</t>
  </si>
  <si>
    <t>Real Statistics data analysis tool (comparing two treatments)</t>
  </si>
  <si>
    <t>vif</t>
  </si>
  <si>
    <t>SBC</t>
  </si>
  <si>
    <t>Repeated Measures ANOVA using Regression</t>
  </si>
  <si>
    <t>Design of Experiments</t>
  </si>
  <si>
    <t>Design of Experiments (DOE)</t>
  </si>
  <si>
    <t>Randomized Complete Block Design (RCBD)</t>
  </si>
  <si>
    <t>Herbicide</t>
  </si>
  <si>
    <t>Field 1</t>
  </si>
  <si>
    <t>Field 2</t>
  </si>
  <si>
    <t>Field 3</t>
  </si>
  <si>
    <t>Field 4</t>
  </si>
  <si>
    <t>Randomized complete block design (RCB)</t>
  </si>
  <si>
    <t>Blocks</t>
  </si>
  <si>
    <t>Contrast: RCBD Anova</t>
  </si>
  <si>
    <t>TUKEY HSD: RCBD Anova</t>
  </si>
  <si>
    <t>RCBD (Example 1)</t>
  </si>
  <si>
    <t>Split-Plot Design</t>
  </si>
  <si>
    <t>Randomized Complete Block Design</t>
  </si>
  <si>
    <t>RCBD data analysis tool (Example 1)</t>
  </si>
  <si>
    <t>Tukey HSD for RCBD (Example 3)</t>
  </si>
  <si>
    <t>Contrasts for RCBD (Example 2)</t>
  </si>
  <si>
    <t>Latin Square Design</t>
  </si>
  <si>
    <t>Latin Squares Design</t>
  </si>
  <si>
    <t>Excel Format</t>
  </si>
  <si>
    <t>col</t>
  </si>
  <si>
    <t>treat</t>
  </si>
  <si>
    <t>A = 4</t>
  </si>
  <si>
    <t>B = 2</t>
  </si>
  <si>
    <t>C = 5</t>
  </si>
  <si>
    <t>D = 7</t>
  </si>
  <si>
    <t>B = 1</t>
  </si>
  <si>
    <t>C = 2</t>
  </si>
  <si>
    <t>D = 6</t>
  </si>
  <si>
    <t>A = 5</t>
  </si>
  <si>
    <t>C = 8</t>
  </si>
  <si>
    <t>D = 9</t>
  </si>
  <si>
    <t>A = 6</t>
  </si>
  <si>
    <t>B = 3</t>
  </si>
  <si>
    <t>D = 11</t>
  </si>
  <si>
    <t>A = 3</t>
  </si>
  <si>
    <t>B = 7</t>
  </si>
  <si>
    <t>Latin Squares Design - Excel format</t>
  </si>
  <si>
    <t>Treat</t>
  </si>
  <si>
    <t>Latin Squares Design with missing data</t>
  </si>
  <si>
    <t>Latin Squares - standard format</t>
  </si>
  <si>
    <t>Latin Square ANOVA</t>
  </si>
  <si>
    <t>Latin Squares with replications</t>
  </si>
  <si>
    <t>TREATMENT CONTRASTS</t>
  </si>
  <si>
    <t>TUKEY HSD - TREATMENT</t>
  </si>
  <si>
    <t>rep</t>
  </si>
  <si>
    <t>Replications</t>
  </si>
  <si>
    <t>Latin square representation</t>
  </si>
  <si>
    <t>Latin square analysis, Excel format (Example 1)</t>
  </si>
  <si>
    <t>Latin square with missing data</t>
  </si>
  <si>
    <t>Latin square analysis, standard format</t>
  </si>
  <si>
    <t>Latin square analysis with replications, Excel format (Example 2)</t>
  </si>
  <si>
    <t>Latin square analysis with replications, standard format</t>
  </si>
  <si>
    <t>Contrasts (Example 3)</t>
  </si>
  <si>
    <t>Tukey HSD (Example 4)</t>
  </si>
  <si>
    <t>Split-plot Design</t>
  </si>
  <si>
    <t>Split-Plot Anova (RCB)</t>
  </si>
  <si>
    <t>Block</t>
  </si>
  <si>
    <t>Whole-Plot (Col)</t>
  </si>
  <si>
    <t>Whole x Block</t>
  </si>
  <si>
    <t>Split-Plot (Row)</t>
  </si>
  <si>
    <t>Whole x Split</t>
  </si>
  <si>
    <t>Split-plot Error</t>
  </si>
  <si>
    <t>CONTRASTS: WHOLE PLOTS</t>
  </si>
  <si>
    <t>CONTRASTS: SUB-PLOTS</t>
  </si>
  <si>
    <t>TUKEY HSD: WHOLE PLOTS</t>
  </si>
  <si>
    <t>TUKEY HSD: SUB-PLOTS</t>
  </si>
  <si>
    <t>Split-Plot Anova (RCB 1)</t>
  </si>
  <si>
    <t>Whole-Plot Error</t>
  </si>
  <si>
    <t>Split-Plot Anova (RCB 2)</t>
  </si>
  <si>
    <t>Block x Split</t>
  </si>
  <si>
    <t>Split-Plot Anova (CRD)</t>
  </si>
  <si>
    <t>Whole-plot Error</t>
  </si>
  <si>
    <t>RCBD Split-plot Anova - model 1</t>
  </si>
  <si>
    <t>RCBD Split-plot Anova (Example 1)</t>
  </si>
  <si>
    <t>RCBD Split-plot Anova - model 2</t>
  </si>
  <si>
    <t>CRD Split-plot Anova</t>
  </si>
  <si>
    <t>Contrasts (Example 2)</t>
  </si>
  <si>
    <t>Tukey's HSD (Example 3)</t>
  </si>
  <si>
    <t>Interaction (Example 4)</t>
  </si>
  <si>
    <t>Intraclass Correlation - class 1</t>
  </si>
  <si>
    <t>Transpose of the data</t>
  </si>
  <si>
    <t>Via Real Statistics formulas</t>
  </si>
  <si>
    <t>=(MSBet(O5:V8)-MSW(O5:V8))/(MSBet(O5:V8)+(COUNTA(O5:O8)-1)*MSW(O5:V8))</t>
  </si>
  <si>
    <t>MSB</t>
  </si>
  <si>
    <t>Confidence Interval</t>
  </si>
  <si>
    <t>ICC(1,1)</t>
  </si>
  <si>
    <t>n-1</t>
  </si>
  <si>
    <t>n(k-1)</t>
  </si>
  <si>
    <t>ICC(1,4)</t>
  </si>
  <si>
    <t>ANCOVA conversion to stacked format</t>
  </si>
  <si>
    <t>ANCOVA data analysis tool (converting to standard format)</t>
  </si>
  <si>
    <t>Homogeneity of Slopes Test</t>
  </si>
  <si>
    <t>cov mean</t>
  </si>
  <si>
    <t>cov ssbet</t>
  </si>
  <si>
    <t>cov ssw</t>
  </si>
  <si>
    <t>msw</t>
  </si>
  <si>
    <t>SSW(x)</t>
  </si>
  <si>
    <t>SSBet(x)</t>
  </si>
  <si>
    <t>MSW*</t>
  </si>
  <si>
    <t>=M8 *</t>
  </si>
  <si>
    <t>=L14 *</t>
  </si>
  <si>
    <t>=K8 *</t>
  </si>
  <si>
    <t>ANCOVA Tukey HSD/Kramer</t>
  </si>
  <si>
    <t>TUKEY HSD/KRAMER: ANCOVA</t>
  </si>
  <si>
    <t>CONTRASTS: ANCOVA</t>
  </si>
  <si>
    <t>Tukey HSD/Kramer</t>
  </si>
  <si>
    <t>Tukey-Kramer for ANCOVA</t>
  </si>
  <si>
    <t>Real Statistics Capabilities</t>
  </si>
  <si>
    <t>Conversion from Excel to stacked format (Example 1)</t>
  </si>
  <si>
    <t>ANCOVA in stacked format</t>
  </si>
  <si>
    <t>Tukey HSD</t>
  </si>
  <si>
    <t>Using Real Statistics formulas (Figure 1)</t>
  </si>
  <si>
    <t>Coding categorical data</t>
  </si>
  <si>
    <t>Categorical coding</t>
  </si>
  <si>
    <t>Categorical coding (Example 1)</t>
  </si>
  <si>
    <t>=CHISQ.DIST.RT(AB7,AB8)</t>
  </si>
  <si>
    <t>odds Cured</t>
  </si>
  <si>
    <t>odds Sick</t>
  </si>
  <si>
    <t>Logistic and Probit Regression</t>
  </si>
  <si>
    <t>Probit regression</t>
  </si>
  <si>
    <t>Using Newtons Method</t>
  </si>
  <si>
    <t>Probit Regression - Solver</t>
  </si>
  <si>
    <t>Probit Regression</t>
  </si>
  <si>
    <t>Phi</t>
  </si>
  <si>
    <t>Probit Regression - Newton's Method</t>
  </si>
  <si>
    <t>Predicted Values</t>
  </si>
  <si>
    <t>Model accuracy</t>
  </si>
  <si>
    <t>Model Probabilities</t>
  </si>
  <si>
    <t>Number Correct</t>
  </si>
  <si>
    <t>Model Accuracy</t>
  </si>
  <si>
    <t>Using Regression with unbalanced models</t>
  </si>
  <si>
    <t>Real Statistics data analysis, input in Excel format</t>
  </si>
  <si>
    <t>Real Statistics data analysis, input in standard format</t>
  </si>
  <si>
    <t>Input data in stacked format</t>
  </si>
  <si>
    <t>Day</t>
  </si>
  <si>
    <t>Sleep</t>
  </si>
  <si>
    <t>Input data in Excel Format</t>
  </si>
  <si>
    <t>Regression Analysis (S,D,A)</t>
  </si>
  <si>
    <t>subjects</t>
  </si>
  <si>
    <t>days</t>
  </si>
  <si>
    <t>mid</t>
  </si>
  <si>
    <t>old</t>
  </si>
  <si>
    <t>yield</t>
  </si>
  <si>
    <t>Regression Analysis (S)</t>
  </si>
  <si>
    <t>Regression Analysis(D,A)</t>
  </si>
  <si>
    <t>Regression Analysis (A)</t>
  </si>
  <si>
    <t>Regression Analysis (S,D)</t>
  </si>
  <si>
    <t>Regression Analysis (S,A)</t>
  </si>
  <si>
    <t>Regression Analysis (A,D,DA)</t>
  </si>
  <si>
    <t>mid2</t>
  </si>
  <si>
    <t>old2</t>
  </si>
  <si>
    <t>mid3</t>
  </si>
  <si>
    <t>old3</t>
  </si>
  <si>
    <t>Regression Analysis (D)</t>
  </si>
  <si>
    <t>Regression model</t>
  </si>
  <si>
    <t>ICC Reliability</t>
  </si>
  <si>
    <t>Poisson Regression</t>
  </si>
  <si>
    <t>Calculations using Solver (Example 1)</t>
  </si>
  <si>
    <t>Real Statistics support using Newton's method</t>
  </si>
  <si>
    <t>Tumor</t>
  </si>
  <si>
    <t>Pop</t>
  </si>
  <si>
    <t>Psych</t>
  </si>
  <si>
    <t>Int</t>
  </si>
  <si>
    <t>Psy A</t>
  </si>
  <si>
    <t>Psy B</t>
  </si>
  <si>
    <t>η</t>
  </si>
  <si>
    <t>μ</t>
  </si>
  <si>
    <t>yln(μ)</t>
  </si>
  <si>
    <t>ln(y!)</t>
  </si>
  <si>
    <t>yln(y)</t>
  </si>
  <si>
    <t>yln(t)</t>
  </si>
  <si>
    <t>sp</t>
  </si>
  <si>
    <t>sd</t>
  </si>
  <si>
    <t>obs</t>
  </si>
  <si>
    <t>pred</t>
  </si>
  <si>
    <t>RR</t>
  </si>
  <si>
    <t>η-tilde</t>
  </si>
  <si>
    <t>LL min</t>
  </si>
  <si>
    <t>LL fit</t>
  </si>
  <si>
    <t>LL max</t>
  </si>
  <si>
    <t>Goodness of Fit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</si>
  <si>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Z)</t>
    </r>
    <r>
      <rPr>
        <vertAlign val="superscript"/>
        <sz val="11"/>
        <color theme="1"/>
        <rFont val="Calibri"/>
        <family val="2"/>
        <scheme val="minor"/>
      </rPr>
      <t>-1</t>
    </r>
  </si>
  <si>
    <t>where Z = μ*X</t>
  </si>
  <si>
    <r>
      <t>Hat = Z(X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Z)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</si>
  <si>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diag</t>
  </si>
  <si>
    <t>Pearson</t>
  </si>
  <si>
    <t>G-square</t>
  </si>
  <si>
    <t>φ</t>
  </si>
  <si>
    <t>√φ</t>
  </si>
  <si>
    <t>Predictions</t>
  </si>
  <si>
    <t>mu</t>
  </si>
  <si>
    <t>With phi correction</t>
  </si>
  <si>
    <t>iter</t>
  </si>
  <si>
    <t>phi</t>
  </si>
  <si>
    <t>sqrt phi</t>
  </si>
  <si>
    <t>McF R-sq</t>
  </si>
  <si>
    <t>larger</t>
  </si>
  <si>
    <t>smaller</t>
  </si>
  <si>
    <t>Reduced model</t>
  </si>
  <si>
    <t>Charles Zaiontz, 13 January 2018</t>
  </si>
  <si>
    <t>Copyright © 2013 - 2018 Charles Zaiontz</t>
  </si>
  <si>
    <t>Real Statistics Using Excel - Examples Workbook Part 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</si>
</sst>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10"/>
      <name val="Courier New"/>
      <family val="3"/>
    </font>
    <font>
      <sz val="10"/>
      <name val="Arial"/>
      <family val="2"/>
    </font>
    <font>
      <sz val="11"/>
      <color theme="1"/>
      <name val="Cambria"/>
      <family val="1"/>
      <scheme val="major"/>
    </font>
    <font>
      <b/>
      <u/>
      <sz val="11"/>
      <color theme="10"/>
      <name val="Calibri"/>
      <family val="2"/>
    </font>
    <font>
      <sz val="10"/>
      <color rgb="FF000000"/>
      <name val="Arial Unicode MS"/>
      <family val="2"/>
    </font>
    <font>
      <sz val="11"/>
      <color rgb="FF231F20"/>
      <name val="Calibri"/>
      <family val="2"/>
      <scheme val="minor"/>
    </font>
    <font>
      <sz val="17"/>
      <color rgb="FF231F2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18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/>
      <right/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2" fillId="0" borderId="0"/>
    <xf numFmtId="9" fontId="1" fillId="0" borderId="0" applyFont="0" applyFill="0" applyBorder="0" applyAlignment="0" applyProtection="0"/>
  </cellStyleXfs>
  <cellXfs count="791">
    <xf numFmtId="0" fontId="0" fillId="0" borderId="0" xfId="0"/>
    <xf numFmtId="0" fontId="2" fillId="0" borderId="0" xfId="0" applyFont="1"/>
    <xf numFmtId="0" fontId="3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quotePrefix="1"/>
    <xf numFmtId="0" fontId="0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5" fillId="0" borderId="9" xfId="0" applyFont="1" applyFill="1" applyBorder="1" applyAlignment="1">
      <alignment horizontal="centerContinuous"/>
    </xf>
    <xf numFmtId="0" fontId="0" fillId="0" borderId="10" xfId="0" applyBorder="1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applyFill="1" applyBorder="1"/>
    <xf numFmtId="0" fontId="5" fillId="0" borderId="1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0" borderId="0" xfId="0" applyFont="1" applyAlignment="1">
      <alignment horizontal="right"/>
    </xf>
    <xf numFmtId="2" fontId="0" fillId="0" borderId="0" xfId="0" applyNumberFormat="1" applyBorder="1"/>
    <xf numFmtId="165" fontId="0" fillId="0" borderId="0" xfId="0" applyNumberFormat="1"/>
    <xf numFmtId="165" fontId="0" fillId="0" borderId="0" xfId="0" applyNumberFormat="1" applyBorder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10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4" fillId="0" borderId="0" xfId="0" applyFont="1" applyAlignment="1">
      <alignment horizontal="center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Border="1" applyAlignment="1">
      <alignment horizontal="left"/>
    </xf>
    <xf numFmtId="164" fontId="0" fillId="0" borderId="0" xfId="0" applyNumberFormat="1" applyBorder="1"/>
    <xf numFmtId="0" fontId="0" fillId="0" borderId="0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0" fillId="0" borderId="15" xfId="0" applyBorder="1" applyAlignment="1">
      <alignment horizontal="right"/>
    </xf>
    <xf numFmtId="0" fontId="0" fillId="0" borderId="15" xfId="0" applyBorder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/>
    <xf numFmtId="0" fontId="0" fillId="0" borderId="0" xfId="0" applyFont="1" applyAlignment="1">
      <alignment horizontal="left"/>
    </xf>
    <xf numFmtId="0" fontId="5" fillId="0" borderId="0" xfId="0" applyFont="1" applyBorder="1"/>
    <xf numFmtId="0" fontId="5" fillId="0" borderId="0" xfId="0" applyFont="1" applyFill="1" applyBorder="1" applyAlignment="1">
      <alignment horizontal="left"/>
    </xf>
    <xf numFmtId="0" fontId="5" fillId="0" borderId="0" xfId="0" applyFont="1" applyAlignment="1">
      <alignment horizontal="right"/>
    </xf>
    <xf numFmtId="0" fontId="0" fillId="0" borderId="6" xfId="0" applyFon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18" xfId="0" applyBorder="1" applyAlignment="1">
      <alignment horizontal="center"/>
    </xf>
    <xf numFmtId="0" fontId="0" fillId="0" borderId="21" xfId="0" applyBorder="1"/>
    <xf numFmtId="0" fontId="0" fillId="2" borderId="5" xfId="0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2" borderId="0" xfId="0" applyFill="1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/>
    <xf numFmtId="0" fontId="0" fillId="0" borderId="22" xfId="0" applyBorder="1"/>
    <xf numFmtId="0" fontId="0" fillId="0" borderId="23" xfId="0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7" xfId="0" applyBorder="1" applyAlignment="1">
      <alignment horizontal="right"/>
    </xf>
    <xf numFmtId="0" fontId="0" fillId="0" borderId="2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/>
    </xf>
    <xf numFmtId="10" fontId="0" fillId="0" borderId="0" xfId="0" applyNumberFormat="1" applyBorder="1"/>
    <xf numFmtId="10" fontId="0" fillId="0" borderId="7" xfId="0" applyNumberFormat="1" applyBorder="1"/>
    <xf numFmtId="0" fontId="0" fillId="0" borderId="24" xfId="0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4" xfId="0" applyBorder="1"/>
    <xf numFmtId="10" fontId="0" fillId="0" borderId="0" xfId="0" applyNumberFormat="1" applyFill="1" applyBorder="1"/>
    <xf numFmtId="0" fontId="0" fillId="0" borderId="36" xfId="0" applyBorder="1"/>
    <xf numFmtId="0" fontId="0" fillId="0" borderId="35" xfId="0" applyBorder="1"/>
    <xf numFmtId="0" fontId="0" fillId="0" borderId="37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10" fontId="0" fillId="0" borderId="37" xfId="0" applyNumberFormat="1" applyBorder="1"/>
    <xf numFmtId="0" fontId="0" fillId="0" borderId="4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37" xfId="0" applyFill="1" applyBorder="1"/>
    <xf numFmtId="0" fontId="0" fillId="0" borderId="39" xfId="0" applyBorder="1"/>
    <xf numFmtId="9" fontId="0" fillId="0" borderId="0" xfId="0" applyNumberForma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45" xfId="0" applyBorder="1"/>
    <xf numFmtId="0" fontId="0" fillId="0" borderId="46" xfId="0" applyBorder="1"/>
    <xf numFmtId="0" fontId="0" fillId="0" borderId="41" xfId="0" applyBorder="1" applyAlignment="1">
      <alignment horizontal="center"/>
    </xf>
    <xf numFmtId="0" fontId="0" fillId="0" borderId="47" xfId="0" applyBorder="1" applyAlignment="1">
      <alignment horizontal="center"/>
    </xf>
    <xf numFmtId="0" fontId="4" fillId="0" borderId="0" xfId="0" applyFont="1" applyBorder="1"/>
    <xf numFmtId="0" fontId="0" fillId="0" borderId="4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47" xfId="0" applyBorder="1"/>
    <xf numFmtId="0" fontId="0" fillId="0" borderId="50" xfId="0" applyBorder="1"/>
    <xf numFmtId="0" fontId="0" fillId="0" borderId="51" xfId="0" applyBorder="1"/>
    <xf numFmtId="0" fontId="0" fillId="0" borderId="48" xfId="0" applyBorder="1"/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4" xfId="0" applyBorder="1"/>
    <xf numFmtId="0" fontId="0" fillId="0" borderId="52" xfId="0" applyBorder="1"/>
    <xf numFmtId="0" fontId="0" fillId="0" borderId="0" xfId="0" applyAlignment="1">
      <alignment horizontal="center"/>
    </xf>
    <xf numFmtId="0" fontId="5" fillId="0" borderId="9" xfId="0" applyFont="1" applyFill="1" applyBorder="1" applyAlignment="1">
      <alignment horizontal="center"/>
    </xf>
    <xf numFmtId="10" fontId="0" fillId="0" borderId="54" xfId="0" applyNumberFormat="1" applyBorder="1"/>
    <xf numFmtId="0" fontId="0" fillId="0" borderId="55" xfId="0" applyBorder="1"/>
    <xf numFmtId="0" fontId="0" fillId="0" borderId="56" xfId="0" applyBorder="1"/>
    <xf numFmtId="0" fontId="0" fillId="0" borderId="57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42" xfId="0" applyBorder="1"/>
    <xf numFmtId="0" fontId="0" fillId="0" borderId="49" xfId="0" applyBorder="1"/>
    <xf numFmtId="0" fontId="0" fillId="0" borderId="45" xfId="0" applyBorder="1" applyAlignment="1">
      <alignment horizontal="center"/>
    </xf>
    <xf numFmtId="0" fontId="0" fillId="0" borderId="44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" xfId="0" applyFill="1" applyBorder="1" applyAlignment="1"/>
    <xf numFmtId="0" fontId="0" fillId="0" borderId="45" xfId="0" applyFill="1" applyBorder="1" applyAlignment="1"/>
    <xf numFmtId="0" fontId="0" fillId="0" borderId="39" xfId="0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0" fillId="0" borderId="0" xfId="0" applyFill="1"/>
    <xf numFmtId="0" fontId="0" fillId="2" borderId="56" xfId="0" applyFill="1" applyBorder="1"/>
    <xf numFmtId="0" fontId="0" fillId="2" borderId="54" xfId="0" applyFill="1" applyBorder="1"/>
    <xf numFmtId="0" fontId="0" fillId="2" borderId="55" xfId="0" applyFill="1" applyBorder="1"/>
    <xf numFmtId="0" fontId="0" fillId="2" borderId="4" xfId="0" applyFill="1" applyBorder="1"/>
    <xf numFmtId="0" fontId="0" fillId="2" borderId="45" xfId="0" applyFill="1" applyBorder="1"/>
    <xf numFmtId="0" fontId="0" fillId="2" borderId="7" xfId="0" applyFill="1" applyBorder="1"/>
    <xf numFmtId="0" fontId="0" fillId="2" borderId="8" xfId="0" applyFill="1" applyBorder="1"/>
    <xf numFmtId="0" fontId="0" fillId="4" borderId="56" xfId="0" applyFill="1" applyBorder="1"/>
    <xf numFmtId="0" fontId="0" fillId="4" borderId="54" xfId="0" applyFill="1" applyBorder="1"/>
    <xf numFmtId="0" fontId="0" fillId="4" borderId="55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45" xfId="0" applyFill="1" applyBorder="1"/>
    <xf numFmtId="0" fontId="0" fillId="4" borderId="7" xfId="0" applyFill="1" applyBorder="1"/>
    <xf numFmtId="0" fontId="0" fillId="4" borderId="8" xfId="0" applyFill="1" applyBorder="1"/>
    <xf numFmtId="0" fontId="0" fillId="6" borderId="54" xfId="0" applyFill="1" applyBorder="1"/>
    <xf numFmtId="0" fontId="0" fillId="6" borderId="0" xfId="0" applyFill="1" applyBorder="1"/>
    <xf numFmtId="0" fontId="0" fillId="5" borderId="0" xfId="0" applyFill="1" applyBorder="1"/>
    <xf numFmtId="0" fontId="5" fillId="0" borderId="9" xfId="0" applyFont="1" applyFill="1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/>
    <xf numFmtId="0" fontId="0" fillId="0" borderId="58" xfId="0" applyBorder="1"/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2" xfId="0" applyFont="1" applyBorder="1"/>
    <xf numFmtId="0" fontId="0" fillId="0" borderId="45" xfId="0" applyFont="1" applyBorder="1"/>
    <xf numFmtId="0" fontId="0" fillId="0" borderId="47" xfId="0" applyFont="1" applyBorder="1"/>
    <xf numFmtId="0" fontId="0" fillId="0" borderId="63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5" xfId="0" applyBorder="1"/>
    <xf numFmtId="0" fontId="0" fillId="0" borderId="66" xfId="0" applyBorder="1" applyAlignment="1">
      <alignment horizontal="center"/>
    </xf>
    <xf numFmtId="0" fontId="0" fillId="0" borderId="67" xfId="0" applyBorder="1"/>
    <xf numFmtId="0" fontId="0" fillId="0" borderId="1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10" xfId="0" applyNumberFormat="1" applyBorder="1"/>
    <xf numFmtId="0" fontId="0" fillId="0" borderId="0" xfId="0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/>
    <xf numFmtId="0" fontId="0" fillId="0" borderId="72" xfId="0" applyBorder="1"/>
    <xf numFmtId="0" fontId="0" fillId="0" borderId="73" xfId="0" applyBorder="1"/>
    <xf numFmtId="0" fontId="0" fillId="0" borderId="76" xfId="0" applyBorder="1"/>
    <xf numFmtId="0" fontId="0" fillId="0" borderId="76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77" xfId="0" applyBorder="1"/>
    <xf numFmtId="0" fontId="0" fillId="0" borderId="78" xfId="0" applyBorder="1"/>
    <xf numFmtId="0" fontId="0" fillId="0" borderId="74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62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2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84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0" xfId="0" applyBorder="1" applyAlignment="1">
      <alignment horizontal="right"/>
    </xf>
    <xf numFmtId="0" fontId="0" fillId="0" borderId="60" xfId="0" applyBorder="1"/>
    <xf numFmtId="0" fontId="0" fillId="0" borderId="66" xfId="0" applyBorder="1"/>
    <xf numFmtId="0" fontId="0" fillId="3" borderId="56" xfId="0" applyFill="1" applyBorder="1"/>
    <xf numFmtId="0" fontId="0" fillId="3" borderId="60" xfId="0" applyFill="1" applyBorder="1"/>
    <xf numFmtId="0" fontId="0" fillId="3" borderId="66" xfId="0" applyFill="1" applyBorder="1"/>
    <xf numFmtId="0" fontId="0" fillId="3" borderId="81" xfId="0" applyFill="1" applyBorder="1"/>
    <xf numFmtId="0" fontId="0" fillId="3" borderId="0" xfId="0" applyFill="1" applyBorder="1"/>
    <xf numFmtId="0" fontId="0" fillId="3" borderId="62" xfId="0" applyFill="1" applyBorder="1"/>
    <xf numFmtId="0" fontId="0" fillId="3" borderId="45" xfId="0" applyFill="1" applyBorder="1"/>
    <xf numFmtId="0" fontId="0" fillId="3" borderId="46" xfId="0" applyFill="1" applyBorder="1"/>
    <xf numFmtId="0" fontId="0" fillId="3" borderId="47" xfId="0" applyFill="1" applyBorder="1"/>
    <xf numFmtId="0" fontId="0" fillId="0" borderId="56" xfId="0" applyFill="1" applyBorder="1"/>
    <xf numFmtId="0" fontId="0" fillId="0" borderId="60" xfId="0" applyFill="1" applyBorder="1"/>
    <xf numFmtId="0" fontId="0" fillId="0" borderId="66" xfId="0" applyFill="1" applyBorder="1"/>
    <xf numFmtId="0" fontId="0" fillId="0" borderId="81" xfId="0" applyFill="1" applyBorder="1"/>
    <xf numFmtId="0" fontId="0" fillId="0" borderId="62" xfId="0" applyFill="1" applyBorder="1"/>
    <xf numFmtId="0" fontId="0" fillId="0" borderId="45" xfId="0" applyFill="1" applyBorder="1"/>
    <xf numFmtId="0" fontId="0" fillId="0" borderId="46" xfId="0" applyFill="1" applyBorder="1"/>
    <xf numFmtId="0" fontId="0" fillId="0" borderId="47" xfId="0" applyFill="1" applyBorder="1"/>
    <xf numFmtId="0" fontId="5" fillId="0" borderId="0" xfId="0" applyFont="1" applyFill="1" applyBorder="1"/>
    <xf numFmtId="0" fontId="0" fillId="0" borderId="46" xfId="0" applyFill="1" applyBorder="1" applyAlignment="1"/>
    <xf numFmtId="0" fontId="0" fillId="0" borderId="69" xfId="0" applyBorder="1" applyAlignment="1">
      <alignment horizontal="right"/>
    </xf>
    <xf numFmtId="0" fontId="0" fillId="0" borderId="10" xfId="0" applyFill="1" applyBorder="1" applyAlignment="1">
      <alignment horizontal="center"/>
    </xf>
    <xf numFmtId="0" fontId="4" fillId="0" borderId="69" xfId="0" applyFont="1" applyBorder="1" applyAlignment="1">
      <alignment horizontal="right"/>
    </xf>
    <xf numFmtId="0" fontId="2" fillId="0" borderId="0" xfId="0" applyFont="1" applyFill="1" applyBorder="1" applyAlignment="1"/>
    <xf numFmtId="0" fontId="4" fillId="0" borderId="0" xfId="0" applyFont="1" applyBorder="1" applyAlignment="1">
      <alignment horizontal="right"/>
    </xf>
    <xf numFmtId="0" fontId="0" fillId="0" borderId="46" xfId="0" applyBorder="1" applyAlignment="1">
      <alignment horizontal="right"/>
    </xf>
    <xf numFmtId="2" fontId="0" fillId="0" borderId="81" xfId="0" applyNumberFormat="1" applyBorder="1"/>
    <xf numFmtId="2" fontId="0" fillId="0" borderId="62" xfId="0" applyNumberFormat="1" applyBorder="1"/>
    <xf numFmtId="0" fontId="0" fillId="0" borderId="48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81" xfId="0" applyFont="1" applyBorder="1"/>
    <xf numFmtId="0" fontId="0" fillId="0" borderId="81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5" xfId="0" applyBorder="1"/>
    <xf numFmtId="0" fontId="0" fillId="0" borderId="48" xfId="0" applyNumberFormat="1" applyBorder="1"/>
    <xf numFmtId="0" fontId="0" fillId="0" borderId="67" xfId="0" applyNumberFormat="1" applyBorder="1"/>
    <xf numFmtId="0" fontId="0" fillId="0" borderId="87" xfId="0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89" xfId="0" applyBorder="1"/>
    <xf numFmtId="0" fontId="0" fillId="0" borderId="86" xfId="0" applyFont="1" applyBorder="1"/>
    <xf numFmtId="0" fontId="0" fillId="0" borderId="67" xfId="0" applyFont="1" applyBorder="1"/>
    <xf numFmtId="0" fontId="0" fillId="0" borderId="48" xfId="0" applyFont="1" applyBorder="1"/>
    <xf numFmtId="0" fontId="0" fillId="0" borderId="90" xfId="0" applyBorder="1"/>
    <xf numFmtId="0" fontId="0" fillId="0" borderId="0" xfId="0" applyAlignment="1">
      <alignment horizontal="center"/>
    </xf>
    <xf numFmtId="0" fontId="0" fillId="0" borderId="62" xfId="0" applyBorder="1" applyAlignment="1">
      <alignment horizontal="right"/>
    </xf>
    <xf numFmtId="0" fontId="13" fillId="0" borderId="91" xfId="0" applyFont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7" xfId="0" applyBorder="1"/>
    <xf numFmtId="0" fontId="0" fillId="0" borderId="88" xfId="0" applyBorder="1"/>
    <xf numFmtId="0" fontId="0" fillId="0" borderId="92" xfId="0" applyBorder="1"/>
    <xf numFmtId="0" fontId="0" fillId="0" borderId="93" xfId="0" applyBorder="1"/>
    <xf numFmtId="0" fontId="0" fillId="0" borderId="94" xfId="0" applyBorder="1"/>
    <xf numFmtId="0" fontId="0" fillId="0" borderId="95" xfId="0" applyBorder="1"/>
    <xf numFmtId="0" fontId="0" fillId="0" borderId="93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164" fontId="0" fillId="0" borderId="81" xfId="0" applyNumberFormat="1" applyBorder="1"/>
    <xf numFmtId="165" fontId="0" fillId="0" borderId="81" xfId="0" applyNumberFormat="1" applyBorder="1"/>
    <xf numFmtId="165" fontId="0" fillId="0" borderId="62" xfId="0" applyNumberFormat="1" applyBorder="1"/>
    <xf numFmtId="165" fontId="0" fillId="0" borderId="45" xfId="0" applyNumberFormat="1" applyBorder="1"/>
    <xf numFmtId="165" fontId="0" fillId="0" borderId="47" xfId="0" applyNumberFormat="1" applyBorder="1"/>
    <xf numFmtId="0" fontId="0" fillId="0" borderId="0" xfId="0" applyFont="1" applyFill="1" applyBorder="1" applyAlignment="1"/>
    <xf numFmtId="0" fontId="0" fillId="0" borderId="10" xfId="0" applyFont="1" applyFill="1" applyBorder="1" applyAlignment="1"/>
    <xf numFmtId="0" fontId="5" fillId="0" borderId="9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NumberFormat="1" applyFont="1"/>
    <xf numFmtId="0" fontId="0" fillId="0" borderId="93" xfId="0" applyFont="1" applyBorder="1"/>
    <xf numFmtId="0" fontId="0" fillId="0" borderId="95" xfId="0" applyFont="1" applyBorder="1"/>
    <xf numFmtId="0" fontId="0" fillId="0" borderId="90" xfId="0" applyFont="1" applyBorder="1"/>
    <xf numFmtId="0" fontId="0" fillId="0" borderId="6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8" xfId="0" applyFont="1" applyBorder="1" applyAlignment="1">
      <alignment horizontal="right"/>
    </xf>
    <xf numFmtId="0" fontId="0" fillId="0" borderId="96" xfId="0" applyFont="1" applyBorder="1" applyAlignment="1">
      <alignment horizontal="right"/>
    </xf>
    <xf numFmtId="0" fontId="0" fillId="0" borderId="98" xfId="0" applyFont="1" applyBorder="1" applyAlignment="1">
      <alignment horizontal="right"/>
    </xf>
    <xf numFmtId="0" fontId="0" fillId="0" borderId="81" xfId="0" applyFont="1" applyBorder="1" applyAlignment="1">
      <alignment horizontal="right"/>
    </xf>
    <xf numFmtId="0" fontId="0" fillId="0" borderId="45" xfId="0" applyFont="1" applyBorder="1" applyAlignment="1">
      <alignment horizontal="right"/>
    </xf>
    <xf numFmtId="0" fontId="0" fillId="0" borderId="46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0" fillId="0" borderId="96" xfId="0" applyBorder="1"/>
    <xf numFmtId="0" fontId="0" fillId="0" borderId="99" xfId="0" applyBorder="1"/>
    <xf numFmtId="0" fontId="0" fillId="0" borderId="48" xfId="0" applyNumberFormat="1" applyFont="1" applyBorder="1"/>
    <xf numFmtId="0" fontId="0" fillId="0" borderId="86" xfId="0" applyNumberFormat="1" applyFont="1" applyBorder="1"/>
    <xf numFmtId="0" fontId="9" fillId="0" borderId="0" xfId="0" applyFont="1"/>
    <xf numFmtId="0" fontId="0" fillId="0" borderId="96" xfId="0" applyFont="1" applyBorder="1"/>
    <xf numFmtId="0" fontId="0" fillId="0" borderId="98" xfId="0" applyFont="1" applyBorder="1"/>
    <xf numFmtId="0" fontId="0" fillId="0" borderId="96" xfId="0" applyNumberFormat="1" applyFont="1" applyBorder="1"/>
    <xf numFmtId="0" fontId="0" fillId="0" borderId="98" xfId="0" applyNumberFormat="1" applyFont="1" applyBorder="1"/>
    <xf numFmtId="0" fontId="0" fillId="0" borderId="81" xfId="0" applyNumberFormat="1" applyFont="1" applyBorder="1"/>
    <xf numFmtId="0" fontId="0" fillId="0" borderId="62" xfId="0" applyNumberFormat="1" applyFont="1" applyBorder="1"/>
    <xf numFmtId="0" fontId="0" fillId="0" borderId="62" xfId="0" applyNumberFormat="1" applyFont="1" applyFill="1" applyBorder="1"/>
    <xf numFmtId="0" fontId="0" fillId="0" borderId="45" xfId="0" applyNumberFormat="1" applyFont="1" applyBorder="1"/>
    <xf numFmtId="0" fontId="0" fillId="0" borderId="47" xfId="0" applyNumberFormat="1" applyFont="1" applyFill="1" applyBorder="1"/>
    <xf numFmtId="0" fontId="0" fillId="0" borderId="100" xfId="0" applyBorder="1"/>
    <xf numFmtId="0" fontId="0" fillId="0" borderId="101" xfId="0" applyBorder="1"/>
    <xf numFmtId="0" fontId="0" fillId="0" borderId="88" xfId="0" applyBorder="1" applyAlignment="1">
      <alignment horizontal="center"/>
    </xf>
    <xf numFmtId="0" fontId="14" fillId="0" borderId="0" xfId="1" applyFont="1" applyAlignment="1" applyProtection="1"/>
    <xf numFmtId="0" fontId="0" fillId="0" borderId="0" xfId="0" applyFont="1" applyAlignment="1">
      <alignment horizontal="center"/>
    </xf>
    <xf numFmtId="0" fontId="5" fillId="0" borderId="102" xfId="0" applyFont="1" applyBorder="1" applyAlignment="1">
      <alignment horizontal="center"/>
    </xf>
    <xf numFmtId="0" fontId="0" fillId="0" borderId="2" xfId="0" applyFont="1" applyBorder="1" applyAlignment="1">
      <alignment horizontal="right"/>
    </xf>
    <xf numFmtId="0" fontId="5" fillId="0" borderId="103" xfId="0" applyFont="1" applyBorder="1" applyAlignment="1">
      <alignment horizontal="center"/>
    </xf>
    <xf numFmtId="0" fontId="0" fillId="0" borderId="99" xfId="0" applyFont="1" applyBorder="1"/>
    <xf numFmtId="0" fontId="0" fillId="0" borderId="97" xfId="0" applyFont="1" applyBorder="1" applyAlignment="1">
      <alignment horizontal="right"/>
    </xf>
    <xf numFmtId="0" fontId="0" fillId="0" borderId="0" xfId="0" applyNumberFormat="1" applyFont="1" applyBorder="1"/>
    <xf numFmtId="0" fontId="0" fillId="0" borderId="0" xfId="0" applyNumberFormat="1" applyFont="1" applyFill="1" applyBorder="1"/>
    <xf numFmtId="0" fontId="0" fillId="0" borderId="97" xfId="0" applyNumberFormat="1" applyFont="1" applyFill="1" applyBorder="1"/>
    <xf numFmtId="0" fontId="0" fillId="0" borderId="46" xfId="0" applyNumberFormat="1" applyFont="1" applyBorder="1"/>
    <xf numFmtId="0" fontId="0" fillId="0" borderId="46" xfId="0" applyNumberFormat="1" applyFont="1" applyFill="1" applyBorder="1"/>
    <xf numFmtId="0" fontId="0" fillId="0" borderId="67" xfId="0" applyNumberFormat="1" applyFont="1" applyBorder="1"/>
    <xf numFmtId="0" fontId="0" fillId="0" borderId="104" xfId="0" applyBorder="1"/>
    <xf numFmtId="0" fontId="0" fillId="0" borderId="0" xfId="0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5" xfId="0" applyBorder="1"/>
    <xf numFmtId="0" fontId="0" fillId="0" borderId="106" xfId="0" applyBorder="1"/>
    <xf numFmtId="0" fontId="0" fillId="0" borderId="107" xfId="0" applyBorder="1"/>
    <xf numFmtId="0" fontId="0" fillId="0" borderId="108" xfId="0" applyBorder="1"/>
    <xf numFmtId="0" fontId="5" fillId="0" borderId="110" xfId="0" applyFont="1" applyBorder="1" applyAlignment="1">
      <alignment horizontal="center"/>
    </xf>
    <xf numFmtId="0" fontId="0" fillId="0" borderId="109" xfId="0" applyBorder="1"/>
    <xf numFmtId="0" fontId="0" fillId="0" borderId="111" xfId="0" applyBorder="1"/>
    <xf numFmtId="0" fontId="0" fillId="0" borderId="112" xfId="0" applyBorder="1"/>
    <xf numFmtId="0" fontId="0" fillId="0" borderId="112" xfId="0" applyBorder="1" applyAlignment="1">
      <alignment horizontal="right"/>
    </xf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0" fillId="0" borderId="116" xfId="0" applyBorder="1"/>
    <xf numFmtId="0" fontId="0" fillId="0" borderId="10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9" xfId="0" applyBorder="1"/>
    <xf numFmtId="0" fontId="0" fillId="0" borderId="120" xfId="0" applyBorder="1"/>
    <xf numFmtId="0" fontId="0" fillId="0" borderId="121" xfId="0" applyBorder="1"/>
    <xf numFmtId="0" fontId="5" fillId="0" borderId="122" xfId="0" applyFont="1" applyBorder="1" applyAlignment="1">
      <alignment horizontal="center"/>
    </xf>
    <xf numFmtId="0" fontId="0" fillId="0" borderId="123" xfId="0" applyBorder="1"/>
    <xf numFmtId="0" fontId="0" fillId="0" borderId="124" xfId="0" applyBorder="1"/>
    <xf numFmtId="0" fontId="0" fillId="0" borderId="125" xfId="0" applyBorder="1"/>
    <xf numFmtId="0" fontId="0" fillId="0" borderId="126" xfId="0" applyBorder="1"/>
    <xf numFmtId="0" fontId="0" fillId="0" borderId="118" xfId="0" applyBorder="1"/>
    <xf numFmtId="0" fontId="0" fillId="0" borderId="107" xfId="0" applyNumberFormat="1" applyFont="1" applyBorder="1"/>
    <xf numFmtId="0" fontId="0" fillId="0" borderId="2" xfId="0" applyFont="1" applyBorder="1"/>
    <xf numFmtId="0" fontId="0" fillId="0" borderId="109" xfId="0" applyFont="1" applyBorder="1"/>
    <xf numFmtId="0" fontId="0" fillId="0" borderId="116" xfId="0" applyFont="1" applyBorder="1"/>
    <xf numFmtId="0" fontId="0" fillId="0" borderId="111" xfId="0" applyNumberFormat="1" applyFont="1" applyBorder="1"/>
    <xf numFmtId="0" fontId="0" fillId="0" borderId="2" xfId="0" applyNumberFormat="1" applyFont="1" applyBorder="1"/>
    <xf numFmtId="0" fontId="0" fillId="0" borderId="116" xfId="0" applyNumberFormat="1" applyFont="1" applyBorder="1"/>
    <xf numFmtId="0" fontId="0" fillId="0" borderId="107" xfId="0" applyFont="1" applyBorder="1"/>
    <xf numFmtId="0" fontId="0" fillId="0" borderId="0" xfId="0" applyAlignment="1">
      <alignment horizontal="center"/>
    </xf>
    <xf numFmtId="0" fontId="0" fillId="0" borderId="119" xfId="0" applyBorder="1" applyAlignment="1">
      <alignment horizontal="center"/>
    </xf>
    <xf numFmtId="0" fontId="0" fillId="0" borderId="121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5" xfId="0" applyBorder="1" applyAlignment="1">
      <alignment horizontal="center"/>
    </xf>
    <xf numFmtId="164" fontId="0" fillId="0" borderId="45" xfId="0" applyNumberFormat="1" applyBorder="1"/>
    <xf numFmtId="0" fontId="0" fillId="0" borderId="127" xfId="0" applyBorder="1"/>
    <xf numFmtId="0" fontId="0" fillId="0" borderId="109" xfId="0" applyNumberFormat="1" applyFont="1" applyBorder="1"/>
    <xf numFmtId="0" fontId="0" fillId="0" borderId="123" xfId="0" applyFont="1" applyBorder="1"/>
    <xf numFmtId="0" fontId="0" fillId="0" borderId="109" xfId="0" applyFont="1" applyFill="1" applyBorder="1"/>
    <xf numFmtId="0" fontId="0" fillId="0" borderId="62" xfId="0" applyFont="1" applyFill="1" applyBorder="1"/>
    <xf numFmtId="0" fontId="0" fillId="0" borderId="47" xfId="0" applyFont="1" applyFill="1" applyBorder="1"/>
    <xf numFmtId="0" fontId="5" fillId="0" borderId="129" xfId="0" applyFont="1" applyBorder="1" applyAlignment="1">
      <alignment horizontal="center"/>
    </xf>
    <xf numFmtId="0" fontId="0" fillId="0" borderId="130" xfId="0" applyBorder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28" xfId="0" applyBorder="1"/>
    <xf numFmtId="0" fontId="0" fillId="0" borderId="108" xfId="0" applyNumberFormat="1" applyFont="1" applyFill="1" applyBorder="1"/>
    <xf numFmtId="0" fontId="0" fillId="0" borderId="0" xfId="0" applyFont="1" applyAlignment="1"/>
    <xf numFmtId="0" fontId="0" fillId="0" borderId="0" xfId="0" quotePrefix="1" applyFont="1" applyAlignment="1">
      <alignment horizontal="left"/>
    </xf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1" xfId="0" quotePrefix="1" applyBorder="1"/>
    <xf numFmtId="0" fontId="0" fillId="0" borderId="3" xfId="0" quotePrefix="1" applyBorder="1"/>
    <xf numFmtId="0" fontId="0" fillId="0" borderId="81" xfId="0" quotePrefix="1" applyBorder="1"/>
    <xf numFmtId="0" fontId="0" fillId="0" borderId="62" xfId="0" quotePrefix="1" applyBorder="1"/>
    <xf numFmtId="0" fontId="0" fillId="0" borderId="45" xfId="0" quotePrefix="1" applyBorder="1"/>
    <xf numFmtId="0" fontId="0" fillId="0" borderId="47" xfId="0" quotePrefix="1" applyBorder="1"/>
    <xf numFmtId="0" fontId="0" fillId="0" borderId="116" xfId="0" applyFill="1" applyBorder="1"/>
    <xf numFmtId="0" fontId="0" fillId="0" borderId="0" xfId="0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131" xfId="0" applyBorder="1"/>
    <xf numFmtId="166" fontId="0" fillId="0" borderId="62" xfId="4" applyNumberFormat="1" applyFont="1" applyBorder="1"/>
    <xf numFmtId="166" fontId="0" fillId="0" borderId="45" xfId="4" applyNumberFormat="1" applyFont="1" applyBorder="1"/>
    <xf numFmtId="166" fontId="0" fillId="0" borderId="47" xfId="4" applyNumberFormat="1" applyFont="1" applyBorder="1"/>
    <xf numFmtId="0" fontId="0" fillId="0" borderId="116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32" xfId="0" applyBorder="1"/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36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30" xfId="0" applyBorder="1" applyAlignment="1">
      <alignment horizontal="right"/>
    </xf>
    <xf numFmtId="9" fontId="0" fillId="0" borderId="45" xfId="4" applyFont="1" applyBorder="1"/>
    <xf numFmtId="9" fontId="0" fillId="0" borderId="116" xfId="4" applyFont="1" applyBorder="1"/>
    <xf numFmtId="9" fontId="0" fillId="0" borderId="47" xfId="4" applyFont="1" applyBorder="1"/>
    <xf numFmtId="166" fontId="0" fillId="0" borderId="116" xfId="4" applyNumberFormat="1" applyFont="1" applyBorder="1"/>
    <xf numFmtId="166" fontId="0" fillId="0" borderId="137" xfId="4" applyNumberFormat="1" applyFont="1" applyBorder="1"/>
    <xf numFmtId="0" fontId="0" fillId="7" borderId="0" xfId="0" applyFill="1" applyBorder="1"/>
    <xf numFmtId="0" fontId="0" fillId="0" borderId="132" xfId="0" applyBorder="1" applyAlignment="1">
      <alignment horizontal="center"/>
    </xf>
    <xf numFmtId="0" fontId="0" fillId="0" borderId="120" xfId="0" applyBorder="1" applyAlignment="1">
      <alignment horizontal="center"/>
    </xf>
    <xf numFmtId="10" fontId="0" fillId="0" borderId="133" xfId="0" applyNumberFormat="1" applyBorder="1"/>
    <xf numFmtId="10" fontId="0" fillId="0" borderId="14" xfId="0" applyNumberFormat="1" applyBorder="1"/>
    <xf numFmtId="0" fontId="0" fillId="0" borderId="114" xfId="0" applyBorder="1" applyAlignment="1">
      <alignment horizontal="center"/>
    </xf>
    <xf numFmtId="10" fontId="0" fillId="0" borderId="115" xfId="0" applyNumberFormat="1" applyBorder="1"/>
    <xf numFmtId="10" fontId="0" fillId="0" borderId="113" xfId="0" applyNumberFormat="1" applyBorder="1"/>
    <xf numFmtId="10" fontId="0" fillId="0" borderId="114" xfId="0" applyNumberFormat="1" applyBorder="1"/>
    <xf numFmtId="9" fontId="0" fillId="0" borderId="136" xfId="4" applyFont="1" applyBorder="1"/>
    <xf numFmtId="9" fontId="0" fillId="0" borderId="134" xfId="4" applyFont="1" applyBorder="1"/>
    <xf numFmtId="9" fontId="0" fillId="0" borderId="137" xfId="4" applyFont="1" applyBorder="1"/>
    <xf numFmtId="9" fontId="0" fillId="0" borderId="81" xfId="4" applyFont="1" applyBorder="1"/>
    <xf numFmtId="9" fontId="0" fillId="0" borderId="0" xfId="4" applyFont="1" applyBorder="1"/>
    <xf numFmtId="9" fontId="0" fillId="0" borderId="62" xfId="4" applyFont="1" applyBorder="1"/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36" xfId="0" applyFont="1" applyBorder="1" applyAlignment="1">
      <alignment horizontal="center"/>
    </xf>
    <xf numFmtId="0" fontId="0" fillId="0" borderId="85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6" fontId="0" fillId="0" borderId="132" xfId="0" applyNumberFormat="1" applyBorder="1"/>
    <xf numFmtId="166" fontId="0" fillId="0" borderId="120" xfId="0" applyNumberFormat="1" applyBorder="1"/>
    <xf numFmtId="166" fontId="0" fillId="0" borderId="133" xfId="0" applyNumberFormat="1" applyBorder="1"/>
    <xf numFmtId="166" fontId="0" fillId="0" borderId="65" xfId="0" applyNumberFormat="1" applyBorder="1"/>
    <xf numFmtId="166" fontId="0" fillId="0" borderId="0" xfId="0" applyNumberFormat="1" applyBorder="1"/>
    <xf numFmtId="166" fontId="0" fillId="0" borderId="14" xfId="0" applyNumberFormat="1" applyBorder="1"/>
    <xf numFmtId="166" fontId="0" fillId="0" borderId="113" xfId="0" applyNumberFormat="1" applyBorder="1"/>
    <xf numFmtId="166" fontId="0" fillId="0" borderId="114" xfId="0" applyNumberFormat="1" applyBorder="1"/>
    <xf numFmtId="166" fontId="0" fillId="0" borderId="115" xfId="0" applyNumberFormat="1" applyBorder="1"/>
    <xf numFmtId="0" fontId="0" fillId="0" borderId="133" xfId="0" applyBorder="1" applyAlignment="1">
      <alignment horizontal="center"/>
    </xf>
    <xf numFmtId="0" fontId="0" fillId="0" borderId="0" xfId="0" applyAlignment="1">
      <alignment horizontal="center"/>
    </xf>
    <xf numFmtId="0" fontId="9" fillId="0" borderId="45" xfId="0" applyFont="1" applyBorder="1"/>
    <xf numFmtId="0" fontId="9" fillId="0" borderId="47" xfId="0" applyFont="1" applyBorder="1"/>
    <xf numFmtId="0" fontId="0" fillId="0" borderId="136" xfId="0" applyNumberFormat="1" applyFont="1" applyBorder="1"/>
    <xf numFmtId="0" fontId="0" fillId="0" borderId="137" xfId="0" applyNumberFormat="1" applyFont="1" applyFill="1" applyBorder="1"/>
    <xf numFmtId="0" fontId="0" fillId="0" borderId="47" xfId="0" applyNumberFormat="1" applyFont="1" applyBorder="1"/>
    <xf numFmtId="0" fontId="5" fillId="0" borderId="116" xfId="0" applyFont="1" applyBorder="1" applyAlignment="1">
      <alignment horizontal="center"/>
    </xf>
    <xf numFmtId="164" fontId="0" fillId="0" borderId="116" xfId="0" applyNumberFormat="1" applyBorder="1"/>
    <xf numFmtId="0" fontId="0" fillId="0" borderId="130" xfId="0" applyFill="1" applyBorder="1"/>
    <xf numFmtId="164" fontId="0" fillId="0" borderId="130" xfId="0" applyNumberFormat="1" applyBorder="1"/>
    <xf numFmtId="164" fontId="0" fillId="0" borderId="3" xfId="0" applyNumberFormat="1" applyBorder="1"/>
    <xf numFmtId="164" fontId="0" fillId="0" borderId="62" xfId="0" applyNumberFormat="1" applyBorder="1"/>
    <xf numFmtId="164" fontId="0" fillId="0" borderId="47" xfId="0" applyNumberFormat="1" applyBorder="1"/>
    <xf numFmtId="0" fontId="0" fillId="0" borderId="138" xfId="0" applyBorder="1"/>
    <xf numFmtId="165" fontId="0" fillId="0" borderId="130" xfId="0" applyNumberFormat="1" applyBorder="1"/>
    <xf numFmtId="165" fontId="0" fillId="0" borderId="137" xfId="0" applyNumberFormat="1" applyBorder="1"/>
    <xf numFmtId="165" fontId="0" fillId="0" borderId="116" xfId="0" applyNumberFormat="1" applyBorder="1"/>
    <xf numFmtId="165" fontId="0" fillId="0" borderId="136" xfId="0" applyNumberFormat="1" applyBorder="1"/>
    <xf numFmtId="0" fontId="0" fillId="0" borderId="0" xfId="0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34" xfId="0" applyFill="1" applyBorder="1"/>
    <xf numFmtId="0" fontId="0" fillId="3" borderId="137" xfId="0" applyFill="1" applyBorder="1"/>
    <xf numFmtId="0" fontId="0" fillId="3" borderId="116" xfId="0" applyFill="1" applyBorder="1"/>
    <xf numFmtId="0" fontId="0" fillId="0" borderId="134" xfId="0" applyFill="1" applyBorder="1"/>
    <xf numFmtId="0" fontId="0" fillId="0" borderId="118" xfId="0" applyBorder="1" applyAlignment="1">
      <alignment horizontal="right"/>
    </xf>
    <xf numFmtId="164" fontId="0" fillId="0" borderId="136" xfId="0" applyNumberFormat="1" applyBorder="1"/>
    <xf numFmtId="164" fontId="0" fillId="0" borderId="137" xfId="0" applyNumberFormat="1" applyBorder="1"/>
    <xf numFmtId="0" fontId="0" fillId="0" borderId="0" xfId="0" applyAlignment="1">
      <alignment horizontal="center"/>
    </xf>
    <xf numFmtId="0" fontId="0" fillId="0" borderId="89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117" xfId="0" applyBorder="1"/>
    <xf numFmtId="164" fontId="0" fillId="0" borderId="117" xfId="0" applyNumberFormat="1" applyBorder="1"/>
    <xf numFmtId="0" fontId="0" fillId="0" borderId="0" xfId="0" applyAlignment="1">
      <alignment horizontal="center"/>
    </xf>
    <xf numFmtId="0" fontId="0" fillId="0" borderId="89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7" xfId="0" applyBorder="1" applyAlignment="1">
      <alignment horizontal="center"/>
    </xf>
    <xf numFmtId="0" fontId="0" fillId="0" borderId="136" xfId="0" applyBorder="1" applyAlignment="1">
      <alignment horizontal="center"/>
    </xf>
    <xf numFmtId="0" fontId="2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135" xfId="0" applyNumberForma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9" fontId="0" fillId="0" borderId="0" xfId="4" applyFont="1" applyAlignment="1">
      <alignment horizontal="center"/>
    </xf>
    <xf numFmtId="9" fontId="0" fillId="0" borderId="87" xfId="4" applyFont="1" applyBorder="1" applyAlignment="1">
      <alignment horizontal="center"/>
    </xf>
    <xf numFmtId="9" fontId="0" fillId="0" borderId="89" xfId="4" applyFont="1" applyBorder="1" applyAlignment="1">
      <alignment horizontal="center"/>
    </xf>
    <xf numFmtId="9" fontId="0" fillId="0" borderId="88" xfId="4" applyFont="1" applyBorder="1" applyAlignment="1">
      <alignment horizontal="center"/>
    </xf>
    <xf numFmtId="9" fontId="0" fillId="0" borderId="0" xfId="4" applyFont="1" applyBorder="1" applyAlignment="1">
      <alignment horizontal="center"/>
    </xf>
    <xf numFmtId="0" fontId="0" fillId="0" borderId="139" xfId="0" applyBorder="1"/>
    <xf numFmtId="0" fontId="0" fillId="0" borderId="140" xfId="0" applyBorder="1"/>
    <xf numFmtId="0" fontId="0" fillId="0" borderId="141" xfId="0" applyBorder="1"/>
    <xf numFmtId="0" fontId="0" fillId="0" borderId="142" xfId="0" applyBorder="1"/>
    <xf numFmtId="0" fontId="0" fillId="0" borderId="143" xfId="0" applyBorder="1"/>
    <xf numFmtId="0" fontId="0" fillId="0" borderId="144" xfId="0" applyBorder="1"/>
    <xf numFmtId="0" fontId="0" fillId="0" borderId="146" xfId="0" applyBorder="1"/>
    <xf numFmtId="0" fontId="0" fillId="0" borderId="147" xfId="0" applyBorder="1"/>
    <xf numFmtId="0" fontId="0" fillId="0" borderId="148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45" xfId="0" applyBorder="1"/>
    <xf numFmtId="0" fontId="0" fillId="4" borderId="137" xfId="0" applyFill="1" applyBorder="1"/>
    <xf numFmtId="0" fontId="0" fillId="4" borderId="62" xfId="0" applyFill="1" applyBorder="1"/>
    <xf numFmtId="0" fontId="0" fillId="4" borderId="116" xfId="0" applyFill="1" applyBorder="1"/>
    <xf numFmtId="0" fontId="0" fillId="4" borderId="47" xfId="0" applyFill="1" applyBorder="1"/>
    <xf numFmtId="0" fontId="0" fillId="4" borderId="136" xfId="0" applyFill="1" applyBorder="1"/>
    <xf numFmtId="0" fontId="0" fillId="4" borderId="130" xfId="0" applyFill="1" applyBorder="1"/>
    <xf numFmtId="0" fontId="0" fillId="4" borderId="81" xfId="0" applyFill="1" applyBorder="1"/>
    <xf numFmtId="0" fontId="0" fillId="0" borderId="0" xfId="0" applyAlignment="1">
      <alignment horizontal="center" vertical="center"/>
    </xf>
    <xf numFmtId="0" fontId="0" fillId="8" borderId="0" xfId="0" applyFill="1" applyBorder="1"/>
    <xf numFmtId="0" fontId="0" fillId="8" borderId="116" xfId="0" applyFill="1" applyBorder="1"/>
    <xf numFmtId="165" fontId="0" fillId="0" borderId="1" xfId="0" applyNumberFormat="1" applyBorder="1"/>
    <xf numFmtId="165" fontId="0" fillId="0" borderId="3" xfId="0" applyNumberFormat="1" applyBorder="1"/>
    <xf numFmtId="0" fontId="15" fillId="0" borderId="0" xfId="0" applyFont="1" applyAlignment="1">
      <alignment vertical="center"/>
    </xf>
    <xf numFmtId="0" fontId="15" fillId="0" borderId="0" xfId="0" applyFont="1" applyAlignment="1">
      <alignment horizontal="right" vertical="center"/>
    </xf>
    <xf numFmtId="2" fontId="2" fillId="0" borderId="0" xfId="0" applyNumberFormat="1" applyFont="1"/>
    <xf numFmtId="3" fontId="0" fillId="0" borderId="0" xfId="0" applyNumberFormat="1" applyBorder="1"/>
    <xf numFmtId="2" fontId="0" fillId="0" borderId="130" xfId="0" applyNumberFormat="1" applyBorder="1"/>
    <xf numFmtId="2" fontId="0" fillId="0" borderId="1" xfId="0" applyNumberFormat="1" applyBorder="1"/>
    <xf numFmtId="0" fontId="0" fillId="8" borderId="130" xfId="0" applyFill="1" applyBorder="1"/>
    <xf numFmtId="0" fontId="0" fillId="0" borderId="151" xfId="0" applyBorder="1"/>
    <xf numFmtId="0" fontId="0" fillId="0" borderId="152" xfId="0" applyBorder="1"/>
    <xf numFmtId="0" fontId="0" fillId="0" borderId="157" xfId="0" applyBorder="1" applyAlignment="1">
      <alignment horizontal="center"/>
    </xf>
    <xf numFmtId="0" fontId="0" fillId="0" borderId="157" xfId="0" applyBorder="1"/>
    <xf numFmtId="0" fontId="0" fillId="0" borderId="155" xfId="0" applyBorder="1"/>
    <xf numFmtId="0" fontId="0" fillId="0" borderId="156" xfId="0" applyBorder="1"/>
    <xf numFmtId="0" fontId="0" fillId="0" borderId="158" xfId="0" applyBorder="1"/>
    <xf numFmtId="0" fontId="0" fillId="0" borderId="159" xfId="0" applyBorder="1"/>
    <xf numFmtId="0" fontId="3" fillId="0" borderId="0" xfId="1" applyNumberFormat="1" applyAlignment="1" applyProtection="1"/>
    <xf numFmtId="165" fontId="0" fillId="0" borderId="155" xfId="0" applyNumberFormat="1" applyBorder="1"/>
    <xf numFmtId="165" fontId="0" fillId="0" borderId="156" xfId="0" applyNumberFormat="1" applyBorder="1"/>
    <xf numFmtId="165" fontId="0" fillId="0" borderId="157" xfId="0" applyNumberFormat="1" applyBorder="1"/>
    <xf numFmtId="0" fontId="0" fillId="0" borderId="87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6" xfId="0" applyBorder="1" applyAlignment="1">
      <alignment horizontal="center"/>
    </xf>
    <xf numFmtId="0" fontId="0" fillId="0" borderId="153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154" xfId="0" applyBorder="1"/>
    <xf numFmtId="0" fontId="0" fillId="0" borderId="155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30" xfId="0" applyFill="1" applyBorder="1" applyAlignment="1">
      <alignment horizontal="center"/>
    </xf>
    <xf numFmtId="0" fontId="0" fillId="0" borderId="87" xfId="0" applyFill="1" applyBorder="1" applyAlignment="1">
      <alignment horizontal="center"/>
    </xf>
    <xf numFmtId="0" fontId="0" fillId="0" borderId="88" xfId="0" applyFill="1" applyBorder="1" applyAlignment="1">
      <alignment horizontal="center"/>
    </xf>
    <xf numFmtId="0" fontId="9" fillId="0" borderId="155" xfId="0" applyFont="1" applyBorder="1"/>
    <xf numFmtId="0" fontId="9" fillId="0" borderId="130" xfId="0" applyFont="1" applyBorder="1"/>
    <xf numFmtId="0" fontId="9" fillId="0" borderId="156" xfId="0" applyFont="1" applyBorder="1"/>
    <xf numFmtId="0" fontId="9" fillId="0" borderId="116" xfId="0" applyFont="1" applyBorder="1"/>
    <xf numFmtId="0" fontId="0" fillId="0" borderId="48" xfId="0" applyFill="1" applyBorder="1"/>
    <xf numFmtId="0" fontId="9" fillId="0" borderId="87" xfId="0" applyFont="1" applyBorder="1"/>
    <xf numFmtId="0" fontId="9" fillId="0" borderId="153" xfId="0" applyFont="1" applyBorder="1"/>
    <xf numFmtId="0" fontId="9" fillId="0" borderId="88" xfId="0" applyFont="1" applyBorder="1"/>
    <xf numFmtId="0" fontId="0" fillId="0" borderId="85" xfId="0" applyBorder="1" applyAlignment="1">
      <alignment horizontal="left"/>
    </xf>
    <xf numFmtId="0" fontId="0" fillId="0" borderId="153" xfId="0" applyBorder="1"/>
    <xf numFmtId="0" fontId="0" fillId="0" borderId="85" xfId="0" applyNumberFormat="1" applyBorder="1"/>
    <xf numFmtId="0" fontId="5" fillId="0" borderId="160" xfId="0" applyFont="1" applyBorder="1" applyAlignment="1">
      <alignment horizontal="center"/>
    </xf>
    <xf numFmtId="0" fontId="5" fillId="0" borderId="161" xfId="0" applyFont="1" applyBorder="1" applyAlignment="1">
      <alignment horizontal="center"/>
    </xf>
    <xf numFmtId="0" fontId="5" fillId="0" borderId="162" xfId="0" applyFont="1" applyBorder="1" applyAlignment="1">
      <alignment horizontal="center"/>
    </xf>
    <xf numFmtId="0" fontId="5" fillId="0" borderId="129" xfId="0" applyFont="1" applyBorder="1" applyAlignment="1">
      <alignment horizontal="left"/>
    </xf>
    <xf numFmtId="0" fontId="0" fillId="0" borderId="117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64" xfId="0" applyBorder="1"/>
    <xf numFmtId="0" fontId="0" fillId="0" borderId="151" xfId="0" applyBorder="1" applyAlignment="1">
      <alignment horizontal="center"/>
    </xf>
    <xf numFmtId="0" fontId="0" fillId="0" borderId="8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6" xfId="0" applyFill="1" applyBorder="1" applyAlignment="1">
      <alignment horizontal="center"/>
    </xf>
    <xf numFmtId="0" fontId="0" fillId="0" borderId="150" xfId="0" applyBorder="1"/>
    <xf numFmtId="0" fontId="0" fillId="0" borderId="164" xfId="0" applyFill="1" applyBorder="1" applyAlignment="1">
      <alignment horizontal="center"/>
    </xf>
    <xf numFmtId="0" fontId="0" fillId="0" borderId="45" xfId="0" applyFill="1" applyBorder="1" applyAlignment="1">
      <alignment horizontal="center"/>
    </xf>
    <xf numFmtId="164" fontId="0" fillId="0" borderId="116" xfId="0" applyNumberFormat="1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11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8" borderId="165" xfId="0" applyFill="1" applyBorder="1"/>
    <xf numFmtId="0" fontId="0" fillId="8" borderId="167" xfId="0" applyFill="1" applyBorder="1"/>
    <xf numFmtId="0" fontId="0" fillId="8" borderId="166" xfId="0" applyFill="1" applyBorder="1"/>
    <xf numFmtId="0" fontId="0" fillId="0" borderId="163" xfId="0" applyBorder="1" applyAlignment="1">
      <alignment horizontal="right"/>
    </xf>
    <xf numFmtId="0" fontId="0" fillId="8" borderId="157" xfId="0" applyFill="1" applyBorder="1"/>
    <xf numFmtId="0" fontId="16" fillId="0" borderId="155" xfId="0" applyFont="1" applyBorder="1" applyAlignment="1">
      <alignment horizontal="center"/>
    </xf>
    <xf numFmtId="0" fontId="16" fillId="0" borderId="81" xfId="0" applyFont="1" applyBorder="1" applyAlignment="1">
      <alignment horizontal="center"/>
    </xf>
    <xf numFmtId="0" fontId="16" fillId="0" borderId="45" xfId="0" applyFont="1" applyBorder="1" applyAlignment="1">
      <alignment horizontal="center"/>
    </xf>
    <xf numFmtId="0" fontId="8" fillId="0" borderId="155" xfId="0" applyFont="1" applyBorder="1" applyAlignment="1">
      <alignment horizontal="center"/>
    </xf>
    <xf numFmtId="0" fontId="8" fillId="0" borderId="81" xfId="0" applyFont="1" applyBorder="1" applyAlignment="1">
      <alignment horizontal="center"/>
    </xf>
    <xf numFmtId="0" fontId="8" fillId="0" borderId="45" xfId="0" applyFont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157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16" xfId="0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0" fillId="0" borderId="155" xfId="0" applyBorder="1" applyAlignment="1">
      <alignment horizontal="center" vertical="center"/>
    </xf>
    <xf numFmtId="0" fontId="0" fillId="0" borderId="156" xfId="0" applyBorder="1" applyAlignment="1">
      <alignment horizontal="center" vertical="center"/>
    </xf>
    <xf numFmtId="0" fontId="5" fillId="0" borderId="129" xfId="0" applyFont="1" applyBorder="1" applyAlignment="1">
      <alignment horizontal="center" vertical="center"/>
    </xf>
    <xf numFmtId="0" fontId="0" fillId="8" borderId="0" xfId="0" applyFill="1" applyBorder="1" applyAlignment="1">
      <alignment vertical="center"/>
    </xf>
    <xf numFmtId="0" fontId="0" fillId="0" borderId="8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5" xfId="0" applyBorder="1" applyAlignment="1">
      <alignment vertical="center"/>
    </xf>
    <xf numFmtId="0" fontId="0" fillId="0" borderId="116" xfId="0" applyBorder="1" applyAlignment="1">
      <alignment horizontal="center" vertical="center"/>
    </xf>
    <xf numFmtId="0" fontId="0" fillId="8" borderId="116" xfId="0" applyFill="1" applyBorder="1" applyAlignment="1">
      <alignment vertical="center"/>
    </xf>
    <xf numFmtId="0" fontId="0" fillId="0" borderId="113" xfId="0" applyBorder="1" applyAlignment="1">
      <alignment vertical="center"/>
    </xf>
    <xf numFmtId="0" fontId="0" fillId="0" borderId="114" xfId="0" applyBorder="1" applyAlignment="1">
      <alignment vertical="center"/>
    </xf>
    <xf numFmtId="0" fontId="0" fillId="0" borderId="45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168" xfId="0" applyBorder="1"/>
    <xf numFmtId="0" fontId="0" fillId="0" borderId="169" xfId="0" applyBorder="1"/>
    <xf numFmtId="0" fontId="0" fillId="0" borderId="171" xfId="0" applyBorder="1"/>
    <xf numFmtId="0" fontId="0" fillId="0" borderId="172" xfId="0" applyBorder="1"/>
    <xf numFmtId="0" fontId="0" fillId="0" borderId="173" xfId="0" applyBorder="1"/>
    <xf numFmtId="0" fontId="0" fillId="0" borderId="174" xfId="0" applyBorder="1"/>
    <xf numFmtId="0" fontId="0" fillId="0" borderId="174" xfId="0" applyBorder="1" applyAlignment="1">
      <alignment horizontal="center"/>
    </xf>
    <xf numFmtId="0" fontId="0" fillId="0" borderId="171" xfId="0" applyBorder="1" applyAlignment="1">
      <alignment vertical="center"/>
    </xf>
    <xf numFmtId="0" fontId="0" fillId="0" borderId="172" xfId="0" applyBorder="1" applyAlignment="1">
      <alignment vertical="center"/>
    </xf>
    <xf numFmtId="0" fontId="0" fillId="0" borderId="173" xfId="0" applyBorder="1" applyAlignment="1">
      <alignment vertical="center"/>
    </xf>
    <xf numFmtId="0" fontId="0" fillId="0" borderId="175" xfId="0" applyBorder="1" applyAlignment="1">
      <alignment vertical="center"/>
    </xf>
    <xf numFmtId="0" fontId="0" fillId="0" borderId="176" xfId="0" applyBorder="1" applyAlignment="1">
      <alignment vertical="center"/>
    </xf>
    <xf numFmtId="0" fontId="0" fillId="0" borderId="177" xfId="0" applyBorder="1" applyAlignment="1">
      <alignment horizontal="center" vertical="center"/>
    </xf>
    <xf numFmtId="0" fontId="0" fillId="8" borderId="177" xfId="0" applyFill="1" applyBorder="1" applyAlignment="1">
      <alignment vertical="center"/>
    </xf>
    <xf numFmtId="0" fontId="0" fillId="0" borderId="177" xfId="0" applyBorder="1" applyAlignment="1">
      <alignment vertical="center"/>
    </xf>
    <xf numFmtId="0" fontId="0" fillId="0" borderId="69" xfId="0" applyBorder="1" applyAlignment="1">
      <alignment vertical="center"/>
    </xf>
    <xf numFmtId="0" fontId="0" fillId="0" borderId="69" xfId="0" applyBorder="1" applyAlignment="1">
      <alignment horizontal="center" vertical="center"/>
    </xf>
    <xf numFmtId="0" fontId="0" fillId="0" borderId="69" xfId="0" applyBorder="1"/>
    <xf numFmtId="0" fontId="0" fillId="0" borderId="177" xfId="0" applyBorder="1"/>
    <xf numFmtId="0" fontId="0" fillId="8" borderId="177" xfId="0" applyFill="1" applyBorder="1"/>
    <xf numFmtId="0" fontId="0" fillId="0" borderId="158" xfId="0" applyBorder="1" applyAlignment="1">
      <alignment horizontal="center"/>
    </xf>
    <xf numFmtId="0" fontId="0" fillId="8" borderId="178" xfId="0" applyFill="1" applyBorder="1"/>
    <xf numFmtId="0" fontId="0" fillId="8" borderId="175" xfId="0" applyFill="1" applyBorder="1"/>
    <xf numFmtId="0" fontId="0" fillId="8" borderId="176" xfId="0" applyFill="1" applyBorder="1"/>
    <xf numFmtId="0" fontId="0" fillId="0" borderId="170" xfId="0" applyBorder="1" applyAlignment="1">
      <alignment horizontal="right"/>
    </xf>
    <xf numFmtId="0" fontId="0" fillId="0" borderId="179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6" xfId="0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77" xfId="0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Border="1"/>
    <xf numFmtId="0" fontId="0" fillId="0" borderId="174" xfId="0" applyBorder="1" applyAlignment="1">
      <alignment horizontal="right"/>
    </xf>
    <xf numFmtId="0" fontId="4" fillId="0" borderId="174" xfId="0" applyFont="1" applyBorder="1" applyAlignment="1">
      <alignment horizontal="right"/>
    </xf>
    <xf numFmtId="0" fontId="0" fillId="0" borderId="149" xfId="0" applyBorder="1"/>
    <xf numFmtId="0" fontId="0" fillId="0" borderId="0" xfId="0" applyAlignment="1">
      <alignment horizontal="center"/>
    </xf>
    <xf numFmtId="0" fontId="0" fillId="0" borderId="116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07" xfId="0" applyNumberFormat="1" applyFont="1" applyBorder="1" applyAlignment="1">
      <alignment horizontal="center"/>
    </xf>
    <xf numFmtId="0" fontId="0" fillId="0" borderId="108" xfId="0" applyNumberFormat="1" applyFont="1" applyFill="1" applyBorder="1" applyAlignment="1">
      <alignment horizontal="center"/>
    </xf>
    <xf numFmtId="0" fontId="0" fillId="0" borderId="128" xfId="0" applyBorder="1" applyAlignment="1">
      <alignment horizontal="center"/>
    </xf>
    <xf numFmtId="0" fontId="0" fillId="0" borderId="81" xfId="0" applyNumberFormat="1" applyFon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45" xfId="0" applyNumberFormat="1" applyFont="1" applyBorder="1" applyAlignment="1">
      <alignment horizontal="center"/>
    </xf>
    <xf numFmtId="0" fontId="0" fillId="0" borderId="116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108" xfId="0" applyBorder="1" applyAlignment="1">
      <alignment horizontal="center"/>
    </xf>
    <xf numFmtId="0" fontId="0" fillId="0" borderId="180" xfId="0" applyBorder="1"/>
    <xf numFmtId="0" fontId="0" fillId="0" borderId="180" xfId="0" applyBorder="1" applyAlignment="1">
      <alignment horizontal="center"/>
    </xf>
    <xf numFmtId="164" fontId="0" fillId="0" borderId="180" xfId="0" applyNumberFormat="1" applyBorder="1" applyAlignment="1">
      <alignment horizontal="center"/>
    </xf>
    <xf numFmtId="0" fontId="0" fillId="0" borderId="181" xfId="0" applyBorder="1"/>
    <xf numFmtId="0" fontId="0" fillId="0" borderId="0" xfId="0" applyAlignment="1">
      <alignment horizontal="center"/>
    </xf>
    <xf numFmtId="0" fontId="0" fillId="0" borderId="168" xfId="0" applyNumberFormat="1" applyFont="1" applyBorder="1"/>
    <xf numFmtId="0" fontId="0" fillId="0" borderId="169" xfId="0" applyNumberFormat="1" applyFont="1" applyBorder="1"/>
    <xf numFmtId="0" fontId="0" fillId="0" borderId="168" xfId="0" applyFont="1" applyBorder="1"/>
    <xf numFmtId="0" fontId="0" fillId="0" borderId="169" xfId="0" applyFont="1" applyBorder="1"/>
    <xf numFmtId="0" fontId="0" fillId="0" borderId="178" xfId="0" applyBorder="1"/>
    <xf numFmtId="0" fontId="0" fillId="0" borderId="176" xfId="0" applyBorder="1"/>
    <xf numFmtId="0" fontId="0" fillId="0" borderId="0" xfId="0" applyAlignment="1">
      <alignment horizontal="center"/>
    </xf>
    <xf numFmtId="0" fontId="0" fillId="0" borderId="182" xfId="0" applyNumberFormat="1" applyFont="1" applyBorder="1"/>
    <xf numFmtId="0" fontId="0" fillId="0" borderId="183" xfId="0" applyNumberFormat="1" applyFont="1" applyBorder="1"/>
    <xf numFmtId="0" fontId="0" fillId="0" borderId="182" xfId="0" applyFont="1" applyBorder="1"/>
    <xf numFmtId="0" fontId="0" fillId="0" borderId="130" xfId="0" applyFont="1" applyBorder="1"/>
    <xf numFmtId="0" fontId="0" fillId="0" borderId="183" xfId="0" applyFont="1" applyFill="1" applyBorder="1"/>
    <xf numFmtId="0" fontId="0" fillId="0" borderId="182" xfId="0" applyBorder="1"/>
    <xf numFmtId="0" fontId="0" fillId="0" borderId="183" xfId="0" applyBorder="1"/>
    <xf numFmtId="0" fontId="0" fillId="0" borderId="180" xfId="0" applyFont="1" applyBorder="1"/>
    <xf numFmtId="166" fontId="0" fillId="0" borderId="87" xfId="4" applyNumberFormat="1" applyFont="1" applyBorder="1"/>
    <xf numFmtId="166" fontId="0" fillId="0" borderId="69" xfId="4" applyNumberFormat="1" applyFont="1" applyBorder="1"/>
    <xf numFmtId="166" fontId="0" fillId="0" borderId="88" xfId="4" applyNumberFormat="1" applyFont="1" applyBorder="1"/>
    <xf numFmtId="0" fontId="0" fillId="0" borderId="184" xfId="0" applyBorder="1"/>
    <xf numFmtId="0" fontId="0" fillId="0" borderId="0" xfId="0" applyAlignment="1">
      <alignment horizontal="center"/>
    </xf>
    <xf numFmtId="0" fontId="0" fillId="0" borderId="116" xfId="0" applyBorder="1" applyAlignment="1">
      <alignment horizontal="center"/>
    </xf>
    <xf numFmtId="0" fontId="0" fillId="3" borderId="182" xfId="0" applyFill="1" applyBorder="1"/>
    <xf numFmtId="0" fontId="0" fillId="3" borderId="130" xfId="0" applyFill="1" applyBorder="1"/>
    <xf numFmtId="0" fontId="0" fillId="3" borderId="183" xfId="0" applyFill="1" applyBorder="1"/>
    <xf numFmtId="0" fontId="0" fillId="3" borderId="168" xfId="0" applyFill="1" applyBorder="1"/>
    <xf numFmtId="0" fontId="0" fillId="3" borderId="177" xfId="0" applyFill="1" applyBorder="1"/>
    <xf numFmtId="0" fontId="0" fillId="3" borderId="169" xfId="0" applyFill="1" applyBorder="1"/>
    <xf numFmtId="0" fontId="0" fillId="3" borderId="168" xfId="0" applyFill="1" applyBorder="1" applyAlignment="1">
      <alignment horizontal="center"/>
    </xf>
    <xf numFmtId="0" fontId="0" fillId="3" borderId="177" xfId="0" applyFill="1" applyBorder="1" applyAlignment="1">
      <alignment horizontal="center"/>
    </xf>
    <xf numFmtId="0" fontId="0" fillId="3" borderId="169" xfId="0" applyFill="1" applyBorder="1" applyAlignment="1">
      <alignment horizontal="center"/>
    </xf>
    <xf numFmtId="0" fontId="0" fillId="3" borderId="154" xfId="0" applyFill="1" applyBorder="1"/>
    <xf numFmtId="0" fontId="0" fillId="3" borderId="8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67" xfId="0" applyFill="1" applyBorder="1"/>
    <xf numFmtId="0" fontId="0" fillId="3" borderId="45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48" xfId="0" applyFill="1" applyBorder="1"/>
    <xf numFmtId="0" fontId="0" fillId="3" borderId="116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16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16" xfId="0" applyFill="1" applyBorder="1" applyAlignment="1">
      <alignment horizontal="center"/>
    </xf>
    <xf numFmtId="0" fontId="4" fillId="0" borderId="174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180" xfId="0" applyFill="1" applyBorder="1" applyAlignment="1">
      <alignment horizontal="center"/>
    </xf>
    <xf numFmtId="164" fontId="0" fillId="0" borderId="180" xfId="0" applyNumberFormat="1" applyFill="1" applyBorder="1" applyAlignment="1">
      <alignment horizontal="center"/>
    </xf>
    <xf numFmtId="0" fontId="0" fillId="0" borderId="180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87" xfId="0" applyFill="1" applyBorder="1" applyAlignment="1">
      <alignment horizontal="right" vertical="center"/>
    </xf>
    <xf numFmtId="0" fontId="0" fillId="0" borderId="174" xfId="0" applyFill="1" applyBorder="1" applyAlignment="1">
      <alignment horizontal="right" vertical="center"/>
    </xf>
    <xf numFmtId="0" fontId="0" fillId="0" borderId="88" xfId="0" applyFill="1" applyBorder="1" applyAlignment="1">
      <alignment horizontal="right" vertical="center"/>
    </xf>
    <xf numFmtId="0" fontId="0" fillId="0" borderId="182" xfId="0" applyBorder="1" applyAlignment="1">
      <alignment vertical="center"/>
    </xf>
    <xf numFmtId="0" fontId="0" fillId="0" borderId="130" xfId="0" applyBorder="1" applyAlignment="1">
      <alignment vertical="center"/>
    </xf>
    <xf numFmtId="0" fontId="0" fillId="0" borderId="183" xfId="0" applyBorder="1" applyAlignment="1">
      <alignment vertical="center"/>
    </xf>
    <xf numFmtId="0" fontId="0" fillId="0" borderId="81" xfId="0" applyBorder="1" applyAlignment="1">
      <alignment vertical="center"/>
    </xf>
    <xf numFmtId="0" fontId="0" fillId="0" borderId="62" xfId="0" applyBorder="1" applyAlignment="1">
      <alignment vertical="center"/>
    </xf>
    <xf numFmtId="164" fontId="0" fillId="0" borderId="116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quotePrefix="1" applyAlignment="1">
      <alignment vertical="center"/>
    </xf>
    <xf numFmtId="0" fontId="0" fillId="0" borderId="17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105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4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88" xfId="0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70" xfId="0" applyBorder="1" applyAlignment="1">
      <alignment horizontal="center"/>
    </xf>
    <xf numFmtId="0" fontId="4" fillId="0" borderId="82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0" fillId="0" borderId="116" xfId="0" applyNumberFormat="1" applyBorder="1" applyAlignment="1">
      <alignment horizontal="center"/>
    </xf>
  </cellXfs>
  <cellStyles count="5">
    <cellStyle name="Hyperlink" xfId="1" builtinId="8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'Logit 1'!$D$7:$D$37</c:f>
              <c:numCache>
                <c:formatCode>General</c:formatCode>
                <c:ptCount val="31"/>
                <c:pt idx="0">
                  <c:v>-3</c:v>
                </c:pt>
                <c:pt idx="1">
                  <c:v>-2.8</c:v>
                </c:pt>
                <c:pt idx="2">
                  <c:v>-2.5999999999999996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-1.9999999999999993</c:v>
                </c:pt>
                <c:pt idx="6">
                  <c:v>-1.7999999999999994</c:v>
                </c:pt>
                <c:pt idx="7">
                  <c:v>-1.5999999999999994</c:v>
                </c:pt>
                <c:pt idx="8">
                  <c:v>-1.3999999999999995</c:v>
                </c:pt>
                <c:pt idx="9">
                  <c:v>-1.1999999999999995</c:v>
                </c:pt>
                <c:pt idx="10">
                  <c:v>-0.99999999999999956</c:v>
                </c:pt>
                <c:pt idx="11">
                  <c:v>-0.7999999999999996</c:v>
                </c:pt>
                <c:pt idx="12">
                  <c:v>-0.59999999999999964</c:v>
                </c:pt>
                <c:pt idx="13">
                  <c:v>-0.39999999999999963</c:v>
                </c:pt>
                <c:pt idx="14">
                  <c:v>-0.19999999999999962</c:v>
                </c:pt>
                <c:pt idx="15">
                  <c:v>0</c:v>
                </c:pt>
                <c:pt idx="16">
                  <c:v>0.2</c:v>
                </c:pt>
                <c:pt idx="17">
                  <c:v>0.4</c:v>
                </c:pt>
                <c:pt idx="18">
                  <c:v>0.60000000000000009</c:v>
                </c:pt>
                <c:pt idx="19">
                  <c:v>0.8</c:v>
                </c:pt>
                <c:pt idx="20">
                  <c:v>1</c:v>
                </c:pt>
                <c:pt idx="21">
                  <c:v>1.2</c:v>
                </c:pt>
                <c:pt idx="22">
                  <c:v>1.4</c:v>
                </c:pt>
                <c:pt idx="23">
                  <c:v>1.5999999999999999</c:v>
                </c:pt>
                <c:pt idx="24">
                  <c:v>1.7999999999999998</c:v>
                </c:pt>
                <c:pt idx="25">
                  <c:v>1.9999999999999998</c:v>
                </c:pt>
                <c:pt idx="26">
                  <c:v>2.1999999999999997</c:v>
                </c:pt>
                <c:pt idx="27">
                  <c:v>2.4</c:v>
                </c:pt>
                <c:pt idx="28">
                  <c:v>2.6</c:v>
                </c:pt>
                <c:pt idx="29">
                  <c:v>2.8000000000000003</c:v>
                </c:pt>
                <c:pt idx="30">
                  <c:v>3.0000000000000004</c:v>
                </c:pt>
              </c:numCache>
            </c:numRef>
          </c:cat>
          <c:val>
            <c:numRef>
              <c:f>'Logit 1'!$B$7:$B$37</c:f>
              <c:numCache>
                <c:formatCode>General</c:formatCode>
                <c:ptCount val="31"/>
                <c:pt idx="0">
                  <c:v>1.2339457598623172E-4</c:v>
                </c:pt>
                <c:pt idx="1">
                  <c:v>2.0342697805520653E-4</c:v>
                </c:pt>
                <c:pt idx="2">
                  <c:v>3.3535013046647811E-4</c:v>
                </c:pt>
                <c:pt idx="3">
                  <c:v>5.5277863692360053E-4</c:v>
                </c:pt>
                <c:pt idx="4">
                  <c:v>9.1105119440064691E-4</c:v>
                </c:pt>
                <c:pt idx="5">
                  <c:v>1.5011822567369941E-3</c:v>
                </c:pt>
                <c:pt idx="6">
                  <c:v>2.4726231566347808E-3</c:v>
                </c:pt>
                <c:pt idx="7">
                  <c:v>4.0701377158961416E-3</c:v>
                </c:pt>
                <c:pt idx="8">
                  <c:v>6.6928509242848789E-3</c:v>
                </c:pt>
                <c:pt idx="9">
                  <c:v>1.0986942630593218E-2</c:v>
                </c:pt>
                <c:pt idx="10">
                  <c:v>1.7986209962091621E-2</c:v>
                </c:pt>
                <c:pt idx="11">
                  <c:v>2.931223075135642E-2</c:v>
                </c:pt>
                <c:pt idx="12">
                  <c:v>4.7425873177566941E-2</c:v>
                </c:pt>
                <c:pt idx="13">
                  <c:v>7.5858180021243796E-2</c:v>
                </c:pt>
                <c:pt idx="14">
                  <c:v>0.11920292202211794</c:v>
                </c:pt>
                <c:pt idx="15">
                  <c:v>0.18242552380635688</c:v>
                </c:pt>
                <c:pt idx="16">
                  <c:v>0.26894142136999571</c:v>
                </c:pt>
                <c:pt idx="17">
                  <c:v>0.37754066879814618</c:v>
                </c:pt>
                <c:pt idx="18">
                  <c:v>0.50000000000000078</c:v>
                </c:pt>
                <c:pt idx="19">
                  <c:v>0.62245933120185537</c:v>
                </c:pt>
                <c:pt idx="20">
                  <c:v>0.7310585786300049</c:v>
                </c:pt>
                <c:pt idx="21">
                  <c:v>0.81757447619364365</c:v>
                </c:pt>
                <c:pt idx="22">
                  <c:v>0.88079707797788231</c:v>
                </c:pt>
                <c:pt idx="23">
                  <c:v>0.92414181997875655</c:v>
                </c:pt>
                <c:pt idx="24">
                  <c:v>0.95257412682243336</c:v>
                </c:pt>
                <c:pt idx="25">
                  <c:v>0.97068776924864364</c:v>
                </c:pt>
                <c:pt idx="26">
                  <c:v>0.98201379003790845</c:v>
                </c:pt>
                <c:pt idx="27">
                  <c:v>0.98901305736940681</c:v>
                </c:pt>
                <c:pt idx="28">
                  <c:v>0.99330714907571527</c:v>
                </c:pt>
                <c:pt idx="29">
                  <c:v>0.99592986228410396</c:v>
                </c:pt>
                <c:pt idx="30">
                  <c:v>0.99752737684336534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993056"/>
        <c:axId val="558991488"/>
      </c:lineChart>
      <c:catAx>
        <c:axId val="558993056"/>
        <c:scaling>
          <c:orientation val="minMax"/>
        </c:scaling>
        <c:delete val="0"/>
        <c:axPos val="b"/>
        <c:numFmt formatCode="#,##0.0" sourceLinked="0"/>
        <c:majorTickMark val="none"/>
        <c:minorTickMark val="none"/>
        <c:tickLblPos val="nextTo"/>
        <c:crossAx val="558991488"/>
        <c:crosses val="autoZero"/>
        <c:auto val="1"/>
        <c:lblAlgn val="ctr"/>
        <c:lblOffset val="100"/>
        <c:noMultiLvlLbl val="0"/>
      </c:catAx>
      <c:valAx>
        <c:axId val="558991488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558993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'Logit 2'!$K$3</c:f>
              <c:strCache>
                <c:ptCount val="1"/>
                <c:pt idx="0">
                  <c:v>P(E)</c:v>
                </c:pt>
              </c:strCache>
            </c:strRef>
          </c:tx>
          <c:spPr>
            <a:ln w="28575">
              <a:noFill/>
            </a:ln>
          </c:spPr>
          <c:xVal>
            <c:numRef>
              <c:f>'Logit 2'!$J$4:$J$13</c:f>
              <c:numCache>
                <c:formatCode>General</c:formatCode>
                <c:ptCount val="10"/>
                <c:pt idx="0">
                  <c:v>50</c:v>
                </c:pt>
                <c:pt idx="1">
                  <c:v>150</c:v>
                </c:pt>
                <c:pt idx="2">
                  <c:v>250</c:v>
                </c:pt>
                <c:pt idx="3">
                  <c:v>350</c:v>
                </c:pt>
                <c:pt idx="4">
                  <c:v>450</c:v>
                </c:pt>
                <c:pt idx="5">
                  <c:v>550</c:v>
                </c:pt>
                <c:pt idx="6">
                  <c:v>650</c:v>
                </c:pt>
                <c:pt idx="7">
                  <c:v>750</c:v>
                </c:pt>
                <c:pt idx="8">
                  <c:v>850</c:v>
                </c:pt>
                <c:pt idx="9">
                  <c:v>950</c:v>
                </c:pt>
              </c:numCache>
            </c:numRef>
          </c:xVal>
          <c:yVal>
            <c:numRef>
              <c:f>'Logit 2'!$K$4:$K$13</c:f>
              <c:numCache>
                <c:formatCode>General</c:formatCode>
                <c:ptCount val="10"/>
                <c:pt idx="0">
                  <c:v>1</c:v>
                </c:pt>
                <c:pt idx="1">
                  <c:v>0.96666666666666667</c:v>
                </c:pt>
                <c:pt idx="2">
                  <c:v>0.93548387096774188</c:v>
                </c:pt>
                <c:pt idx="3">
                  <c:v>0.87209302325581395</c:v>
                </c:pt>
                <c:pt idx="4">
                  <c:v>0.78703703703703709</c:v>
                </c:pt>
                <c:pt idx="5">
                  <c:v>0.62745098039215685</c:v>
                </c:pt>
                <c:pt idx="6">
                  <c:v>0.42063492063492064</c:v>
                </c:pt>
                <c:pt idx="7">
                  <c:v>0.2767857142857143</c:v>
                </c:pt>
                <c:pt idx="8">
                  <c:v>0.19607843137254902</c:v>
                </c:pt>
                <c:pt idx="9">
                  <c:v>9.6774193548387094E-2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14352"/>
        <c:axId val="623917096"/>
      </c:scatterChart>
      <c:valAx>
        <c:axId val="62391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17096"/>
        <c:crosses val="autoZero"/>
        <c:crossBetween val="midCat"/>
      </c:valAx>
      <c:valAx>
        <c:axId val="623917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 of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14352"/>
        <c:crosses val="autoZero"/>
        <c:crossBetween val="midCat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accent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it-IT" sz="1400"/>
              <a:t>ln Odds(E)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'Logit 2'!$K$17:$K$18</c:f>
              <c:strCache>
                <c:ptCount val="2"/>
                <c:pt idx="0">
                  <c:v>ln Odds(E)</c:v>
                </c:pt>
                <c:pt idx="1">
                  <c:v>∞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'Logit 2'!$J$19:$J$27</c:f>
              <c:numCache>
                <c:formatCode>General</c:formatCode>
                <c:ptCount val="9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4">
                  <c:v>550</c:v>
                </c:pt>
                <c:pt idx="5">
                  <c:v>650</c:v>
                </c:pt>
                <c:pt idx="6">
                  <c:v>750</c:v>
                </c:pt>
                <c:pt idx="7">
                  <c:v>850</c:v>
                </c:pt>
                <c:pt idx="8">
                  <c:v>950</c:v>
                </c:pt>
              </c:numCache>
            </c:numRef>
          </c:xVal>
          <c:yVal>
            <c:numRef>
              <c:f>'Logit 2'!$K$19:$K$27</c:f>
              <c:numCache>
                <c:formatCode>General</c:formatCode>
                <c:ptCount val="9"/>
                <c:pt idx="0">
                  <c:v>3.3672958299864741</c:v>
                </c:pt>
                <c:pt idx="1">
                  <c:v>2.6741486494265279</c:v>
                </c:pt>
                <c:pt idx="2">
                  <c:v>1.9195928407379399</c:v>
                </c:pt>
                <c:pt idx="3">
                  <c:v>1.3071570405611672</c:v>
                </c:pt>
                <c:pt idx="4">
                  <c:v>0.52129692363328606</c:v>
                </c:pt>
                <c:pt idx="5">
                  <c:v>-0.3201675275962691</c:v>
                </c:pt>
                <c:pt idx="6">
                  <c:v>-0.96046195018729241</c:v>
                </c:pt>
                <c:pt idx="7">
                  <c:v>-1.410986973710262</c:v>
                </c:pt>
                <c:pt idx="8">
                  <c:v>-2.2335922215070942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14744"/>
        <c:axId val="623915528"/>
      </c:scatterChart>
      <c:valAx>
        <c:axId val="623914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15528"/>
        <c:crosses val="autoZero"/>
        <c:crossBetween val="midCat"/>
      </c:valAx>
      <c:valAx>
        <c:axId val="623915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Odds of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14744"/>
        <c:crosses val="autoZero"/>
        <c:crossBetween val="midCat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accent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3a'!$AI$6:$AI$16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3a'!$AJ$6:$AJ$16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13960"/>
        <c:axId val="618116432"/>
      </c:scatterChart>
      <c:valAx>
        <c:axId val="62391396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6432"/>
        <c:crosses val="autoZero"/>
        <c:crossBetween val="midCat"/>
      </c:valAx>
      <c:valAx>
        <c:axId val="61811643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13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3a'!$AI$33:$AI$43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3a'!$AJ$33:$AJ$43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14472"/>
        <c:axId val="618112904"/>
      </c:scatterChart>
      <c:valAx>
        <c:axId val="61811447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2904"/>
        <c:crosses val="autoZero"/>
        <c:crossBetween val="midCat"/>
      </c:valAx>
      <c:valAx>
        <c:axId val="61811290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4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4a'!$AK$6:$AK$16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4a'!$AL$6:$AL$16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15648"/>
        <c:axId val="618114080"/>
      </c:scatterChart>
      <c:valAx>
        <c:axId val="61811564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4080"/>
        <c:crosses val="autoZero"/>
        <c:crossBetween val="midCat"/>
      </c:valAx>
      <c:valAx>
        <c:axId val="61811408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5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5'!$AM$6:$AM$12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'Logit 5'!$AN$6:$AN$12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113296"/>
        <c:axId val="618114864"/>
      </c:scatterChart>
      <c:valAx>
        <c:axId val="61811329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4864"/>
        <c:crosses val="autoZero"/>
        <c:crossBetween val="midCat"/>
      </c:valAx>
      <c:valAx>
        <c:axId val="61811486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113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6'!$AN$6:$AN$18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'Logit 6'!$AO$6:$AO$18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08600"/>
        <c:axId val="427905464"/>
      </c:scatterChart>
      <c:valAx>
        <c:axId val="42790860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905464"/>
        <c:crosses val="autoZero"/>
        <c:crossBetween val="midCat"/>
      </c:valAx>
      <c:valAx>
        <c:axId val="42790546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908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6'!$AL$29:$AL$35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'Logit 6'!$AM$29:$AM$35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06640"/>
        <c:axId val="427907424"/>
      </c:scatterChart>
      <c:valAx>
        <c:axId val="42790664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907424"/>
        <c:crosses val="autoZero"/>
        <c:crossBetween val="midCat"/>
      </c:valAx>
      <c:valAx>
        <c:axId val="42790742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906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6'!$AL$50:$AL$52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'Logit 6'!$AM$50:$AM$52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07816"/>
        <c:axId val="427908208"/>
      </c:scatterChart>
      <c:valAx>
        <c:axId val="42790781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908208"/>
        <c:crosses val="autoZero"/>
        <c:crossBetween val="midCat"/>
      </c:valAx>
      <c:valAx>
        <c:axId val="427908208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907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'Logit 6'!$AR$71:$AR$83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'Logit 6'!$AS$71:$AS$83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05520"/>
        <c:axId val="427306304"/>
      </c:scatterChart>
      <c:valAx>
        <c:axId val="42730552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306304"/>
        <c:crosses val="autoZero"/>
        <c:crossBetween val="midCat"/>
      </c:valAx>
      <c:valAx>
        <c:axId val="42730630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305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probit</c:v>
          </c:tx>
          <c:spPr>
            <a:ln w="19050">
              <a:noFill/>
            </a:ln>
          </c:spPr>
          <c:xVal>
            <c:numRef>
              <c:f>'Probit 1'!$AP$4:$AP$16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'Probit 1'!$AQ$4:$AQ$16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05912"/>
        <c:axId val="427306696"/>
      </c:scatterChart>
      <c:valAx>
        <c:axId val="42730591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306696"/>
        <c:crosses val="autoZero"/>
        <c:crossBetween val="midCat"/>
      </c:valAx>
      <c:valAx>
        <c:axId val="427306696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305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probit</c:v>
          </c:tx>
          <c:spPr>
            <a:ln w="19050">
              <a:noFill/>
            </a:ln>
          </c:spPr>
          <c:xVal>
            <c:numRef>
              <c:f>'Probit 2'!$AP$4:$AP$16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'Probit 2'!$AQ$4:$AQ$16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03952"/>
        <c:axId val="427304736"/>
      </c:scatterChart>
      <c:valAx>
        <c:axId val="42730395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304736"/>
        <c:crosses val="autoZero"/>
        <c:crossBetween val="midCat"/>
      </c:valAx>
      <c:valAx>
        <c:axId val="427304736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303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 vs 2+3+4</c:v>
          </c:tx>
          <c:marker>
            <c:symbol val="none"/>
          </c:marker>
          <c:val>
            <c:numRef>
              <c:f>'OLogit 1'!$D$28:$D$35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1+2 vs 3+4</c:v>
          </c:tx>
          <c:marker>
            <c:symbol val="none"/>
          </c:marker>
          <c:val>
            <c:numRef>
              <c:f>'OLogit 1'!$K$28:$K$35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1+2+3 vs 4</c:v>
          </c:tx>
          <c:marker>
            <c:symbol val="none"/>
          </c:marker>
          <c:val>
            <c:numRef>
              <c:f>'OLogit 1'!$R$28:$R$35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14576"/>
        <c:axId val="549314968"/>
      </c:lineChart>
      <c:catAx>
        <c:axId val="54931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9314968"/>
        <c:crosses val="autoZero"/>
        <c:auto val="1"/>
        <c:lblAlgn val="ctr"/>
        <c:lblOffset val="100"/>
        <c:noMultiLvlLbl val="0"/>
      </c:catAx>
      <c:valAx>
        <c:axId val="549314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314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Pearson</a:t>
            </a:r>
            <a:r>
              <a:rPr lang="en-GB" baseline="0"/>
              <a:t> Residuals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'PReg 1'!$X$4:$X$18</c:f>
              <c:numCache>
                <c:formatCode>General</c:formatCode>
                <c:ptCount val="15"/>
                <c:pt idx="0">
                  <c:v>1.5544943300866672</c:v>
                </c:pt>
                <c:pt idx="1">
                  <c:v>1.1057967361361869</c:v>
                </c:pt>
                <c:pt idx="2">
                  <c:v>-1.2127059711041739</c:v>
                </c:pt>
                <c:pt idx="3">
                  <c:v>-1.4115223635684773</c:v>
                </c:pt>
                <c:pt idx="4">
                  <c:v>0.90126023652608001</c:v>
                </c:pt>
                <c:pt idx="5">
                  <c:v>5.2600580431033626E-2</c:v>
                </c:pt>
                <c:pt idx="6">
                  <c:v>-0.70633384643279906</c:v>
                </c:pt>
                <c:pt idx="7">
                  <c:v>-9.2038430141853391E-4</c:v>
                </c:pt>
                <c:pt idx="8">
                  <c:v>-0.84030074376150488</c:v>
                </c:pt>
                <c:pt idx="9">
                  <c:v>1.4353525063096912</c:v>
                </c:pt>
                <c:pt idx="10">
                  <c:v>-0.68796793625161134</c:v>
                </c:pt>
                <c:pt idx="11">
                  <c:v>0.2105163082720575</c:v>
                </c:pt>
                <c:pt idx="12">
                  <c:v>0.2342719141860525</c:v>
                </c:pt>
                <c:pt idx="13">
                  <c:v>0.17348312340286243</c:v>
                </c:pt>
                <c:pt idx="14">
                  <c:v>-3.966985526408677E-2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315360"/>
        <c:axId val="549315752"/>
      </c:scatterChart>
      <c:valAx>
        <c:axId val="54931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5752"/>
        <c:crosses val="autoZero"/>
        <c:crossBetween val="midCat"/>
      </c:valAx>
      <c:valAx>
        <c:axId val="54931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Studentized Pearson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'PReg 1'!$Z$4:$Z$18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317320"/>
        <c:axId val="549316144"/>
      </c:scatterChart>
      <c:valAx>
        <c:axId val="54931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6144"/>
        <c:crosses val="autoZero"/>
        <c:crossBetween val="midCat"/>
      </c:valAx>
      <c:valAx>
        <c:axId val="5493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7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Survival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Kaplan!$N$4:$N$20</c:f>
              <c:numCache>
                <c:formatCode>General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</c:numCache>
            </c:numRef>
          </c:xVal>
          <c:yVal>
            <c:numRef>
              <c:f>Kaplan!$O$4:$O$20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0.94444444444444442</c:v>
                </c:pt>
                <c:pt idx="3">
                  <c:v>0.94444444444444442</c:v>
                </c:pt>
                <c:pt idx="4">
                  <c:v>0.88888888888888884</c:v>
                </c:pt>
                <c:pt idx="5">
                  <c:v>0.88888888888888884</c:v>
                </c:pt>
                <c:pt idx="6">
                  <c:v>0.72222222222222221</c:v>
                </c:pt>
                <c:pt idx="7">
                  <c:v>0.72222222222222221</c:v>
                </c:pt>
                <c:pt idx="8">
                  <c:v>0.54166666666666663</c:v>
                </c:pt>
                <c:pt idx="9">
                  <c:v>0.54166666666666663</c:v>
                </c:pt>
                <c:pt idx="10">
                  <c:v>0.54166666666666663</c:v>
                </c:pt>
                <c:pt idx="11">
                  <c:v>0.54166666666666663</c:v>
                </c:pt>
                <c:pt idx="12">
                  <c:v>0.54166666666666663</c:v>
                </c:pt>
                <c:pt idx="13">
                  <c:v>0.54166666666666663</c:v>
                </c:pt>
                <c:pt idx="14">
                  <c:v>0.3611111111111111</c:v>
                </c:pt>
                <c:pt idx="15">
                  <c:v>0.3611111111111111</c:v>
                </c:pt>
                <c:pt idx="16">
                  <c:v>0.18055555555555555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318104"/>
        <c:axId val="430624616"/>
      </c:scatterChart>
      <c:valAx>
        <c:axId val="54931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time t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4616"/>
        <c:crosses val="autoZero"/>
        <c:crossBetween val="midCat"/>
      </c:valAx>
      <c:valAx>
        <c:axId val="43062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Survival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Kaplan!$N$25:$N$43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10</c:v>
                </c:pt>
                <c:pt idx="15">
                  <c:v>12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</c:numCache>
            </c:numRef>
          </c:xVal>
          <c:yVal>
            <c:numRef>
              <c:f>Kaplan!$O$25:$O$43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0.94444444444444442</c:v>
                </c:pt>
                <c:pt idx="3">
                  <c:v>0.94444444444444442</c:v>
                </c:pt>
                <c:pt idx="4">
                  <c:v>0.88888888888888884</c:v>
                </c:pt>
                <c:pt idx="5">
                  <c:v>0.88888888888888884</c:v>
                </c:pt>
                <c:pt idx="6">
                  <c:v>0.83333333333333326</c:v>
                </c:pt>
                <c:pt idx="7">
                  <c:v>0.83333333333333326</c:v>
                </c:pt>
                <c:pt idx="8">
                  <c:v>0.77777777777777768</c:v>
                </c:pt>
                <c:pt idx="9">
                  <c:v>0.77777777777777768</c:v>
                </c:pt>
                <c:pt idx="10">
                  <c:v>0.7129629629629628</c:v>
                </c:pt>
                <c:pt idx="11">
                  <c:v>0.7129629629629628</c:v>
                </c:pt>
                <c:pt idx="12">
                  <c:v>0.7129629629629628</c:v>
                </c:pt>
                <c:pt idx="13">
                  <c:v>0.7129629629629628</c:v>
                </c:pt>
                <c:pt idx="14">
                  <c:v>0.55452674897119325</c:v>
                </c:pt>
                <c:pt idx="15">
                  <c:v>0.55452674897119325</c:v>
                </c:pt>
                <c:pt idx="16">
                  <c:v>0.55452674897119325</c:v>
                </c:pt>
                <c:pt idx="17">
                  <c:v>0.55452674897119325</c:v>
                </c:pt>
                <c:pt idx="18">
                  <c:v>0.3666292555181444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23832"/>
        <c:axId val="430622656"/>
      </c:scatterChart>
      <c:valAx>
        <c:axId val="43062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time t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2656"/>
        <c:crosses val="autoZero"/>
        <c:crossBetween val="midCat"/>
      </c:valAx>
      <c:valAx>
        <c:axId val="4306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Survival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Lit>
              <c:formatCode>General</c:formatCode>
              <c:ptCount val="17"/>
              <c:pt idx="0">
                <c:v>0</c:v>
              </c:pt>
              <c:pt idx="1">
                <c:v>2</c:v>
              </c:pt>
              <c:pt idx="2">
                <c:v>2</c:v>
              </c:pt>
              <c:pt idx="3">
                <c:v>3</c:v>
              </c:pt>
              <c:pt idx="4">
                <c:v>3</c:v>
              </c:pt>
              <c:pt idx="5">
                <c:v>5</c:v>
              </c:pt>
              <c:pt idx="6">
                <c:v>5</c:v>
              </c:pt>
              <c:pt idx="7">
                <c:v>8</c:v>
              </c:pt>
              <c:pt idx="8">
                <c:v>8</c:v>
              </c:pt>
              <c:pt idx="9">
                <c:v>9</c:v>
              </c:pt>
              <c:pt idx="10">
                <c:v>9</c:v>
              </c:pt>
              <c:pt idx="11">
                <c:v>10</c:v>
              </c:pt>
              <c:pt idx="12">
                <c:v>10</c:v>
              </c:pt>
              <c:pt idx="13">
                <c:v>11</c:v>
              </c:pt>
              <c:pt idx="14">
                <c:v>11</c:v>
              </c:pt>
              <c:pt idx="15">
                <c:v>12</c:v>
              </c:pt>
              <c:pt idx="16">
                <c:v>12</c:v>
              </c:pt>
            </c:numLit>
          </c:xVal>
          <c:yVal>
            <c:numLit>
              <c:formatCode>General</c:formatCode>
              <c:ptCount val="17"/>
              <c:pt idx="0">
                <c:v>1</c:v>
              </c:pt>
              <c:pt idx="1">
                <c:v>1</c:v>
              </c:pt>
              <c:pt idx="2">
                <c:v>0.94444444444444442</c:v>
              </c:pt>
              <c:pt idx="3">
                <c:v>0.94444444444444442</c:v>
              </c:pt>
              <c:pt idx="4">
                <c:v>0.88888888888888884</c:v>
              </c:pt>
              <c:pt idx="5">
                <c:v>0.88888888888888884</c:v>
              </c:pt>
              <c:pt idx="6">
                <c:v>0.72222222222222221</c:v>
              </c:pt>
              <c:pt idx="7">
                <c:v>0.72222222222222221</c:v>
              </c:pt>
              <c:pt idx="8">
                <c:v>0.54166666666666663</c:v>
              </c:pt>
              <c:pt idx="9">
                <c:v>0.54166666666666663</c:v>
              </c:pt>
              <c:pt idx="10">
                <c:v>0.54166666666666663</c:v>
              </c:pt>
              <c:pt idx="11">
                <c:v>0.54166666666666663</c:v>
              </c:pt>
              <c:pt idx="12">
                <c:v>0.54166666666666663</c:v>
              </c:pt>
              <c:pt idx="13">
                <c:v>0.54166666666666663</c:v>
              </c:pt>
              <c:pt idx="14">
                <c:v>0.3611111111111111</c:v>
              </c:pt>
              <c:pt idx="15">
                <c:v>0.3611111111111111</c:v>
              </c:pt>
              <c:pt idx="16">
                <c:v>0.18055555555555555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25008"/>
        <c:axId val="430625400"/>
      </c:scatterChart>
      <c:valAx>
        <c:axId val="43062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25400"/>
        <c:crosses val="autoZero"/>
        <c:crossBetween val="midCat"/>
      </c:valAx>
      <c:valAx>
        <c:axId val="430625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25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Survival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0.88888888888888884</c:v>
              </c:pt>
              <c:pt idx="9">
                <c:v>0.88888888888888884</c:v>
              </c:pt>
              <c:pt idx="10">
                <c:v>0.72222222222222221</c:v>
              </c:pt>
              <c:pt idx="11">
                <c:v>0.72222222222222221</c:v>
              </c:pt>
              <c:pt idx="12">
                <c:v>0.72222222222222221</c:v>
              </c:pt>
              <c:pt idx="13">
                <c:v>0.72222222222222221</c:v>
              </c:pt>
              <c:pt idx="14">
                <c:v>0.54166666666666663</c:v>
              </c:pt>
              <c:pt idx="15">
                <c:v>0.54166666666666663</c:v>
              </c:pt>
              <c:pt idx="16">
                <c:v>0.54166666666666663</c:v>
              </c:pt>
              <c:pt idx="17">
                <c:v>0.54166666666666663</c:v>
              </c:pt>
              <c:pt idx="18">
                <c:v>0.54166666666666663</c:v>
              </c:pt>
              <c:pt idx="19">
                <c:v>0.54166666666666663</c:v>
              </c:pt>
              <c:pt idx="20">
                <c:v>0.3611111111111111</c:v>
              </c:pt>
              <c:pt idx="21">
                <c:v>0.3611111111111111</c:v>
              </c:pt>
              <c:pt idx="22">
                <c:v>0.18055555555555555</c:v>
              </c:pt>
              <c:pt idx="23">
                <c:v>0.18055555555555555</c:v>
              </c:pt>
              <c:pt idx="24">
                <c:v>0.18055555555555555</c:v>
              </c:pt>
            </c:numLit>
          </c:yVal>
          <c:smooth val="0"/>
        </c:ser>
        <c:ser>
          <c:idx val="1"/>
          <c:order val="1"/>
          <c:tx>
            <c:v>B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0.94444444444444442</c:v>
              </c:pt>
              <c:pt idx="3">
                <c:v>0.94444444444444442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0.83333333333333326</c:v>
              </c:pt>
              <c:pt idx="9">
                <c:v>0.83333333333333326</c:v>
              </c:pt>
              <c:pt idx="10">
                <c:v>0.83333333333333326</c:v>
              </c:pt>
              <c:pt idx="11">
                <c:v>0.83333333333333326</c:v>
              </c:pt>
              <c:pt idx="12">
                <c:v>0.77777777777777768</c:v>
              </c:pt>
              <c:pt idx="13">
                <c:v>0.77777777777777768</c:v>
              </c:pt>
              <c:pt idx="14">
                <c:v>0.7129629629629628</c:v>
              </c:pt>
              <c:pt idx="15">
                <c:v>0.7129629629629628</c:v>
              </c:pt>
              <c:pt idx="16">
                <c:v>0.7129629629629628</c:v>
              </c:pt>
              <c:pt idx="17">
                <c:v>0.7129629629629628</c:v>
              </c:pt>
              <c:pt idx="18">
                <c:v>0.55452674897119325</c:v>
              </c:pt>
              <c:pt idx="19">
                <c:v>0.55452674897119325</c:v>
              </c:pt>
              <c:pt idx="20">
                <c:v>0.55452674897119325</c:v>
              </c:pt>
              <c:pt idx="21">
                <c:v>0.55452674897119325</c:v>
              </c:pt>
              <c:pt idx="22">
                <c:v>0.55452674897119325</c:v>
              </c:pt>
              <c:pt idx="23">
                <c:v>0.55452674897119325</c:v>
              </c:pt>
              <c:pt idx="24">
                <c:v>0.36968449931412889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25792"/>
        <c:axId val="430624224"/>
      </c:scatterChart>
      <c:valAx>
        <c:axId val="43062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24224"/>
        <c:crosses val="autoZero"/>
        <c:crossBetween val="midCat"/>
      </c:valAx>
      <c:valAx>
        <c:axId val="430624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25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Survival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0.88888888888888884</c:v>
              </c:pt>
              <c:pt idx="9">
                <c:v>0.88888888888888884</c:v>
              </c:pt>
              <c:pt idx="10">
                <c:v>0.72222222222222221</c:v>
              </c:pt>
              <c:pt idx="11">
                <c:v>0.72222222222222221</c:v>
              </c:pt>
              <c:pt idx="12">
                <c:v>0.72222222222222221</c:v>
              </c:pt>
              <c:pt idx="13">
                <c:v>0.72222222222222221</c:v>
              </c:pt>
              <c:pt idx="14">
                <c:v>0.54166666666666663</c:v>
              </c:pt>
              <c:pt idx="15">
                <c:v>0.54166666666666663</c:v>
              </c:pt>
              <c:pt idx="16">
                <c:v>0.54166666666666663</c:v>
              </c:pt>
              <c:pt idx="17">
                <c:v>0.54166666666666663</c:v>
              </c:pt>
              <c:pt idx="18">
                <c:v>0.54166666666666663</c:v>
              </c:pt>
              <c:pt idx="19">
                <c:v>0.54166666666666663</c:v>
              </c:pt>
              <c:pt idx="20">
                <c:v>0.3611111111111111</c:v>
              </c:pt>
              <c:pt idx="21">
                <c:v>0.3611111111111111</c:v>
              </c:pt>
              <c:pt idx="22">
                <c:v>0.18055555555555555</c:v>
              </c:pt>
              <c:pt idx="23">
                <c:v>0.18055555555555555</c:v>
              </c:pt>
              <c:pt idx="24">
                <c:v>0.18055555555555555</c:v>
              </c:pt>
            </c:numLit>
          </c:yVal>
          <c:smooth val="0"/>
        </c:ser>
        <c:ser>
          <c:idx val="1"/>
          <c:order val="1"/>
          <c:tx>
            <c:v>B</c:v>
          </c:tx>
          <c:xVal>
            <c:numLit>
              <c:formatCode>General</c:formatCode>
              <c:ptCount val="25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3</c:v>
              </c:pt>
              <c:pt idx="7">
                <c:v>4</c:v>
              </c:pt>
              <c:pt idx="8">
                <c:v>4</c:v>
              </c:pt>
              <c:pt idx="9">
                <c:v>5</c:v>
              </c:pt>
              <c:pt idx="10">
                <c:v>5</c:v>
              </c:pt>
              <c:pt idx="11">
                <c:v>6</c:v>
              </c:pt>
              <c:pt idx="12">
                <c:v>6</c:v>
              </c:pt>
              <c:pt idx="13">
                <c:v>8</c:v>
              </c:pt>
              <c:pt idx="14">
                <c:v>8</c:v>
              </c:pt>
              <c:pt idx="15">
                <c:v>9</c:v>
              </c:pt>
              <c:pt idx="16">
                <c:v>9</c:v>
              </c:pt>
              <c:pt idx="17">
                <c:v>10</c:v>
              </c:pt>
              <c:pt idx="18">
                <c:v>10</c:v>
              </c:pt>
              <c:pt idx="19">
                <c:v>11</c:v>
              </c:pt>
              <c:pt idx="20">
                <c:v>11</c:v>
              </c:pt>
              <c:pt idx="21">
                <c:v>12</c:v>
              </c:pt>
              <c:pt idx="22">
                <c:v>12</c:v>
              </c:pt>
              <c:pt idx="23">
                <c:v>13</c:v>
              </c:pt>
              <c:pt idx="24">
                <c:v>13</c:v>
              </c:pt>
            </c:numLit>
          </c:xVal>
          <c:yVal>
            <c:numLit>
              <c:formatCode>General</c:formatCode>
              <c:ptCount val="25"/>
              <c:pt idx="0">
                <c:v>1</c:v>
              </c:pt>
              <c:pt idx="1">
                <c:v>1</c:v>
              </c:pt>
              <c:pt idx="2">
                <c:v>0.94444444444444442</c:v>
              </c:pt>
              <c:pt idx="3">
                <c:v>0.94444444444444442</c:v>
              </c:pt>
              <c:pt idx="4">
                <c:v>0.94444444444444442</c:v>
              </c:pt>
              <c:pt idx="5">
                <c:v>0.94444444444444442</c:v>
              </c:pt>
              <c:pt idx="6">
                <c:v>0.88888888888888884</c:v>
              </c:pt>
              <c:pt idx="7">
                <c:v>0.88888888888888884</c:v>
              </c:pt>
              <c:pt idx="8">
                <c:v>0.83333333333333326</c:v>
              </c:pt>
              <c:pt idx="9">
                <c:v>0.83333333333333326</c:v>
              </c:pt>
              <c:pt idx="10">
                <c:v>0.83333333333333326</c:v>
              </c:pt>
              <c:pt idx="11">
                <c:v>0.83333333333333326</c:v>
              </c:pt>
              <c:pt idx="12">
                <c:v>0.77777777777777768</c:v>
              </c:pt>
              <c:pt idx="13">
                <c:v>0.77777777777777768</c:v>
              </c:pt>
              <c:pt idx="14">
                <c:v>0.7129629629629628</c:v>
              </c:pt>
              <c:pt idx="15">
                <c:v>0.7129629629629628</c:v>
              </c:pt>
              <c:pt idx="16">
                <c:v>0.7129629629629628</c:v>
              </c:pt>
              <c:pt idx="17">
                <c:v>0.7129629629629628</c:v>
              </c:pt>
              <c:pt idx="18">
                <c:v>0.55452674897119325</c:v>
              </c:pt>
              <c:pt idx="19">
                <c:v>0.55452674897119325</c:v>
              </c:pt>
              <c:pt idx="20">
                <c:v>0.55452674897119325</c:v>
              </c:pt>
              <c:pt idx="21">
                <c:v>0.55452674897119325</c:v>
              </c:pt>
              <c:pt idx="22">
                <c:v>0.55452674897119325</c:v>
              </c:pt>
              <c:pt idx="23">
                <c:v>0.55452674897119325</c:v>
              </c:pt>
              <c:pt idx="24">
                <c:v>0.36968449931412889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62872"/>
        <c:axId val="516863264"/>
      </c:scatterChart>
      <c:valAx>
        <c:axId val="516862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863264"/>
        <c:crosses val="autoZero"/>
        <c:crossBetween val="midCat"/>
      </c:valAx>
      <c:valAx>
        <c:axId val="516863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862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Survival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'Log-Rank'!$V$5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'Log-Rank'!$U$6:$U$30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</c:numCache>
            </c:numRef>
          </c:xVal>
          <c:yVal>
            <c:numRef>
              <c:f>'Log-Rank'!$V$6:$V$30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0.94444444444444442</c:v>
                </c:pt>
                <c:pt idx="5">
                  <c:v>0.94444444444444442</c:v>
                </c:pt>
                <c:pt idx="6">
                  <c:v>0.88888888888888884</c:v>
                </c:pt>
                <c:pt idx="7">
                  <c:v>0.88888888888888884</c:v>
                </c:pt>
                <c:pt idx="8">
                  <c:v>0.88888888888888884</c:v>
                </c:pt>
                <c:pt idx="9">
                  <c:v>0.88888888888888884</c:v>
                </c:pt>
                <c:pt idx="10">
                  <c:v>0.72222222222222221</c:v>
                </c:pt>
                <c:pt idx="11">
                  <c:v>0.72222222222222221</c:v>
                </c:pt>
                <c:pt idx="12">
                  <c:v>0.72222222222222221</c:v>
                </c:pt>
                <c:pt idx="13">
                  <c:v>0.72222222222222221</c:v>
                </c:pt>
                <c:pt idx="14">
                  <c:v>0.54166666666666663</c:v>
                </c:pt>
                <c:pt idx="15">
                  <c:v>0.54166666666666663</c:v>
                </c:pt>
                <c:pt idx="16">
                  <c:v>0.54166666666666663</c:v>
                </c:pt>
                <c:pt idx="17">
                  <c:v>0.54166666666666663</c:v>
                </c:pt>
                <c:pt idx="18">
                  <c:v>0.54166666666666663</c:v>
                </c:pt>
                <c:pt idx="19">
                  <c:v>0.54166666666666663</c:v>
                </c:pt>
                <c:pt idx="20">
                  <c:v>0.3611111111111111</c:v>
                </c:pt>
                <c:pt idx="21">
                  <c:v>0.3611111111111111</c:v>
                </c:pt>
                <c:pt idx="22">
                  <c:v>0.18055555555555555</c:v>
                </c:pt>
                <c:pt idx="23">
                  <c:v>0.18055555555555555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'Log-Rank'!$W$5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'Log-Rank'!$U$6:$U$30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</c:numCache>
            </c:numRef>
          </c:xVal>
          <c:yVal>
            <c:numRef>
              <c:f>'Log-Rank'!$W$6:$W$30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0.94444444444444442</c:v>
                </c:pt>
                <c:pt idx="3">
                  <c:v>0.94444444444444442</c:v>
                </c:pt>
                <c:pt idx="4">
                  <c:v>0.94444444444444442</c:v>
                </c:pt>
                <c:pt idx="5">
                  <c:v>0.94444444444444442</c:v>
                </c:pt>
                <c:pt idx="6">
                  <c:v>0.88888888888888884</c:v>
                </c:pt>
                <c:pt idx="7">
                  <c:v>0.88888888888888884</c:v>
                </c:pt>
                <c:pt idx="8">
                  <c:v>0.83333333333333326</c:v>
                </c:pt>
                <c:pt idx="9">
                  <c:v>0.83333333333333326</c:v>
                </c:pt>
                <c:pt idx="10">
                  <c:v>0.83333333333333326</c:v>
                </c:pt>
                <c:pt idx="11">
                  <c:v>0.83333333333333326</c:v>
                </c:pt>
                <c:pt idx="12">
                  <c:v>0.77777777777777768</c:v>
                </c:pt>
                <c:pt idx="13">
                  <c:v>0.77777777777777768</c:v>
                </c:pt>
                <c:pt idx="14">
                  <c:v>0.7129629629629628</c:v>
                </c:pt>
                <c:pt idx="15">
                  <c:v>0.7129629629629628</c:v>
                </c:pt>
                <c:pt idx="16">
                  <c:v>0.7129629629629628</c:v>
                </c:pt>
                <c:pt idx="17">
                  <c:v>0.7129629629629628</c:v>
                </c:pt>
                <c:pt idx="18">
                  <c:v>0.55452674897119325</c:v>
                </c:pt>
                <c:pt idx="19">
                  <c:v>0.55452674897119325</c:v>
                </c:pt>
                <c:pt idx="20">
                  <c:v>0.55452674897119325</c:v>
                </c:pt>
                <c:pt idx="21">
                  <c:v>0.55452674897119325</c:v>
                </c:pt>
                <c:pt idx="22">
                  <c:v>0.55452674897119325</c:v>
                </c:pt>
                <c:pt idx="23">
                  <c:v>0.55452674897119325</c:v>
                </c:pt>
                <c:pt idx="24">
                  <c:v>0.36968449931412889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62088"/>
        <c:axId val="516859736"/>
      </c:scatterChart>
      <c:valAx>
        <c:axId val="516862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59736"/>
        <c:crosses val="autoZero"/>
        <c:crossBetween val="midCat"/>
      </c:valAx>
      <c:valAx>
        <c:axId val="51685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62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 by Herbicide Dosage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RCBD!$A$4</c:f>
              <c:strCache>
                <c:ptCount val="1"/>
                <c:pt idx="0">
                  <c:v>Field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RCBD!$B$3:$G$3</c:f>
              <c:numCache>
                <c:formatCode>General</c:formatCode>
                <c:ptCount val="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cat>
          <c:val>
            <c:numRef>
              <c:f>RCBD!$B$4:$G$4</c:f>
              <c:numCache>
                <c:formatCode>General</c:formatCode>
                <c:ptCount val="6"/>
                <c:pt idx="0">
                  <c:v>9.7000000000000011</c:v>
                </c:pt>
                <c:pt idx="1">
                  <c:v>19.2</c:v>
                </c:pt>
                <c:pt idx="2">
                  <c:v>8.3000000000000007</c:v>
                </c:pt>
                <c:pt idx="3">
                  <c:v>6.3</c:v>
                </c:pt>
                <c:pt idx="4">
                  <c:v>6.7</c:v>
                </c:pt>
                <c:pt idx="5">
                  <c:v>5.8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RCBD!$A$5</c:f>
              <c:strCache>
                <c:ptCount val="1"/>
                <c:pt idx="0">
                  <c:v>Field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RCBD!$B$3:$G$3</c:f>
              <c:numCache>
                <c:formatCode>General</c:formatCode>
                <c:ptCount val="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cat>
          <c:val>
            <c:numRef>
              <c:f>RCBD!$B$5:$G$5</c:f>
              <c:numCache>
                <c:formatCode>General</c:formatCode>
                <c:ptCount val="6"/>
                <c:pt idx="0">
                  <c:v>13</c:v>
                </c:pt>
                <c:pt idx="1">
                  <c:v>20.2</c:v>
                </c:pt>
                <c:pt idx="2">
                  <c:v>6.4</c:v>
                </c:pt>
                <c:pt idx="3">
                  <c:v>6</c:v>
                </c:pt>
                <c:pt idx="4">
                  <c:v>5.1999999999999993</c:v>
                </c:pt>
                <c:pt idx="5">
                  <c:v>3.6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RCBD!$A$6</c:f>
              <c:strCache>
                <c:ptCount val="1"/>
                <c:pt idx="0">
                  <c:v>Field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RCBD!$B$3:$G$3</c:f>
              <c:numCache>
                <c:formatCode>General</c:formatCode>
                <c:ptCount val="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cat>
          <c:val>
            <c:numRef>
              <c:f>RCBD!$B$6:$G$6</c:f>
              <c:numCache>
                <c:formatCode>General</c:formatCode>
                <c:ptCount val="6"/>
                <c:pt idx="0">
                  <c:v>15.6</c:v>
                </c:pt>
                <c:pt idx="1">
                  <c:v>17.7</c:v>
                </c:pt>
                <c:pt idx="2">
                  <c:v>6.1</c:v>
                </c:pt>
                <c:pt idx="3">
                  <c:v>3.9999999999999996</c:v>
                </c:pt>
                <c:pt idx="4">
                  <c:v>3.1</c:v>
                </c:pt>
                <c:pt idx="5">
                  <c:v>4.0999999999999996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RCBD!$A$7</c:f>
              <c:strCache>
                <c:ptCount val="1"/>
                <c:pt idx="0">
                  <c:v>Field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RCBD!$B$3:$G$3</c:f>
              <c:numCache>
                <c:formatCode>General</c:formatCode>
                <c:ptCount val="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cat>
          <c:val>
            <c:numRef>
              <c:f>RCBD!$B$7:$G$7</c:f>
              <c:numCache>
                <c:formatCode>General</c:formatCode>
                <c:ptCount val="6"/>
                <c:pt idx="0">
                  <c:v>7.1</c:v>
                </c:pt>
                <c:pt idx="1">
                  <c:v>11.8</c:v>
                </c:pt>
                <c:pt idx="2">
                  <c:v>1.7</c:v>
                </c:pt>
                <c:pt idx="3">
                  <c:v>0.5</c:v>
                </c:pt>
                <c:pt idx="4">
                  <c:v>0.8</c:v>
                </c:pt>
                <c:pt idx="5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862480"/>
        <c:axId val="426223480"/>
      </c:lineChart>
      <c:catAx>
        <c:axId val="5168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23480"/>
        <c:crosses val="autoZero"/>
        <c:auto val="1"/>
        <c:lblAlgn val="ctr"/>
        <c:lblOffset val="100"/>
        <c:noMultiLvlLbl val="0"/>
      </c:catAx>
      <c:valAx>
        <c:axId val="4262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Match 2.2'!$A$29</c:f>
              <c:strCache>
                <c:ptCount val="1"/>
                <c:pt idx="0">
                  <c:v>Pre</c:v>
                </c:pt>
              </c:strCache>
            </c:strRef>
          </c:tx>
          <c:cat>
            <c:strRef>
              <c:f>'ANOVA Match 2.2'!$B$28:$D$28</c:f>
              <c:strCache>
                <c:ptCount val="3"/>
                <c:pt idx="0">
                  <c:v>Product</c:v>
                </c:pt>
                <c:pt idx="1">
                  <c:v>Client</c:v>
                </c:pt>
                <c:pt idx="2">
                  <c:v>Action</c:v>
                </c:pt>
              </c:strCache>
            </c:strRef>
          </c:cat>
          <c:val>
            <c:numRef>
              <c:f>'ANOVA Match 2.2'!$B$29:$D$29</c:f>
              <c:numCache>
                <c:formatCode>General</c:formatCode>
                <c:ptCount val="3"/>
                <c:pt idx="0">
                  <c:v>15.5</c:v>
                </c:pt>
                <c:pt idx="1">
                  <c:v>20.3</c:v>
                </c:pt>
                <c:pt idx="2">
                  <c:v>22.3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Match 2.2'!$A$30</c:f>
              <c:strCache>
                <c:ptCount val="1"/>
                <c:pt idx="0">
                  <c:v>Post</c:v>
                </c:pt>
              </c:strCache>
            </c:strRef>
          </c:tx>
          <c:cat>
            <c:strRef>
              <c:f>'ANOVA Match 2.2'!$B$28:$D$28</c:f>
              <c:strCache>
                <c:ptCount val="3"/>
                <c:pt idx="0">
                  <c:v>Product</c:v>
                </c:pt>
                <c:pt idx="1">
                  <c:v>Client</c:v>
                </c:pt>
                <c:pt idx="2">
                  <c:v>Action</c:v>
                </c:pt>
              </c:strCache>
            </c:strRef>
          </c:cat>
          <c:val>
            <c:numRef>
              <c:f>'ANOVA Match 2.2'!$B$30:$D$30</c:f>
              <c:numCache>
                <c:formatCode>General</c:formatCode>
                <c:ptCount val="3"/>
                <c:pt idx="0">
                  <c:v>17.5</c:v>
                </c:pt>
                <c:pt idx="1">
                  <c:v>29.9</c:v>
                </c:pt>
                <c:pt idx="2">
                  <c:v>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222304"/>
        <c:axId val="426224656"/>
      </c:lineChart>
      <c:catAx>
        <c:axId val="426222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26224656"/>
        <c:crosses val="autoZero"/>
        <c:auto val="1"/>
        <c:lblAlgn val="ctr"/>
        <c:lblOffset val="100"/>
        <c:noMultiLvlLbl val="0"/>
      </c:catAx>
      <c:valAx>
        <c:axId val="426224656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22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Match 2.2'!$B$28</c:f>
              <c:strCache>
                <c:ptCount val="1"/>
                <c:pt idx="0">
                  <c:v>Product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2.2'!$B$29:$B$30</c:f>
              <c:numCache>
                <c:formatCode>General</c:formatCode>
                <c:ptCount val="2"/>
                <c:pt idx="0">
                  <c:v>15.5</c:v>
                </c:pt>
                <c:pt idx="1">
                  <c:v>17.5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Match 2.2'!$C$28</c:f>
              <c:strCache>
                <c:ptCount val="1"/>
                <c:pt idx="0">
                  <c:v>Client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2.2'!$C$29:$C$30</c:f>
              <c:numCache>
                <c:formatCode>General</c:formatCode>
                <c:ptCount val="2"/>
                <c:pt idx="0">
                  <c:v>20.3</c:v>
                </c:pt>
                <c:pt idx="1">
                  <c:v>29.9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'ANOVA Match 2.2'!$D$28</c:f>
              <c:strCache>
                <c:ptCount val="1"/>
                <c:pt idx="0">
                  <c:v>Action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2.2'!$D$29:$D$30</c:f>
              <c:numCache>
                <c:formatCode>General</c:formatCode>
                <c:ptCount val="2"/>
                <c:pt idx="0">
                  <c:v>22.3</c:v>
                </c:pt>
                <c:pt idx="1">
                  <c:v>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224264"/>
        <c:axId val="426225440"/>
      </c:lineChart>
      <c:catAx>
        <c:axId val="426224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26225440"/>
        <c:crosses val="autoZero"/>
        <c:auto val="1"/>
        <c:lblAlgn val="ctr"/>
        <c:lblOffset val="100"/>
        <c:noMultiLvlLbl val="0"/>
      </c:catAx>
      <c:valAx>
        <c:axId val="426225440"/>
        <c:scaling>
          <c:orientation val="minMax"/>
          <c:min val="1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224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'ANOVA Match 2.3'!$I$9</c:f>
              <c:strCache>
                <c:ptCount val="1"/>
                <c:pt idx="0">
                  <c:v>Young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2.3'!$J$9:$N$9</c:f>
              <c:numCache>
                <c:formatCode>General</c:formatCode>
                <c:ptCount val="5"/>
                <c:pt idx="0">
                  <c:v>184.85714285714286</c:v>
                </c:pt>
                <c:pt idx="1">
                  <c:v>259.85714285714283</c:v>
                </c:pt>
                <c:pt idx="2">
                  <c:v>382.85714285714283</c:v>
                </c:pt>
                <c:pt idx="3">
                  <c:v>362.57142857142856</c:v>
                </c:pt>
                <c:pt idx="4">
                  <c:v>383.71428571428572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'ANOVA Match 2.3'!$I$10</c:f>
              <c:strCache>
                <c:ptCount val="1"/>
                <c:pt idx="0">
                  <c:v>Middle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2.3'!$J$10:$N$10</c:f>
              <c:numCache>
                <c:formatCode>General</c:formatCode>
                <c:ptCount val="5"/>
                <c:pt idx="0">
                  <c:v>54.428571428571431</c:v>
                </c:pt>
                <c:pt idx="1">
                  <c:v>119.14285714285714</c:v>
                </c:pt>
                <c:pt idx="2">
                  <c:v>317.42857142857144</c:v>
                </c:pt>
                <c:pt idx="3">
                  <c:v>281.57142857142856</c:v>
                </c:pt>
                <c:pt idx="4">
                  <c:v>309.85714285714283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'ANOVA Match 2.3'!$I$11</c:f>
              <c:strCache>
                <c:ptCount val="1"/>
                <c:pt idx="0">
                  <c:v>Old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2.3'!$J$11:$N$11</c:f>
              <c:numCache>
                <c:formatCode>General</c:formatCode>
                <c:ptCount val="5"/>
                <c:pt idx="0">
                  <c:v>87.428571428571431</c:v>
                </c:pt>
                <c:pt idx="1">
                  <c:v>238.71428571428572</c:v>
                </c:pt>
                <c:pt idx="2">
                  <c:v>369.57142857142856</c:v>
                </c:pt>
                <c:pt idx="3">
                  <c:v>374.28571428571428</c:v>
                </c:pt>
                <c:pt idx="4">
                  <c:v>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222696"/>
        <c:axId val="516860912"/>
      </c:lineChart>
      <c:catAx>
        <c:axId val="426222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16860912"/>
        <c:crosses val="autoZero"/>
        <c:auto val="1"/>
        <c:lblAlgn val="ctr"/>
        <c:lblOffset val="100"/>
        <c:noMultiLvlLbl val="0"/>
      </c:catAx>
      <c:valAx>
        <c:axId val="51686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222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'ANOVA Match 2.3'!$BH$6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2.3'!$BI$6:$BK$6</c:f>
              <c:numCache>
                <c:formatCode>General</c:formatCode>
                <c:ptCount val="3"/>
                <c:pt idx="0">
                  <c:v>237</c:v>
                </c:pt>
                <c:pt idx="1">
                  <c:v>155.19999999999999</c:v>
                </c:pt>
                <c:pt idx="2">
                  <c:v>249.8</c:v>
                </c:pt>
              </c:numCache>
            </c:numRef>
          </c:val>
        </c:ser>
        <c:ser>
          <c:idx val="1"/>
          <c:order val="1"/>
          <c:tx>
            <c:strRef>
              <c:f>'ANOVA Match 2.3'!$BH$7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2.3'!$BI$7:$BK$7</c:f>
              <c:numCache>
                <c:formatCode>General</c:formatCode>
                <c:ptCount val="3"/>
                <c:pt idx="0">
                  <c:v>37.100000000000023</c:v>
                </c:pt>
                <c:pt idx="1">
                  <c:v>32.199999999999989</c:v>
                </c:pt>
                <c:pt idx="2">
                  <c:v>9.6999999999999886</c:v>
                </c:pt>
              </c:numCache>
            </c:numRef>
          </c:val>
        </c:ser>
        <c:ser>
          <c:idx val="2"/>
          <c:order val="2"/>
          <c:tx>
            <c:strRef>
              <c:f>'ANOVA Match 2.3'!$BH$8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2.3'!$BI$8:$BK$8</c:f>
              <c:numCache>
                <c:formatCode>General</c:formatCode>
                <c:ptCount val="3"/>
                <c:pt idx="0">
                  <c:v>57.699999999999989</c:v>
                </c:pt>
                <c:pt idx="1">
                  <c:v>43.400000000000034</c:v>
                </c:pt>
                <c:pt idx="2">
                  <c:v>5.1000000000000227</c:v>
                </c:pt>
              </c:numCache>
            </c:numRef>
          </c:val>
        </c:ser>
        <c:ser>
          <c:idx val="3"/>
          <c:order val="3"/>
          <c:tx>
            <c:strRef>
              <c:f>'ANOVA Match 2.3'!$BH$9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'ANOVA Match 2.3'!$BI$10:$BK$10</c:f>
                <c:numCache>
                  <c:formatCode>General</c:formatCode>
                  <c:ptCount val="3"/>
                  <c:pt idx="0">
                    <c:v>15.099999999999966</c:v>
                  </c:pt>
                  <c:pt idx="1">
                    <c:v>34.900000000000006</c:v>
                  </c:pt>
                  <c:pt idx="2">
                    <c:v>47.199999999999989</c:v>
                  </c:pt>
                </c:numCache>
              </c:numRef>
            </c:plus>
          </c:errBars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2.3'!$BI$9:$BK$9</c:f>
              <c:numCache>
                <c:formatCode>General</c:formatCode>
                <c:ptCount val="3"/>
                <c:pt idx="0">
                  <c:v>25.300000000000011</c:v>
                </c:pt>
                <c:pt idx="1">
                  <c:v>9.0999999999999943</c:v>
                </c:pt>
                <c:pt idx="2">
                  <c:v>41.599999999999966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605136"/>
        <c:axId val="687605528"/>
      </c:barChart>
      <c:catAx>
        <c:axId val="687605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87605528"/>
        <c:crosses val="autoZero"/>
        <c:auto val="1"/>
        <c:lblAlgn val="ctr"/>
        <c:lblOffset val="100"/>
        <c:noMultiLvlLbl val="0"/>
      </c:catAx>
      <c:valAx>
        <c:axId val="687605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7605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'ANOVA Match 2.3'!$BD$24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2.3'!$BE$24:$BS$24</c:f>
              <c:numCache>
                <c:formatCode>General</c:formatCode>
                <c:ptCount val="15"/>
                <c:pt idx="0">
                  <c:v>65</c:v>
                </c:pt>
                <c:pt idx="1">
                  <c:v>167</c:v>
                </c:pt>
                <c:pt idx="2">
                  <c:v>257</c:v>
                </c:pt>
                <c:pt idx="3">
                  <c:v>275</c:v>
                </c:pt>
                <c:pt idx="4">
                  <c:v>298</c:v>
                </c:pt>
                <c:pt idx="5">
                  <c:v>3</c:v>
                </c:pt>
                <c:pt idx="6">
                  <c:v>54</c:v>
                </c:pt>
                <c:pt idx="7">
                  <c:v>193</c:v>
                </c:pt>
                <c:pt idx="8">
                  <c:v>216</c:v>
                </c:pt>
                <c:pt idx="9">
                  <c:v>233</c:v>
                </c:pt>
                <c:pt idx="10">
                  <c:v>38</c:v>
                </c:pt>
                <c:pt idx="11">
                  <c:v>124</c:v>
                </c:pt>
                <c:pt idx="12">
                  <c:v>289</c:v>
                </c:pt>
                <c:pt idx="13">
                  <c:v>307</c:v>
                </c:pt>
                <c:pt idx="14">
                  <c:v>295</c:v>
                </c:pt>
              </c:numCache>
            </c:numRef>
          </c:val>
        </c:ser>
        <c:ser>
          <c:idx val="1"/>
          <c:order val="1"/>
          <c:tx>
            <c:strRef>
              <c:f>'ANOVA Match 2.3'!$BD$25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2.3'!$BE$25:$BS$25</c:f>
              <c:numCache>
                <c:formatCode>General</c:formatCode>
                <c:ptCount val="15"/>
                <c:pt idx="0">
                  <c:v>63.5</c:v>
                </c:pt>
                <c:pt idx="1">
                  <c:v>67</c:v>
                </c:pt>
                <c:pt idx="2">
                  <c:v>105.5</c:v>
                </c:pt>
                <c:pt idx="3">
                  <c:v>54.5</c:v>
                </c:pt>
                <c:pt idx="4">
                  <c:v>39</c:v>
                </c:pt>
                <c:pt idx="5">
                  <c:v>21.5</c:v>
                </c:pt>
                <c:pt idx="6">
                  <c:v>29.5</c:v>
                </c:pt>
                <c:pt idx="7">
                  <c:v>91</c:v>
                </c:pt>
                <c:pt idx="8">
                  <c:v>33.5</c:v>
                </c:pt>
                <c:pt idx="9">
                  <c:v>23.5</c:v>
                </c:pt>
                <c:pt idx="10">
                  <c:v>33</c:v>
                </c:pt>
                <c:pt idx="11">
                  <c:v>85</c:v>
                </c:pt>
                <c:pt idx="12">
                  <c:v>47.5</c:v>
                </c:pt>
                <c:pt idx="13">
                  <c:v>33</c:v>
                </c:pt>
                <c:pt idx="14">
                  <c:v>19.5</c:v>
                </c:pt>
              </c:numCache>
            </c:numRef>
          </c:val>
        </c:ser>
        <c:ser>
          <c:idx val="2"/>
          <c:order val="2"/>
          <c:tx>
            <c:strRef>
              <c:f>'ANOVA Match 2.3'!$BD$26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2.3'!$BE$26:$BS$26</c:f>
              <c:numCache>
                <c:formatCode>General</c:formatCode>
                <c:ptCount val="15"/>
                <c:pt idx="0">
                  <c:v>101.5</c:v>
                </c:pt>
                <c:pt idx="1">
                  <c:v>44</c:v>
                </c:pt>
                <c:pt idx="2">
                  <c:v>38.5</c:v>
                </c:pt>
                <c:pt idx="3">
                  <c:v>52.5</c:v>
                </c:pt>
                <c:pt idx="4">
                  <c:v>30</c:v>
                </c:pt>
                <c:pt idx="5">
                  <c:v>9.5</c:v>
                </c:pt>
                <c:pt idx="6">
                  <c:v>32.5</c:v>
                </c:pt>
                <c:pt idx="7">
                  <c:v>23</c:v>
                </c:pt>
                <c:pt idx="8">
                  <c:v>11.5</c:v>
                </c:pt>
                <c:pt idx="9">
                  <c:v>16.5</c:v>
                </c:pt>
                <c:pt idx="10">
                  <c:v>12</c:v>
                </c:pt>
                <c:pt idx="11">
                  <c:v>38</c:v>
                </c:pt>
                <c:pt idx="12">
                  <c:v>28.5</c:v>
                </c:pt>
                <c:pt idx="13">
                  <c:v>40</c:v>
                </c:pt>
                <c:pt idx="14">
                  <c:v>16.5</c:v>
                </c:pt>
              </c:numCache>
            </c:numRef>
          </c:val>
        </c:ser>
        <c:ser>
          <c:idx val="3"/>
          <c:order val="3"/>
          <c:tx>
            <c:strRef>
              <c:f>'ANOVA Match 2.3'!$BD$27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'ANOVA Match 2.3'!$BE$28:$BS$28</c:f>
                <c:numCache>
                  <c:formatCode>General</c:formatCode>
                  <c:ptCount val="15"/>
                  <c:pt idx="0">
                    <c:v>5.5</c:v>
                  </c:pt>
                  <c:pt idx="1">
                    <c:v>18</c:v>
                  </c:pt>
                  <c:pt idx="2">
                    <c:v>14.5</c:v>
                  </c:pt>
                  <c:pt idx="3">
                    <c:v>20.5</c:v>
                  </c:pt>
                  <c:pt idx="4">
                    <c:v>28.5</c:v>
                  </c:pt>
                  <c:pt idx="5">
                    <c:v>152.5</c:v>
                  </c:pt>
                  <c:pt idx="6">
                    <c:v>9.5</c:v>
                  </c:pt>
                  <c:pt idx="7">
                    <c:v>60.5</c:v>
                  </c:pt>
                  <c:pt idx="8">
                    <c:v>99.5</c:v>
                  </c:pt>
                  <c:pt idx="9">
                    <c:v>130</c:v>
                  </c:pt>
                  <c:pt idx="10">
                    <c:v>10</c:v>
                  </c:pt>
                  <c:pt idx="11">
                    <c:v>55.5</c:v>
                  </c:pt>
                  <c:pt idx="12">
                    <c:v>76.5</c:v>
                  </c:pt>
                  <c:pt idx="13">
                    <c:v>65</c:v>
                  </c:pt>
                  <c:pt idx="14">
                    <c:v>42</c:v>
                  </c:pt>
                </c:numCache>
              </c:numRef>
            </c:plus>
          </c:errBars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2.3'!$BE$27:$BS$27</c:f>
              <c:numCache>
                <c:formatCode>General</c:formatCode>
                <c:ptCount val="15"/>
                <c:pt idx="0">
                  <c:v>15.5</c:v>
                </c:pt>
                <c:pt idx="1">
                  <c:v>18</c:v>
                </c:pt>
                <c:pt idx="2">
                  <c:v>26.5</c:v>
                </c:pt>
                <c:pt idx="3">
                  <c:v>18.5</c:v>
                </c:pt>
                <c:pt idx="4">
                  <c:v>72.5</c:v>
                </c:pt>
                <c:pt idx="5">
                  <c:v>13.5</c:v>
                </c:pt>
                <c:pt idx="6">
                  <c:v>46.5</c:v>
                </c:pt>
                <c:pt idx="7">
                  <c:v>57.5</c:v>
                </c:pt>
                <c:pt idx="8">
                  <c:v>37.5</c:v>
                </c:pt>
                <c:pt idx="9">
                  <c:v>67</c:v>
                </c:pt>
                <c:pt idx="10">
                  <c:v>30</c:v>
                </c:pt>
                <c:pt idx="11">
                  <c:v>28.5</c:v>
                </c:pt>
                <c:pt idx="12">
                  <c:v>29.5</c:v>
                </c:pt>
                <c:pt idx="13">
                  <c:v>16</c:v>
                </c:pt>
                <c:pt idx="14">
                  <c:v>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603568"/>
        <c:axId val="687603960"/>
      </c:barChart>
      <c:catAx>
        <c:axId val="687603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87603960"/>
        <c:crosses val="autoZero"/>
        <c:auto val="1"/>
        <c:lblAlgn val="ctr"/>
        <c:lblOffset val="100"/>
        <c:noMultiLvlLbl val="0"/>
      </c:catAx>
      <c:valAx>
        <c:axId val="687603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7603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'ANCOVA 1'!$M$6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1'!$N$6:$Q$6</c:f>
              <c:numCache>
                <c:formatCode>General</c:formatCode>
                <c:ptCount val="4"/>
                <c:pt idx="0">
                  <c:v>8</c:v>
                </c:pt>
                <c:pt idx="1">
                  <c:v>13</c:v>
                </c:pt>
                <c:pt idx="2">
                  <c:v>9</c:v>
                </c:pt>
                <c:pt idx="3">
                  <c:v>7</c:v>
                </c:pt>
              </c:numCache>
            </c:numRef>
          </c:val>
        </c:ser>
        <c:ser>
          <c:idx val="1"/>
          <c:order val="1"/>
          <c:tx>
            <c:strRef>
              <c:f>'ANCOVA 1'!$M$7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1'!$N$7:$Q$7</c:f>
              <c:numCache>
                <c:formatCode>General</c:formatCode>
                <c:ptCount val="4"/>
                <c:pt idx="0">
                  <c:v>6.25</c:v>
                </c:pt>
                <c:pt idx="1">
                  <c:v>16</c:v>
                </c:pt>
                <c:pt idx="2">
                  <c:v>4.5</c:v>
                </c:pt>
                <c:pt idx="3">
                  <c:v>3.5</c:v>
                </c:pt>
              </c:numCache>
            </c:numRef>
          </c:val>
        </c:ser>
        <c:ser>
          <c:idx val="2"/>
          <c:order val="2"/>
          <c:tx>
            <c:strRef>
              <c:f>'ANCOVA 1'!$M$8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1'!$N$8:$Q$8</c:f>
              <c:numCache>
                <c:formatCode>General</c:formatCode>
                <c:ptCount val="4"/>
                <c:pt idx="0">
                  <c:v>6.75</c:v>
                </c:pt>
                <c:pt idx="1">
                  <c:v>7</c:v>
                </c:pt>
                <c:pt idx="2">
                  <c:v>7</c:v>
                </c:pt>
                <c:pt idx="3">
                  <c:v>5.5</c:v>
                </c:pt>
              </c:numCache>
            </c:numRef>
          </c:val>
        </c:ser>
        <c:ser>
          <c:idx val="3"/>
          <c:order val="3"/>
          <c:tx>
            <c:strRef>
              <c:f>'ANCOVA 1'!$M$9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'ANCOVA 1'!$N$10:$Q$10</c:f>
                <c:numCache>
                  <c:formatCode>General</c:formatCode>
                  <c:ptCount val="4"/>
                  <c:pt idx="0">
                    <c:v>6.75</c:v>
                  </c:pt>
                  <c:pt idx="1">
                    <c:v>8.75</c:v>
                  </c:pt>
                  <c:pt idx="2">
                    <c:v>12.75</c:v>
                  </c:pt>
                  <c:pt idx="3">
                    <c:v>7</c:v>
                  </c:pt>
                </c:numCache>
              </c:numRef>
            </c:plus>
          </c:errBars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1'!$N$9:$Q$9</c:f>
              <c:numCache>
                <c:formatCode>General</c:formatCode>
                <c:ptCount val="4"/>
                <c:pt idx="0">
                  <c:v>11.25</c:v>
                </c:pt>
                <c:pt idx="1">
                  <c:v>5.25</c:v>
                </c:pt>
                <c:pt idx="2">
                  <c:v>8.75</c:v>
                </c:pt>
                <c:pt idx="3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607096"/>
        <c:axId val="687606312"/>
      </c:barChart>
      <c:catAx>
        <c:axId val="687607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87606312"/>
        <c:crosses val="autoZero"/>
        <c:auto val="1"/>
        <c:lblAlgn val="ctr"/>
        <c:lblOffset val="100"/>
        <c:noMultiLvlLbl val="0"/>
      </c:catAx>
      <c:valAx>
        <c:axId val="687606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7607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Method 1</c:v>
          </c:tx>
          <c:spPr>
            <a:ln w="28575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1'!$T$6:$T$13</c:f>
              <c:numCache>
                <c:formatCode>General</c:formatCode>
                <c:ptCount val="8"/>
                <c:pt idx="0">
                  <c:v>17.5</c:v>
                </c:pt>
                <c:pt idx="1">
                  <c:v>104.60000000000001</c:v>
                </c:pt>
                <c:pt idx="2">
                  <c:v>64.7</c:v>
                </c:pt>
                <c:pt idx="3">
                  <c:v>47</c:v>
                </c:pt>
                <c:pt idx="4">
                  <c:v>22</c:v>
                </c:pt>
                <c:pt idx="5">
                  <c:v>12.4</c:v>
                </c:pt>
                <c:pt idx="6">
                  <c:v>20</c:v>
                </c:pt>
                <c:pt idx="7">
                  <c:v>79.7</c:v>
                </c:pt>
              </c:numCache>
            </c:numRef>
          </c:xVal>
          <c:yVal>
            <c:numRef>
              <c:f>'ANCOVA 1'!$U$6:$U$13</c:f>
              <c:numCache>
                <c:formatCode>General</c:formatCode>
                <c:ptCount val="8"/>
                <c:pt idx="0">
                  <c:v>12</c:v>
                </c:pt>
                <c:pt idx="1">
                  <c:v>39</c:v>
                </c:pt>
                <c:pt idx="2">
                  <c:v>36</c:v>
                </c:pt>
                <c:pt idx="3">
                  <c:v>17</c:v>
                </c:pt>
                <c:pt idx="4">
                  <c:v>25</c:v>
                </c:pt>
                <c:pt idx="5">
                  <c:v>15</c:v>
                </c:pt>
                <c:pt idx="6">
                  <c:v>8</c:v>
                </c:pt>
                <c:pt idx="7">
                  <c:v>31</c:v>
                </c:pt>
              </c:numCache>
            </c:numRef>
          </c:yVal>
          <c:smooth val="0"/>
        </c:ser>
        <c:ser>
          <c:idx val="1"/>
          <c:order val="1"/>
          <c:tx>
            <c:v>Method 2</c:v>
          </c:tx>
          <c:spPr>
            <a:ln w="28575">
              <a:noFill/>
            </a:ln>
          </c:spP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1'!$V$6:$V$13</c:f>
              <c:numCache>
                <c:formatCode>General</c:formatCode>
                <c:ptCount val="8"/>
                <c:pt idx="0">
                  <c:v>70.8</c:v>
                </c:pt>
                <c:pt idx="1">
                  <c:v>45.9</c:v>
                </c:pt>
                <c:pt idx="2">
                  <c:v>47.5</c:v>
                </c:pt>
                <c:pt idx="3">
                  <c:v>77.8</c:v>
                </c:pt>
                <c:pt idx="4">
                  <c:v>70.900000000000006</c:v>
                </c:pt>
                <c:pt idx="5">
                  <c:v>84.8</c:v>
                </c:pt>
                <c:pt idx="6">
                  <c:v>49.8</c:v>
                </c:pt>
                <c:pt idx="7">
                  <c:v>34.599999999999994</c:v>
                </c:pt>
              </c:numCache>
            </c:numRef>
          </c:xVal>
          <c:yVal>
            <c:numRef>
              <c:f>'ANCOVA 1'!$W$6:$W$13</c:f>
              <c:numCache>
                <c:formatCode>General</c:formatCode>
                <c:ptCount val="8"/>
                <c:pt idx="0">
                  <c:v>45</c:v>
                </c:pt>
                <c:pt idx="1">
                  <c:v>37</c:v>
                </c:pt>
                <c:pt idx="2">
                  <c:v>13</c:v>
                </c:pt>
                <c:pt idx="3">
                  <c:v>50</c:v>
                </c:pt>
                <c:pt idx="4">
                  <c:v>35</c:v>
                </c:pt>
                <c:pt idx="5">
                  <c:v>40</c:v>
                </c:pt>
                <c:pt idx="6">
                  <c:v>33</c:v>
                </c:pt>
                <c:pt idx="7">
                  <c:v>17</c:v>
                </c:pt>
              </c:numCache>
            </c:numRef>
          </c:yVal>
          <c:smooth val="0"/>
        </c:ser>
        <c:ser>
          <c:idx val="2"/>
          <c:order val="2"/>
          <c:tx>
            <c:v>Method 3</c:v>
          </c:tx>
          <c:spPr>
            <a:ln w="28575">
              <a:noFill/>
            </a:ln>
          </c:spP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1'!$X$6:$X$15</c:f>
              <c:numCache>
                <c:formatCode>General</c:formatCode>
                <c:ptCount val="10"/>
                <c:pt idx="0">
                  <c:v>71.400000000000006</c:v>
                </c:pt>
                <c:pt idx="1">
                  <c:v>55</c:v>
                </c:pt>
                <c:pt idx="2">
                  <c:v>54</c:v>
                </c:pt>
                <c:pt idx="3">
                  <c:v>27.9</c:v>
                </c:pt>
                <c:pt idx="4">
                  <c:v>40.599999999999994</c:v>
                </c:pt>
                <c:pt idx="5">
                  <c:v>33</c:v>
                </c:pt>
                <c:pt idx="6">
                  <c:v>22.2</c:v>
                </c:pt>
                <c:pt idx="7">
                  <c:v>80.5</c:v>
                </c:pt>
                <c:pt idx="8">
                  <c:v>80</c:v>
                </c:pt>
                <c:pt idx="9">
                  <c:v>41</c:v>
                </c:pt>
              </c:numCache>
            </c:numRef>
          </c:xVal>
          <c:yVal>
            <c:numRef>
              <c:f>'ANCOVA 1'!$Y$6:$Y$15</c:f>
              <c:numCache>
                <c:formatCode>General</c:formatCode>
                <c:ptCount val="10"/>
                <c:pt idx="0">
                  <c:v>20</c:v>
                </c:pt>
                <c:pt idx="1">
                  <c:v>42</c:v>
                </c:pt>
                <c:pt idx="2">
                  <c:v>31</c:v>
                </c:pt>
                <c:pt idx="3">
                  <c:v>24</c:v>
                </c:pt>
                <c:pt idx="4">
                  <c:v>15</c:v>
                </c:pt>
                <c:pt idx="5">
                  <c:v>13</c:v>
                </c:pt>
                <c:pt idx="6">
                  <c:v>9</c:v>
                </c:pt>
                <c:pt idx="7">
                  <c:v>21</c:v>
                </c:pt>
                <c:pt idx="8">
                  <c:v>31</c:v>
                </c:pt>
                <c:pt idx="9">
                  <c:v>13</c:v>
                </c:pt>
              </c:numCache>
            </c:numRef>
          </c:yVal>
          <c:smooth val="0"/>
        </c:ser>
        <c:ser>
          <c:idx val="3"/>
          <c:order val="3"/>
          <c:tx>
            <c:v>Method 4</c:v>
          </c:tx>
          <c:spPr>
            <a:ln w="28575">
              <a:noFill/>
            </a:ln>
          </c:spPr>
          <c:marker>
            <c:symbol val="circle"/>
            <c:size val="7"/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0"/>
            <c:dispEq val="0"/>
          </c:trendline>
          <c:xVal>
            <c:numRef>
              <c:f>'ANCOVA 1'!$Z$6:$Z$15</c:f>
              <c:numCache>
                <c:formatCode>General</c:formatCode>
                <c:ptCount val="10"/>
                <c:pt idx="0">
                  <c:v>35</c:v>
                </c:pt>
                <c:pt idx="1">
                  <c:v>33</c:v>
                </c:pt>
                <c:pt idx="2">
                  <c:v>34.200000000000003</c:v>
                </c:pt>
                <c:pt idx="3">
                  <c:v>43.2</c:v>
                </c:pt>
                <c:pt idx="4">
                  <c:v>20</c:v>
                </c:pt>
                <c:pt idx="5">
                  <c:v>37</c:v>
                </c:pt>
                <c:pt idx="6">
                  <c:v>28.2</c:v>
                </c:pt>
                <c:pt idx="7">
                  <c:v>46.400000000000006</c:v>
                </c:pt>
                <c:pt idx="8">
                  <c:v>64.900000000000006</c:v>
                </c:pt>
                <c:pt idx="9">
                  <c:v>59.4</c:v>
                </c:pt>
              </c:numCache>
            </c:numRef>
          </c:xVal>
          <c:yVal>
            <c:numRef>
              <c:f>'ANCOVA 1'!$AA$6:$AA$15</c:f>
              <c:numCache>
                <c:formatCode>General</c:formatCode>
                <c:ptCount val="10"/>
                <c:pt idx="0">
                  <c:v>12</c:v>
                </c:pt>
                <c:pt idx="1">
                  <c:v>10</c:v>
                </c:pt>
                <c:pt idx="2">
                  <c:v>19</c:v>
                </c:pt>
                <c:pt idx="3">
                  <c:v>18</c:v>
                </c:pt>
                <c:pt idx="4">
                  <c:v>14</c:v>
                </c:pt>
                <c:pt idx="5">
                  <c:v>8</c:v>
                </c:pt>
                <c:pt idx="6">
                  <c:v>7</c:v>
                </c:pt>
                <c:pt idx="7">
                  <c:v>19</c:v>
                </c:pt>
                <c:pt idx="8">
                  <c:v>25</c:v>
                </c:pt>
                <c:pt idx="9">
                  <c:v>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823456"/>
        <c:axId val="624826200"/>
      </c:scatterChart>
      <c:valAx>
        <c:axId val="62482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24826200"/>
        <c:crosses val="autoZero"/>
        <c:crossBetween val="midCat"/>
      </c:valAx>
      <c:valAx>
        <c:axId val="624826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4823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6</xdr:row>
      <xdr:rowOff>90487</xdr:rowOff>
    </xdr:from>
    <xdr:to>
      <xdr:col>13</xdr:col>
      <xdr:colOff>38100</xdr:colOff>
      <xdr:row>20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2</xdr:row>
      <xdr:rowOff>4762</xdr:rowOff>
    </xdr:from>
    <xdr:to>
      <xdr:col>18</xdr:col>
      <xdr:colOff>123825</xdr:colOff>
      <xdr:row>13</xdr:row>
      <xdr:rowOff>100012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141286</xdr:colOff>
      <xdr:row>2</xdr:row>
      <xdr:rowOff>9525</xdr:rowOff>
    </xdr:from>
    <xdr:to>
      <xdr:col>25</xdr:col>
      <xdr:colOff>419100</xdr:colOff>
      <xdr:row>13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476250</xdr:colOff>
      <xdr:row>3</xdr:row>
      <xdr:rowOff>147637</xdr:rowOff>
    </xdr:from>
    <xdr:to>
      <xdr:col>45</xdr:col>
      <xdr:colOff>171450</xdr:colOff>
      <xdr:row>17</xdr:row>
      <xdr:rowOff>195262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400050</xdr:colOff>
      <xdr:row>29</xdr:row>
      <xdr:rowOff>138112</xdr:rowOff>
    </xdr:from>
    <xdr:to>
      <xdr:col>45</xdr:col>
      <xdr:colOff>95250</xdr:colOff>
      <xdr:row>43</xdr:row>
      <xdr:rowOff>195262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276225</xdr:colOff>
      <xdr:row>17</xdr:row>
      <xdr:rowOff>166687</xdr:rowOff>
    </xdr:from>
    <xdr:to>
      <xdr:col>38</xdr:col>
      <xdr:colOff>581025</xdr:colOff>
      <xdr:row>32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266700</xdr:colOff>
      <xdr:row>14</xdr:row>
      <xdr:rowOff>61912</xdr:rowOff>
    </xdr:from>
    <xdr:to>
      <xdr:col>40</xdr:col>
      <xdr:colOff>571500</xdr:colOff>
      <xdr:row>28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76200</xdr:colOff>
      <xdr:row>4</xdr:row>
      <xdr:rowOff>80962</xdr:rowOff>
    </xdr:from>
    <xdr:to>
      <xdr:col>50</xdr:col>
      <xdr:colOff>381000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590550</xdr:colOff>
      <xdr:row>25</xdr:row>
      <xdr:rowOff>90487</xdr:rowOff>
    </xdr:from>
    <xdr:to>
      <xdr:col>48</xdr:col>
      <xdr:colOff>285750</xdr:colOff>
      <xdr:row>39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152400</xdr:colOff>
      <xdr:row>54</xdr:row>
      <xdr:rowOff>14287</xdr:rowOff>
    </xdr:from>
    <xdr:to>
      <xdr:col>39</xdr:col>
      <xdr:colOff>457200</xdr:colOff>
      <xdr:row>68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133350</xdr:colOff>
      <xdr:row>84</xdr:row>
      <xdr:rowOff>138112</xdr:rowOff>
    </xdr:from>
    <xdr:to>
      <xdr:col>45</xdr:col>
      <xdr:colOff>438150</xdr:colOff>
      <xdr:row>99</xdr:row>
      <xdr:rowOff>14287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342900</xdr:colOff>
      <xdr:row>12</xdr:row>
      <xdr:rowOff>19050</xdr:rowOff>
    </xdr:from>
    <xdr:to>
      <xdr:col>35</xdr:col>
      <xdr:colOff>38100</xdr:colOff>
      <xdr:row>26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</xdr:colOff>
      <xdr:row>11</xdr:row>
      <xdr:rowOff>66675</xdr:rowOff>
    </xdr:from>
    <xdr:to>
      <xdr:col>35</xdr:col>
      <xdr:colOff>342900</xdr:colOff>
      <xdr:row>25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</xdr:colOff>
      <xdr:row>24</xdr:row>
      <xdr:rowOff>23812</xdr:rowOff>
    </xdr:from>
    <xdr:to>
      <xdr:col>26</xdr:col>
      <xdr:colOff>342900</xdr:colOff>
      <xdr:row>38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114300</xdr:colOff>
      <xdr:row>18</xdr:row>
      <xdr:rowOff>80962</xdr:rowOff>
    </xdr:from>
    <xdr:to>
      <xdr:col>53</xdr:col>
      <xdr:colOff>419100</xdr:colOff>
      <xdr:row>32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428625</xdr:colOff>
      <xdr:row>18</xdr:row>
      <xdr:rowOff>80962</xdr:rowOff>
    </xdr:from>
    <xdr:to>
      <xdr:col>61</xdr:col>
      <xdr:colOff>123825</xdr:colOff>
      <xdr:row>32</xdr:row>
      <xdr:rowOff>157162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2</xdr:row>
      <xdr:rowOff>128587</xdr:rowOff>
    </xdr:from>
    <xdr:to>
      <xdr:col>23</xdr:col>
      <xdr:colOff>323850</xdr:colOff>
      <xdr:row>17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23</xdr:row>
      <xdr:rowOff>166687</xdr:rowOff>
    </xdr:from>
    <xdr:to>
      <xdr:col>23</xdr:col>
      <xdr:colOff>285750</xdr:colOff>
      <xdr:row>38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1</xdr:row>
      <xdr:rowOff>52387</xdr:rowOff>
    </xdr:from>
    <xdr:to>
      <xdr:col>18</xdr:col>
      <xdr:colOff>466725</xdr:colOff>
      <xdr:row>15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19</xdr:row>
      <xdr:rowOff>119062</xdr:rowOff>
    </xdr:from>
    <xdr:to>
      <xdr:col>16</xdr:col>
      <xdr:colOff>485775</xdr:colOff>
      <xdr:row>34</xdr:row>
      <xdr:rowOff>4762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20</xdr:row>
      <xdr:rowOff>80962</xdr:rowOff>
    </xdr:from>
    <xdr:to>
      <xdr:col>15</xdr:col>
      <xdr:colOff>561975</xdr:colOff>
      <xdr:row>34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590550</xdr:colOff>
      <xdr:row>10</xdr:row>
      <xdr:rowOff>52387</xdr:rowOff>
    </xdr:from>
    <xdr:to>
      <xdr:col>31</xdr:col>
      <xdr:colOff>285750</xdr:colOff>
      <xdr:row>24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18</xdr:row>
      <xdr:rowOff>85725</xdr:rowOff>
    </xdr:from>
    <xdr:to>
      <xdr:col>16</xdr:col>
      <xdr:colOff>276225</xdr:colOff>
      <xdr:row>32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26</xdr:row>
      <xdr:rowOff>104774</xdr:rowOff>
    </xdr:from>
    <xdr:to>
      <xdr:col>10</xdr:col>
      <xdr:colOff>519112</xdr:colOff>
      <xdr:row>37</xdr:row>
      <xdr:rowOff>160971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561975</xdr:colOff>
      <xdr:row>26</xdr:row>
      <xdr:rowOff>114300</xdr:rowOff>
    </xdr:from>
    <xdr:to>
      <xdr:col>16</xdr:col>
      <xdr:colOff>438151</xdr:colOff>
      <xdr:row>38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12</xdr:row>
      <xdr:rowOff>76200</xdr:rowOff>
    </xdr:from>
    <xdr:to>
      <xdr:col>14</xdr:col>
      <xdr:colOff>514350</xdr:colOff>
      <xdr:row>24</xdr:row>
      <xdr:rowOff>147636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514350</xdr:colOff>
      <xdr:row>1</xdr:row>
      <xdr:rowOff>33337</xdr:rowOff>
    </xdr:from>
    <xdr:to>
      <xdr:col>69</xdr:col>
      <xdr:colOff>209550</xdr:colOff>
      <xdr:row>11</xdr:row>
      <xdr:rowOff>111442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19050</xdr:colOff>
      <xdr:row>28</xdr:row>
      <xdr:rowOff>185737</xdr:rowOff>
    </xdr:from>
    <xdr:to>
      <xdr:col>62</xdr:col>
      <xdr:colOff>323850</xdr:colOff>
      <xdr:row>43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28574</xdr:colOff>
      <xdr:row>10</xdr:row>
      <xdr:rowOff>128587</xdr:rowOff>
    </xdr:from>
    <xdr:to>
      <xdr:col>18</xdr:col>
      <xdr:colOff>266699</xdr:colOff>
      <xdr:row>22</xdr:row>
      <xdr:rowOff>180022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</xdr:colOff>
      <xdr:row>15</xdr:row>
      <xdr:rowOff>166687</xdr:rowOff>
    </xdr:from>
    <xdr:to>
      <xdr:col>26</xdr:col>
      <xdr:colOff>352425</xdr:colOff>
      <xdr:row>30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3.nd.edu/~wevans1/econ30331/Durbin_Watson_tables.pdf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B23"/>
  <sheetViews>
    <sheetView tabSelected="1" zoomScaleNormal="100" workbookViewId="0"/>
  </sheetViews>
  <sheetFormatPr defaultRowHeight="15" x14ac:dyDescent="0.25"/>
  <cols>
    <col min="1" max="1" width="49.42578125" customWidth="1"/>
  </cols>
  <sheetData>
    <row r="1" spans="1:2" x14ac:dyDescent="0.25">
      <c r="A1" s="1" t="s">
        <v>1558</v>
      </c>
      <c r="B1" s="1"/>
    </row>
    <row r="2" spans="1:2" x14ac:dyDescent="0.25">
      <c r="A2" s="1" t="s">
        <v>1556</v>
      </c>
      <c r="B2" s="1"/>
    </row>
    <row r="3" spans="1:2" x14ac:dyDescent="0.25">
      <c r="A3" s="1"/>
      <c r="B3" s="1"/>
    </row>
    <row r="4" spans="1:2" x14ac:dyDescent="0.25">
      <c r="A4" s="312" t="s">
        <v>1557</v>
      </c>
    </row>
    <row r="6" spans="1:2" x14ac:dyDescent="0.25">
      <c r="A6" s="1" t="s">
        <v>665</v>
      </c>
    </row>
    <row r="8" spans="1:2" x14ac:dyDescent="0.25">
      <c r="A8" s="2" t="s">
        <v>618</v>
      </c>
    </row>
    <row r="9" spans="1:2" x14ac:dyDescent="0.25">
      <c r="A9" s="2" t="s">
        <v>911</v>
      </c>
    </row>
    <row r="10" spans="1:2" x14ac:dyDescent="0.25">
      <c r="A10" s="2" t="s">
        <v>1513</v>
      </c>
    </row>
    <row r="11" spans="1:2" x14ac:dyDescent="0.25">
      <c r="A11" s="2" t="s">
        <v>666</v>
      </c>
    </row>
    <row r="12" spans="1:2" x14ac:dyDescent="0.25">
      <c r="A12" s="2" t="s">
        <v>1254</v>
      </c>
    </row>
    <row r="13" spans="1:2" x14ac:dyDescent="0.25">
      <c r="A13" s="2" t="s">
        <v>1187</v>
      </c>
    </row>
    <row r="14" spans="1:2" x14ac:dyDescent="0.25">
      <c r="A14" s="2" t="s">
        <v>1355</v>
      </c>
    </row>
    <row r="15" spans="1:2" x14ac:dyDescent="0.25">
      <c r="A15" s="2" t="s">
        <v>667</v>
      </c>
    </row>
    <row r="16" spans="1:2" x14ac:dyDescent="0.25">
      <c r="A16" s="2" t="s">
        <v>668</v>
      </c>
    </row>
    <row r="17" spans="1:1" x14ac:dyDescent="0.25">
      <c r="A17" s="2" t="s">
        <v>1512</v>
      </c>
    </row>
    <row r="18" spans="1:1" x14ac:dyDescent="0.25">
      <c r="A18" s="2" t="s">
        <v>1014</v>
      </c>
    </row>
    <row r="20" spans="1:1" x14ac:dyDescent="0.25">
      <c r="A20" s="1" t="s">
        <v>669</v>
      </c>
    </row>
    <row r="22" spans="1:1" x14ac:dyDescent="0.25">
      <c r="A22" s="2" t="s">
        <v>1253</v>
      </c>
    </row>
    <row r="23" spans="1:1" x14ac:dyDescent="0.25">
      <c r="A23" s="2" t="s">
        <v>670</v>
      </c>
    </row>
  </sheetData>
  <hyperlinks>
    <hyperlink ref="A8" location="TOC!A8" display="Logistic Regression"/>
    <hyperlink ref="A11" location="TOC!A84" display="Log-Linear Regression"/>
    <hyperlink ref="A15" location="TOC!A184" display="ANOVA with Repeated Measures"/>
    <hyperlink ref="A17" location="TOC!A275" display="ICC Reliability"/>
    <hyperlink ref="A16" location="TOC!A238" display="Analysis of Covariance (ANCOVA)"/>
    <hyperlink ref="A23" location="TOC!A323" display="Tables"/>
    <hyperlink ref="A9" location="TOC!A54" display="Multinomial and Ordinal Logistic Regression"/>
    <hyperlink ref="A18" location="TOC!A284" display="Missing Data and Multiple Imputation"/>
    <hyperlink ref="A13" location="TOC!A143" display="ANOVA with Random or Nested Factors"/>
    <hyperlink ref="A22" location="TOC!A316" display="IPFP"/>
    <hyperlink ref="A12" location="TOC!A119" display="Survival Analysis"/>
    <hyperlink ref="A14" location="TOC!A157" display="Design of Experiments"/>
    <hyperlink ref="A10" location="TOC!A79" display="Poisson Regression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328"/>
  <sheetViews>
    <sheetView workbookViewId="0"/>
  </sheetViews>
  <sheetFormatPr defaultRowHeight="15" customHeight="1" x14ac:dyDescent="0.25"/>
  <cols>
    <col min="1" max="1" width="4" customWidth="1"/>
    <col min="2" max="2" width="85.5703125" customWidth="1"/>
  </cols>
  <sheetData>
    <row r="1" spans="1:2" ht="15" customHeight="1" x14ac:dyDescent="0.25">
      <c r="A1" s="1" t="s">
        <v>1558</v>
      </c>
      <c r="B1" s="1"/>
    </row>
    <row r="2" spans="1:2" ht="15" customHeight="1" x14ac:dyDescent="0.25">
      <c r="A2" s="1" t="s">
        <v>1556</v>
      </c>
      <c r="B2" s="1"/>
    </row>
    <row r="3" spans="1:2" ht="15" customHeight="1" x14ac:dyDescent="0.25">
      <c r="A3" s="1"/>
      <c r="B3" s="1"/>
    </row>
    <row r="4" spans="1:2" ht="15" customHeight="1" x14ac:dyDescent="0.25">
      <c r="A4" s="312" t="s">
        <v>1557</v>
      </c>
    </row>
    <row r="6" spans="1:2" ht="15" customHeight="1" x14ac:dyDescent="0.25">
      <c r="A6" s="1" t="s">
        <v>0</v>
      </c>
    </row>
    <row r="7" spans="1:2" ht="15" customHeight="1" x14ac:dyDescent="0.25">
      <c r="A7" s="1"/>
    </row>
    <row r="8" spans="1:2" s="1" customFormat="1" ht="15" customHeight="1" x14ac:dyDescent="0.25">
      <c r="A8" s="1" t="s">
        <v>1475</v>
      </c>
      <c r="B8" s="325"/>
    </row>
    <row r="9" spans="1:2" ht="15" customHeight="1" x14ac:dyDescent="0.25">
      <c r="B9" s="2"/>
    </row>
    <row r="10" spans="1:2" ht="15" customHeight="1" x14ac:dyDescent="0.25">
      <c r="A10" t="s">
        <v>673</v>
      </c>
      <c r="B10" s="2"/>
    </row>
    <row r="11" spans="1:2" ht="15" customHeight="1" x14ac:dyDescent="0.25">
      <c r="B11" s="2" t="s">
        <v>680</v>
      </c>
    </row>
    <row r="12" spans="1:2" ht="15" customHeight="1" x14ac:dyDescent="0.25">
      <c r="B12" s="2" t="s">
        <v>679</v>
      </c>
    </row>
    <row r="13" spans="1:2" ht="15" customHeight="1" x14ac:dyDescent="0.25">
      <c r="B13" s="2"/>
    </row>
    <row r="14" spans="1:2" ht="15" customHeight="1" x14ac:dyDescent="0.25">
      <c r="A14" t="s">
        <v>677</v>
      </c>
      <c r="B14" s="2"/>
    </row>
    <row r="15" spans="1:2" ht="15" customHeight="1" x14ac:dyDescent="0.25">
      <c r="B15" s="2" t="s">
        <v>681</v>
      </c>
    </row>
    <row r="16" spans="1:2" ht="15" customHeight="1" x14ac:dyDescent="0.25">
      <c r="B16" s="2" t="s">
        <v>817</v>
      </c>
    </row>
    <row r="17" spans="1:2" ht="15" customHeight="1" x14ac:dyDescent="0.25">
      <c r="B17" s="2"/>
    </row>
    <row r="18" spans="1:2" ht="15" customHeight="1" x14ac:dyDescent="0.25">
      <c r="A18" t="s">
        <v>778</v>
      </c>
      <c r="B18" s="2"/>
    </row>
    <row r="19" spans="1:2" ht="15" customHeight="1" x14ac:dyDescent="0.25">
      <c r="B19" s="2" t="s">
        <v>777</v>
      </c>
    </row>
    <row r="20" spans="1:2" ht="15" customHeight="1" x14ac:dyDescent="0.25">
      <c r="B20" s="2"/>
    </row>
    <row r="21" spans="1:2" ht="15" customHeight="1" x14ac:dyDescent="0.25">
      <c r="A21" t="s">
        <v>779</v>
      </c>
      <c r="B21" s="2"/>
    </row>
    <row r="22" spans="1:2" ht="15" customHeight="1" x14ac:dyDescent="0.25">
      <c r="B22" s="2" t="s">
        <v>783</v>
      </c>
    </row>
    <row r="23" spans="1:2" ht="15" customHeight="1" x14ac:dyDescent="0.25">
      <c r="B23" s="2"/>
    </row>
    <row r="24" spans="1:2" ht="15" customHeight="1" x14ac:dyDescent="0.25">
      <c r="A24" t="s">
        <v>678</v>
      </c>
      <c r="B24" s="2"/>
    </row>
    <row r="25" spans="1:2" ht="15" customHeight="1" x14ac:dyDescent="0.25">
      <c r="B25" s="2" t="s">
        <v>682</v>
      </c>
    </row>
    <row r="26" spans="1:2" ht="15" customHeight="1" x14ac:dyDescent="0.25">
      <c r="B26" s="2" t="s">
        <v>780</v>
      </c>
    </row>
    <row r="27" spans="1:2" ht="15" customHeight="1" x14ac:dyDescent="0.25">
      <c r="B27" s="2" t="s">
        <v>782</v>
      </c>
    </row>
    <row r="28" spans="1:2" ht="15" customHeight="1" x14ac:dyDescent="0.25">
      <c r="B28" s="2" t="s">
        <v>1106</v>
      </c>
    </row>
    <row r="29" spans="1:2" ht="15" customHeight="1" x14ac:dyDescent="0.25">
      <c r="B29" s="2"/>
    </row>
    <row r="30" spans="1:2" ht="15" customHeight="1" x14ac:dyDescent="0.25">
      <c r="A30" t="s">
        <v>1470</v>
      </c>
      <c r="B30" s="2"/>
    </row>
    <row r="31" spans="1:2" ht="15" customHeight="1" x14ac:dyDescent="0.25">
      <c r="B31" s="2" t="s">
        <v>1471</v>
      </c>
    </row>
    <row r="32" spans="1:2" ht="15" customHeight="1" x14ac:dyDescent="0.25">
      <c r="B32" s="2"/>
    </row>
    <row r="33" spans="1:2" ht="15" customHeight="1" x14ac:dyDescent="0.25">
      <c r="A33" t="s">
        <v>781</v>
      </c>
      <c r="B33" s="2"/>
    </row>
    <row r="34" spans="1:2" ht="15" customHeight="1" x14ac:dyDescent="0.25">
      <c r="B34" s="2" t="s">
        <v>784</v>
      </c>
    </row>
    <row r="35" spans="1:2" ht="15" customHeight="1" x14ac:dyDescent="0.25">
      <c r="B35" s="2" t="s">
        <v>785</v>
      </c>
    </row>
    <row r="36" spans="1:2" ht="15" customHeight="1" x14ac:dyDescent="0.25">
      <c r="B36" s="2" t="s">
        <v>786</v>
      </c>
    </row>
    <row r="37" spans="1:2" ht="15" customHeight="1" x14ac:dyDescent="0.25">
      <c r="B37" s="2"/>
    </row>
    <row r="38" spans="1:2" ht="15" customHeight="1" x14ac:dyDescent="0.25">
      <c r="A38" t="s">
        <v>804</v>
      </c>
      <c r="B38" s="2"/>
    </row>
    <row r="39" spans="1:2" ht="15" customHeight="1" x14ac:dyDescent="0.25">
      <c r="B39" s="2" t="s">
        <v>805</v>
      </c>
    </row>
    <row r="40" spans="1:2" ht="15" customHeight="1" x14ac:dyDescent="0.25">
      <c r="B40" s="2" t="s">
        <v>942</v>
      </c>
    </row>
    <row r="41" spans="1:2" ht="15" customHeight="1" x14ac:dyDescent="0.25">
      <c r="B41" s="2"/>
    </row>
    <row r="42" spans="1:2" ht="15" customHeight="1" x14ac:dyDescent="0.25">
      <c r="A42" t="s">
        <v>841</v>
      </c>
      <c r="B42" s="2"/>
    </row>
    <row r="43" spans="1:2" ht="15" customHeight="1" x14ac:dyDescent="0.25">
      <c r="B43" s="2" t="s">
        <v>842</v>
      </c>
    </row>
    <row r="44" spans="1:2" ht="15" customHeight="1" x14ac:dyDescent="0.25">
      <c r="B44" s="2" t="s">
        <v>843</v>
      </c>
    </row>
    <row r="45" spans="1:2" ht="15" customHeight="1" x14ac:dyDescent="0.25">
      <c r="B45" s="2"/>
    </row>
    <row r="46" spans="1:2" ht="15" customHeight="1" x14ac:dyDescent="0.25">
      <c r="A46" t="s">
        <v>1117</v>
      </c>
      <c r="B46" s="2"/>
    </row>
    <row r="47" spans="1:2" ht="15" customHeight="1" x14ac:dyDescent="0.25">
      <c r="B47" s="2" t="s">
        <v>1215</v>
      </c>
    </row>
    <row r="48" spans="1:2" ht="15" customHeight="1" x14ac:dyDescent="0.25">
      <c r="B48" s="2" t="s">
        <v>1216</v>
      </c>
    </row>
    <row r="49" spans="1:2" ht="15" customHeight="1" x14ac:dyDescent="0.25">
      <c r="B49" s="2"/>
    </row>
    <row r="50" spans="1:2" ht="15" customHeight="1" x14ac:dyDescent="0.25">
      <c r="A50" t="s">
        <v>1476</v>
      </c>
      <c r="B50" s="2"/>
    </row>
    <row r="51" spans="1:2" ht="15" customHeight="1" x14ac:dyDescent="0.25">
      <c r="B51" s="2" t="s">
        <v>872</v>
      </c>
    </row>
    <row r="52" spans="1:2" ht="15" customHeight="1" x14ac:dyDescent="0.25">
      <c r="B52" s="2" t="s">
        <v>1477</v>
      </c>
    </row>
    <row r="53" spans="1:2" ht="15" customHeight="1" x14ac:dyDescent="0.25">
      <c r="B53" s="2"/>
    </row>
    <row r="54" spans="1:2" ht="15" customHeight="1" x14ac:dyDescent="0.25">
      <c r="A54" s="1" t="s">
        <v>911</v>
      </c>
      <c r="B54" s="2"/>
    </row>
    <row r="55" spans="1:2" ht="15" customHeight="1" x14ac:dyDescent="0.25">
      <c r="B55" s="2"/>
    </row>
    <row r="56" spans="1:2" ht="15" customHeight="1" x14ac:dyDescent="0.25">
      <c r="A56" t="s">
        <v>1235</v>
      </c>
      <c r="B56" s="2"/>
    </row>
    <row r="57" spans="1:2" ht="15" customHeight="1" x14ac:dyDescent="0.25">
      <c r="B57" s="2" t="s">
        <v>871</v>
      </c>
    </row>
    <row r="58" spans="1:2" ht="15" customHeight="1" x14ac:dyDescent="0.25">
      <c r="B58" s="2"/>
    </row>
    <row r="59" spans="1:2" ht="15" customHeight="1" x14ac:dyDescent="0.25">
      <c r="A59" t="s">
        <v>910</v>
      </c>
      <c r="B59" s="2"/>
    </row>
    <row r="60" spans="1:2" ht="15" customHeight="1" x14ac:dyDescent="0.25">
      <c r="B60" s="2" t="s">
        <v>872</v>
      </c>
    </row>
    <row r="61" spans="1:2" ht="15" customHeight="1" x14ac:dyDescent="0.25">
      <c r="B61" s="2"/>
    </row>
    <row r="62" spans="1:2" ht="15" customHeight="1" x14ac:dyDescent="0.25">
      <c r="A62" t="s">
        <v>678</v>
      </c>
      <c r="B62" s="2"/>
    </row>
    <row r="63" spans="1:2" ht="15" customHeight="1" x14ac:dyDescent="0.25">
      <c r="B63" s="2" t="s">
        <v>876</v>
      </c>
    </row>
    <row r="64" spans="1:2" ht="15" customHeight="1" x14ac:dyDescent="0.25">
      <c r="B64" s="2" t="s">
        <v>873</v>
      </c>
    </row>
    <row r="65" spans="1:2" ht="15" customHeight="1" x14ac:dyDescent="0.25">
      <c r="B65" s="2"/>
    </row>
    <row r="66" spans="1:2" ht="15" customHeight="1" x14ac:dyDescent="0.25">
      <c r="A66" t="s">
        <v>1233</v>
      </c>
      <c r="B66" s="2"/>
    </row>
    <row r="67" spans="1:2" ht="15" customHeight="1" x14ac:dyDescent="0.25">
      <c r="B67" s="2" t="s">
        <v>1468</v>
      </c>
    </row>
    <row r="68" spans="1:2" ht="15" customHeight="1" x14ac:dyDescent="0.25">
      <c r="B68" s="2" t="s">
        <v>1483</v>
      </c>
    </row>
    <row r="69" spans="1:2" ht="15" customHeight="1" x14ac:dyDescent="0.25">
      <c r="B69" s="2" t="s">
        <v>1218</v>
      </c>
    </row>
    <row r="70" spans="1:2" ht="15" customHeight="1" x14ac:dyDescent="0.25">
      <c r="B70" s="2" t="s">
        <v>949</v>
      </c>
    </row>
    <row r="71" spans="1:2" ht="15" customHeight="1" x14ac:dyDescent="0.25">
      <c r="B71" s="2" t="s">
        <v>1234</v>
      </c>
    </row>
    <row r="72" spans="1:2" ht="15" customHeight="1" x14ac:dyDescent="0.25">
      <c r="B72" s="2"/>
    </row>
    <row r="73" spans="1:2" ht="15" customHeight="1" x14ac:dyDescent="0.25">
      <c r="A73" t="s">
        <v>939</v>
      </c>
      <c r="B73" s="2"/>
    </row>
    <row r="74" spans="1:2" ht="15" customHeight="1" x14ac:dyDescent="0.25">
      <c r="B74" s="2" t="s">
        <v>871</v>
      </c>
    </row>
    <row r="75" spans="1:2" ht="15" customHeight="1" x14ac:dyDescent="0.25">
      <c r="B75" s="2" t="s">
        <v>872</v>
      </c>
    </row>
    <row r="76" spans="1:2" ht="15" customHeight="1" x14ac:dyDescent="0.25">
      <c r="B76" s="2" t="s">
        <v>950</v>
      </c>
    </row>
    <row r="77" spans="1:2" ht="15" customHeight="1" x14ac:dyDescent="0.25">
      <c r="B77" s="2" t="s">
        <v>951</v>
      </c>
    </row>
    <row r="78" spans="1:2" ht="15" customHeight="1" x14ac:dyDescent="0.25">
      <c r="B78" s="2"/>
    </row>
    <row r="79" spans="1:2" ht="15" customHeight="1" x14ac:dyDescent="0.25">
      <c r="A79" s="1" t="s">
        <v>1513</v>
      </c>
      <c r="B79" s="2"/>
    </row>
    <row r="80" spans="1:2" ht="15" customHeight="1" x14ac:dyDescent="0.25">
      <c r="B80" s="2" t="s">
        <v>1514</v>
      </c>
    </row>
    <row r="81" spans="1:2" ht="15" customHeight="1" x14ac:dyDescent="0.25">
      <c r="B81" s="2" t="s">
        <v>1515</v>
      </c>
    </row>
    <row r="82" spans="1:2" ht="15" customHeight="1" x14ac:dyDescent="0.25">
      <c r="B82" s="2" t="s">
        <v>1555</v>
      </c>
    </row>
    <row r="83" spans="1:2" ht="15" customHeight="1" x14ac:dyDescent="0.25">
      <c r="B83" s="2"/>
    </row>
    <row r="84" spans="1:2" s="1" customFormat="1" ht="15" customHeight="1" x14ac:dyDescent="0.25">
      <c r="A84" s="1" t="s">
        <v>666</v>
      </c>
      <c r="B84" s="325"/>
    </row>
    <row r="85" spans="1:2" ht="15" customHeight="1" x14ac:dyDescent="0.25">
      <c r="B85" s="15"/>
    </row>
    <row r="86" spans="1:2" ht="15" customHeight="1" x14ac:dyDescent="0.25">
      <c r="A86" t="s">
        <v>683</v>
      </c>
      <c r="B86" s="2"/>
    </row>
    <row r="87" spans="1:2" ht="15" customHeight="1" x14ac:dyDescent="0.25">
      <c r="B87" s="2" t="s">
        <v>685</v>
      </c>
    </row>
    <row r="88" spans="1:2" ht="15" customHeight="1" x14ac:dyDescent="0.25">
      <c r="B88" s="2"/>
    </row>
    <row r="89" spans="1:2" ht="15" customHeight="1" x14ac:dyDescent="0.25">
      <c r="A89" t="s">
        <v>692</v>
      </c>
      <c r="B89" s="2"/>
    </row>
    <row r="90" spans="1:2" ht="15" customHeight="1" x14ac:dyDescent="0.25">
      <c r="B90" s="2" t="s">
        <v>687</v>
      </c>
    </row>
    <row r="91" spans="1:2" ht="15" customHeight="1" x14ac:dyDescent="0.25">
      <c r="B91" s="2" t="s">
        <v>334</v>
      </c>
    </row>
    <row r="92" spans="1:2" ht="15" customHeight="1" x14ac:dyDescent="0.25">
      <c r="B92" s="2"/>
    </row>
    <row r="93" spans="1:2" ht="15" customHeight="1" x14ac:dyDescent="0.25">
      <c r="A93" t="s">
        <v>693</v>
      </c>
      <c r="B93" s="2"/>
    </row>
    <row r="94" spans="1:2" ht="15" customHeight="1" x14ac:dyDescent="0.25">
      <c r="B94" s="2" t="s">
        <v>686</v>
      </c>
    </row>
    <row r="95" spans="1:2" ht="15" customHeight="1" x14ac:dyDescent="0.25">
      <c r="B95" s="2" t="s">
        <v>742</v>
      </c>
    </row>
    <row r="96" spans="1:2" ht="15" customHeight="1" x14ac:dyDescent="0.25">
      <c r="B96" s="2" t="s">
        <v>691</v>
      </c>
    </row>
    <row r="97" spans="1:2" ht="15" customHeight="1" x14ac:dyDescent="0.25">
      <c r="B97" s="2"/>
    </row>
    <row r="98" spans="1:2" ht="15" customHeight="1" x14ac:dyDescent="0.25">
      <c r="A98" t="s">
        <v>694</v>
      </c>
      <c r="B98" s="2"/>
    </row>
    <row r="99" spans="1:2" ht="15" customHeight="1" x14ac:dyDescent="0.25">
      <c r="B99" s="2" t="s">
        <v>690</v>
      </c>
    </row>
    <row r="100" spans="1:2" ht="15" customHeight="1" x14ac:dyDescent="0.25">
      <c r="B100" s="2"/>
    </row>
    <row r="101" spans="1:2" ht="15" customHeight="1" x14ac:dyDescent="0.25">
      <c r="A101" t="s">
        <v>695</v>
      </c>
      <c r="B101" s="2"/>
    </row>
    <row r="102" spans="1:2" ht="15" customHeight="1" x14ac:dyDescent="0.25">
      <c r="B102" s="2" t="s">
        <v>689</v>
      </c>
    </row>
    <row r="103" spans="1:2" ht="15" customHeight="1" x14ac:dyDescent="0.25">
      <c r="B103" s="2"/>
    </row>
    <row r="104" spans="1:2" ht="15" customHeight="1" x14ac:dyDescent="0.25">
      <c r="A104" t="s">
        <v>684</v>
      </c>
      <c r="B104" s="2"/>
    </row>
    <row r="105" spans="1:2" ht="15" customHeight="1" x14ac:dyDescent="0.25">
      <c r="B105" s="2" t="s">
        <v>696</v>
      </c>
    </row>
    <row r="106" spans="1:2" ht="15" customHeight="1" x14ac:dyDescent="0.25">
      <c r="B106" s="2"/>
    </row>
    <row r="107" spans="1:2" ht="15" customHeight="1" x14ac:dyDescent="0.25">
      <c r="A107" t="s">
        <v>751</v>
      </c>
      <c r="B107" s="2"/>
    </row>
    <row r="108" spans="1:2" ht="15" customHeight="1" x14ac:dyDescent="0.25">
      <c r="B108" s="2" t="s">
        <v>749</v>
      </c>
    </row>
    <row r="109" spans="1:2" ht="15" customHeight="1" x14ac:dyDescent="0.25">
      <c r="B109" s="2" t="s">
        <v>750</v>
      </c>
    </row>
    <row r="110" spans="1:2" ht="15" customHeight="1" x14ac:dyDescent="0.25">
      <c r="B110" s="2"/>
    </row>
    <row r="111" spans="1:2" ht="15" customHeight="1" x14ac:dyDescent="0.25">
      <c r="A111" t="s">
        <v>748</v>
      </c>
      <c r="B111" s="2"/>
    </row>
    <row r="112" spans="1:2" ht="15" customHeight="1" x14ac:dyDescent="0.25">
      <c r="B112" s="2" t="s">
        <v>747</v>
      </c>
    </row>
    <row r="113" spans="1:2" ht="15" customHeight="1" x14ac:dyDescent="0.25">
      <c r="B113" s="2"/>
    </row>
    <row r="114" spans="1:2" ht="15" customHeight="1" x14ac:dyDescent="0.25">
      <c r="A114" t="s">
        <v>688</v>
      </c>
      <c r="B114" s="2"/>
    </row>
    <row r="115" spans="1:2" ht="15" customHeight="1" x14ac:dyDescent="0.25">
      <c r="B115" s="2" t="s">
        <v>744</v>
      </c>
    </row>
    <row r="116" spans="1:2" ht="15" customHeight="1" x14ac:dyDescent="0.25">
      <c r="B116" s="2" t="s">
        <v>745</v>
      </c>
    </row>
    <row r="117" spans="1:2" ht="15" customHeight="1" x14ac:dyDescent="0.25">
      <c r="B117" s="2" t="s">
        <v>746</v>
      </c>
    </row>
    <row r="118" spans="1:2" ht="15" customHeight="1" x14ac:dyDescent="0.25">
      <c r="B118" s="2"/>
    </row>
    <row r="119" spans="1:2" ht="15" customHeight="1" x14ac:dyDescent="0.25">
      <c r="A119" s="1" t="s">
        <v>1254</v>
      </c>
      <c r="B119" s="2"/>
    </row>
    <row r="120" spans="1:2" ht="15" customHeight="1" x14ac:dyDescent="0.25">
      <c r="B120" s="2"/>
    </row>
    <row r="121" spans="1:2" ht="15" customHeight="1" x14ac:dyDescent="0.25">
      <c r="A121" t="s">
        <v>1255</v>
      </c>
      <c r="B121" s="2"/>
    </row>
    <row r="122" spans="1:2" ht="15" customHeight="1" x14ac:dyDescent="0.25">
      <c r="B122" s="2" t="s">
        <v>1273</v>
      </c>
    </row>
    <row r="123" spans="1:2" ht="15" customHeight="1" x14ac:dyDescent="0.25">
      <c r="B123" s="2" t="s">
        <v>1272</v>
      </c>
    </row>
    <row r="124" spans="1:2" ht="15" customHeight="1" x14ac:dyDescent="0.25">
      <c r="B124" s="2" t="s">
        <v>1331</v>
      </c>
    </row>
    <row r="125" spans="1:2" ht="15" customHeight="1" x14ac:dyDescent="0.25">
      <c r="B125" s="2" t="s">
        <v>1340</v>
      </c>
    </row>
    <row r="126" spans="1:2" ht="15" customHeight="1" x14ac:dyDescent="0.25">
      <c r="B126" s="2" t="s">
        <v>1330</v>
      </c>
    </row>
    <row r="127" spans="1:2" ht="15" customHeight="1" x14ac:dyDescent="0.25">
      <c r="B127" s="2" t="s">
        <v>1327</v>
      </c>
    </row>
    <row r="128" spans="1:2" ht="15" customHeight="1" x14ac:dyDescent="0.25">
      <c r="B128" s="2" t="s">
        <v>1328</v>
      </c>
    </row>
    <row r="129" spans="1:2" ht="15" customHeight="1" x14ac:dyDescent="0.25">
      <c r="B129" s="2" t="s">
        <v>1329</v>
      </c>
    </row>
    <row r="130" spans="1:2" ht="15" customHeight="1" x14ac:dyDescent="0.25">
      <c r="B130" s="2"/>
    </row>
    <row r="131" spans="1:2" ht="15" customHeight="1" x14ac:dyDescent="0.25">
      <c r="A131" t="s">
        <v>1312</v>
      </c>
      <c r="B131" s="2"/>
    </row>
    <row r="132" spans="1:2" ht="15" customHeight="1" x14ac:dyDescent="0.25">
      <c r="B132" s="2" t="s">
        <v>1334</v>
      </c>
    </row>
    <row r="133" spans="1:2" ht="15" customHeight="1" x14ac:dyDescent="0.25">
      <c r="B133" s="2" t="s">
        <v>1332</v>
      </c>
    </row>
    <row r="134" spans="1:2" ht="15" customHeight="1" x14ac:dyDescent="0.25">
      <c r="B134" s="2" t="s">
        <v>1333</v>
      </c>
    </row>
    <row r="135" spans="1:2" ht="15" customHeight="1" x14ac:dyDescent="0.25">
      <c r="B135" s="2" t="s">
        <v>1339</v>
      </c>
    </row>
    <row r="136" spans="1:2" ht="15" customHeight="1" x14ac:dyDescent="0.25">
      <c r="B136" s="2" t="s">
        <v>1338</v>
      </c>
    </row>
    <row r="137" spans="1:2" ht="15" customHeight="1" x14ac:dyDescent="0.25">
      <c r="B137" s="2" t="s">
        <v>1335</v>
      </c>
    </row>
    <row r="138" spans="1:2" ht="15" customHeight="1" x14ac:dyDescent="0.25">
      <c r="B138" s="2" t="s">
        <v>1336</v>
      </c>
    </row>
    <row r="139" spans="1:2" ht="15" customHeight="1" x14ac:dyDescent="0.25">
      <c r="B139" s="2" t="s">
        <v>1337</v>
      </c>
    </row>
    <row r="140" spans="1:2" ht="15" customHeight="1" x14ac:dyDescent="0.25">
      <c r="B140" s="2" t="s">
        <v>1351</v>
      </c>
    </row>
    <row r="141" spans="1:2" ht="15" customHeight="1" x14ac:dyDescent="0.25">
      <c r="B141" s="2" t="s">
        <v>1350</v>
      </c>
    </row>
    <row r="142" spans="1:2" ht="15" customHeight="1" x14ac:dyDescent="0.25">
      <c r="B142" s="2"/>
    </row>
    <row r="143" spans="1:2" ht="15" customHeight="1" x14ac:dyDescent="0.25">
      <c r="A143" s="1" t="s">
        <v>1186</v>
      </c>
      <c r="B143" s="2"/>
    </row>
    <row r="144" spans="1:2" ht="15" customHeight="1" x14ac:dyDescent="0.25">
      <c r="B144" s="2"/>
    </row>
    <row r="145" spans="1:2" ht="15" customHeight="1" x14ac:dyDescent="0.25">
      <c r="A145" t="s">
        <v>1179</v>
      </c>
      <c r="B145" s="2"/>
    </row>
    <row r="146" spans="1:2" ht="15" customHeight="1" x14ac:dyDescent="0.25">
      <c r="B146" s="2" t="s">
        <v>1136</v>
      </c>
    </row>
    <row r="147" spans="1:2" ht="15" customHeight="1" x14ac:dyDescent="0.25">
      <c r="B147" s="2"/>
    </row>
    <row r="148" spans="1:2" ht="15" customHeight="1" x14ac:dyDescent="0.25">
      <c r="A148" t="s">
        <v>1178</v>
      </c>
      <c r="B148" s="2"/>
    </row>
    <row r="149" spans="1:2" ht="15" customHeight="1" x14ac:dyDescent="0.25">
      <c r="B149" s="2" t="s">
        <v>1180</v>
      </c>
    </row>
    <row r="150" spans="1:2" ht="15" customHeight="1" x14ac:dyDescent="0.25">
      <c r="B150" s="2" t="s">
        <v>1191</v>
      </c>
    </row>
    <row r="151" spans="1:2" ht="15" customHeight="1" x14ac:dyDescent="0.25">
      <c r="B151" s="2"/>
    </row>
    <row r="152" spans="1:2" ht="15" customHeight="1" x14ac:dyDescent="0.25">
      <c r="A152" t="s">
        <v>1137</v>
      </c>
      <c r="B152" s="2"/>
    </row>
    <row r="153" spans="1:2" ht="15" customHeight="1" x14ac:dyDescent="0.25">
      <c r="B153" s="2" t="s">
        <v>1138</v>
      </c>
    </row>
    <row r="154" spans="1:2" ht="15" customHeight="1" x14ac:dyDescent="0.25">
      <c r="B154" s="2" t="s">
        <v>1182</v>
      </c>
    </row>
    <row r="155" spans="1:2" ht="15" customHeight="1" x14ac:dyDescent="0.25">
      <c r="B155" s="2" t="s">
        <v>1183</v>
      </c>
    </row>
    <row r="156" spans="1:2" ht="15" customHeight="1" x14ac:dyDescent="0.25">
      <c r="B156" s="2"/>
    </row>
    <row r="157" spans="1:2" ht="15" customHeight="1" x14ac:dyDescent="0.25">
      <c r="A157" s="1" t="s">
        <v>1356</v>
      </c>
      <c r="B157" s="2"/>
    </row>
    <row r="158" spans="1:2" ht="15" customHeight="1" x14ac:dyDescent="0.25">
      <c r="B158" s="2"/>
    </row>
    <row r="159" spans="1:2" ht="15" customHeight="1" x14ac:dyDescent="0.25">
      <c r="A159" t="s">
        <v>1357</v>
      </c>
      <c r="B159" s="2"/>
    </row>
    <row r="160" spans="1:2" ht="15" customHeight="1" x14ac:dyDescent="0.25">
      <c r="B160" s="2" t="s">
        <v>1367</v>
      </c>
    </row>
    <row r="161" spans="1:2" ht="15" customHeight="1" x14ac:dyDescent="0.25">
      <c r="B161" s="2" t="s">
        <v>1370</v>
      </c>
    </row>
    <row r="162" spans="1:2" ht="15" customHeight="1" x14ac:dyDescent="0.25">
      <c r="B162" s="2" t="s">
        <v>1372</v>
      </c>
    </row>
    <row r="163" spans="1:2" ht="15" customHeight="1" x14ac:dyDescent="0.25">
      <c r="B163" s="2" t="s">
        <v>1371</v>
      </c>
    </row>
    <row r="164" spans="1:2" ht="15" customHeight="1" x14ac:dyDescent="0.25">
      <c r="B164" s="2"/>
    </row>
    <row r="165" spans="1:2" ht="15" customHeight="1" x14ac:dyDescent="0.25">
      <c r="A165" t="s">
        <v>1368</v>
      </c>
      <c r="B165" s="2"/>
    </row>
    <row r="166" spans="1:2" ht="15" customHeight="1" x14ac:dyDescent="0.25">
      <c r="B166" s="2" t="s">
        <v>1430</v>
      </c>
    </row>
    <row r="167" spans="1:2" ht="15" customHeight="1" x14ac:dyDescent="0.25">
      <c r="B167" s="2" t="s">
        <v>1429</v>
      </c>
    </row>
    <row r="168" spans="1:2" ht="15" customHeight="1" x14ac:dyDescent="0.25">
      <c r="B168" s="2" t="s">
        <v>1431</v>
      </c>
    </row>
    <row r="169" spans="1:2" ht="15" customHeight="1" x14ac:dyDescent="0.25">
      <c r="B169" s="2" t="s">
        <v>1432</v>
      </c>
    </row>
    <row r="170" spans="1:2" ht="15" customHeight="1" x14ac:dyDescent="0.25">
      <c r="B170" s="2" t="s">
        <v>1433</v>
      </c>
    </row>
    <row r="171" spans="1:2" ht="15" customHeight="1" x14ac:dyDescent="0.25">
      <c r="B171" s="2" t="s">
        <v>1434</v>
      </c>
    </row>
    <row r="172" spans="1:2" ht="15" customHeight="1" x14ac:dyDescent="0.25">
      <c r="B172" s="2" t="s">
        <v>1435</v>
      </c>
    </row>
    <row r="173" spans="1:2" ht="15" customHeight="1" x14ac:dyDescent="0.25">
      <c r="B173" s="2"/>
    </row>
    <row r="174" spans="1:2" ht="15" customHeight="1" x14ac:dyDescent="0.25">
      <c r="A174" t="s">
        <v>1373</v>
      </c>
      <c r="B174" s="2"/>
    </row>
    <row r="175" spans="1:2" ht="15" customHeight="1" x14ac:dyDescent="0.25">
      <c r="B175" s="2" t="s">
        <v>1403</v>
      </c>
    </row>
    <row r="176" spans="1:2" ht="15" customHeight="1" x14ac:dyDescent="0.25">
      <c r="B176" s="2" t="s">
        <v>1404</v>
      </c>
    </row>
    <row r="177" spans="1:2" ht="15" customHeight="1" x14ac:dyDescent="0.25">
      <c r="B177" s="2" t="s">
        <v>1405</v>
      </c>
    </row>
    <row r="178" spans="1:2" ht="15" customHeight="1" x14ac:dyDescent="0.25">
      <c r="B178" s="2" t="s">
        <v>1406</v>
      </c>
    </row>
    <row r="179" spans="1:2" ht="15" customHeight="1" x14ac:dyDescent="0.25">
      <c r="B179" s="2" t="s">
        <v>1407</v>
      </c>
    </row>
    <row r="180" spans="1:2" ht="15" customHeight="1" x14ac:dyDescent="0.25">
      <c r="B180" s="2" t="s">
        <v>1408</v>
      </c>
    </row>
    <row r="181" spans="1:2" ht="15" customHeight="1" x14ac:dyDescent="0.25">
      <c r="B181" s="2" t="s">
        <v>1409</v>
      </c>
    </row>
    <row r="182" spans="1:2" ht="15" customHeight="1" x14ac:dyDescent="0.25">
      <c r="B182" s="2" t="s">
        <v>1410</v>
      </c>
    </row>
    <row r="183" spans="1:2" ht="15" customHeight="1" x14ac:dyDescent="0.25">
      <c r="B183" s="2"/>
    </row>
    <row r="184" spans="1:2" s="1" customFormat="1" ht="15" customHeight="1" x14ac:dyDescent="0.25">
      <c r="A184" s="1" t="s">
        <v>667</v>
      </c>
      <c r="B184" s="325"/>
    </row>
    <row r="185" spans="1:2" ht="15" customHeight="1" x14ac:dyDescent="0.25">
      <c r="B185" s="2"/>
    </row>
    <row r="186" spans="1:2" ht="15" customHeight="1" x14ac:dyDescent="0.25">
      <c r="A186" t="s">
        <v>697</v>
      </c>
      <c r="B186" s="2"/>
    </row>
    <row r="187" spans="1:2" ht="15" customHeight="1" x14ac:dyDescent="0.25">
      <c r="B187" s="2" t="s">
        <v>698</v>
      </c>
    </row>
    <row r="188" spans="1:2" ht="15" customHeight="1" x14ac:dyDescent="0.25">
      <c r="B188" s="2" t="s">
        <v>699</v>
      </c>
    </row>
    <row r="189" spans="1:2" ht="15" customHeight="1" x14ac:dyDescent="0.25">
      <c r="B189" s="2"/>
    </row>
    <row r="190" spans="1:2" ht="15" customHeight="1" x14ac:dyDescent="0.25">
      <c r="A190" t="s">
        <v>448</v>
      </c>
      <c r="B190" s="2"/>
    </row>
    <row r="191" spans="1:2" ht="15" customHeight="1" x14ac:dyDescent="0.25">
      <c r="B191" s="2" t="s">
        <v>700</v>
      </c>
    </row>
    <row r="192" spans="1:2" ht="15" customHeight="1" x14ac:dyDescent="0.25">
      <c r="B192" s="2" t="s">
        <v>718</v>
      </c>
    </row>
    <row r="193" spans="1:2" ht="15" customHeight="1" x14ac:dyDescent="0.25">
      <c r="B193" s="2" t="s">
        <v>701</v>
      </c>
    </row>
    <row r="194" spans="1:2" ht="15" customHeight="1" x14ac:dyDescent="0.25">
      <c r="B194" s="2" t="s">
        <v>462</v>
      </c>
    </row>
    <row r="195" spans="1:2" ht="15" customHeight="1" x14ac:dyDescent="0.25">
      <c r="B195" s="2"/>
    </row>
    <row r="196" spans="1:2" ht="15" customHeight="1" x14ac:dyDescent="0.25">
      <c r="A196" t="s">
        <v>717</v>
      </c>
      <c r="B196" s="2"/>
    </row>
    <row r="197" spans="1:2" ht="15" customHeight="1" x14ac:dyDescent="0.25">
      <c r="B197" s="2" t="s">
        <v>719</v>
      </c>
    </row>
    <row r="198" spans="1:2" ht="15" customHeight="1" x14ac:dyDescent="0.25">
      <c r="B198" s="2" t="s">
        <v>720</v>
      </c>
    </row>
    <row r="199" spans="1:2" ht="15" customHeight="1" x14ac:dyDescent="0.25">
      <c r="B199" s="2" t="s">
        <v>721</v>
      </c>
    </row>
    <row r="200" spans="1:2" ht="15" customHeight="1" x14ac:dyDescent="0.25">
      <c r="B200" s="2" t="s">
        <v>818</v>
      </c>
    </row>
    <row r="201" spans="1:2" ht="15" customHeight="1" x14ac:dyDescent="0.25">
      <c r="B201" s="2"/>
    </row>
    <row r="202" spans="1:2" ht="15" customHeight="1" x14ac:dyDescent="0.25">
      <c r="A202" t="s">
        <v>1185</v>
      </c>
      <c r="B202" s="2"/>
    </row>
    <row r="203" spans="1:2" ht="15" customHeight="1" x14ac:dyDescent="0.25">
      <c r="B203" s="2" t="s">
        <v>703</v>
      </c>
    </row>
    <row r="204" spans="1:2" ht="15" customHeight="1" x14ac:dyDescent="0.25">
      <c r="B204" s="2" t="s">
        <v>1250</v>
      </c>
    </row>
    <row r="205" spans="1:2" ht="15" customHeight="1" x14ac:dyDescent="0.25">
      <c r="B205" s="2" t="s">
        <v>1251</v>
      </c>
    </row>
    <row r="206" spans="1:2" ht="15" customHeight="1" x14ac:dyDescent="0.25">
      <c r="B206" s="2" t="s">
        <v>1252</v>
      </c>
    </row>
    <row r="207" spans="1:2" ht="15" customHeight="1" x14ac:dyDescent="0.25">
      <c r="B207" s="2"/>
    </row>
    <row r="208" spans="1:2" ht="15" customHeight="1" x14ac:dyDescent="0.25">
      <c r="A208" t="s">
        <v>702</v>
      </c>
      <c r="B208" s="2"/>
    </row>
    <row r="209" spans="2:2" ht="15" customHeight="1" x14ac:dyDescent="0.25">
      <c r="B209" s="2" t="s">
        <v>722</v>
      </c>
    </row>
    <row r="210" spans="2:2" ht="15" customHeight="1" x14ac:dyDescent="0.25">
      <c r="B210" s="2" t="s">
        <v>650</v>
      </c>
    </row>
    <row r="211" spans="2:2" ht="15" customHeight="1" x14ac:dyDescent="0.25">
      <c r="B211" s="2" t="s">
        <v>723</v>
      </c>
    </row>
    <row r="212" spans="2:2" ht="15" customHeight="1" x14ac:dyDescent="0.25">
      <c r="B212" s="2" t="s">
        <v>724</v>
      </c>
    </row>
    <row r="213" spans="2:2" ht="15" customHeight="1" x14ac:dyDescent="0.25">
      <c r="B213" s="2" t="s">
        <v>725</v>
      </c>
    </row>
    <row r="214" spans="2:2" ht="15" customHeight="1" x14ac:dyDescent="0.25">
      <c r="B214" s="2" t="s">
        <v>726</v>
      </c>
    </row>
    <row r="215" spans="2:2" ht="15" customHeight="1" x14ac:dyDescent="0.25">
      <c r="B215" s="2" t="s">
        <v>727</v>
      </c>
    </row>
    <row r="216" spans="2:2" ht="15" customHeight="1" x14ac:dyDescent="0.25">
      <c r="B216" s="2" t="s">
        <v>728</v>
      </c>
    </row>
    <row r="217" spans="2:2" ht="15" customHeight="1" x14ac:dyDescent="0.25">
      <c r="B217" s="2" t="s">
        <v>729</v>
      </c>
    </row>
    <row r="218" spans="2:2" ht="15" customHeight="1" x14ac:dyDescent="0.25">
      <c r="B218" s="2" t="s">
        <v>730</v>
      </c>
    </row>
    <row r="219" spans="2:2" ht="15" customHeight="1" x14ac:dyDescent="0.25">
      <c r="B219" s="2" t="s">
        <v>731</v>
      </c>
    </row>
    <row r="220" spans="2:2" ht="15" customHeight="1" x14ac:dyDescent="0.25">
      <c r="B220" s="2" t="s">
        <v>732</v>
      </c>
    </row>
    <row r="221" spans="2:2" ht="15" customHeight="1" x14ac:dyDescent="0.25">
      <c r="B221" s="2" t="s">
        <v>733</v>
      </c>
    </row>
    <row r="222" spans="2:2" ht="15" customHeight="1" x14ac:dyDescent="0.25">
      <c r="B222" s="2" t="s">
        <v>734</v>
      </c>
    </row>
    <row r="223" spans="2:2" ht="15" customHeight="1" x14ac:dyDescent="0.25">
      <c r="B223" s="2" t="s">
        <v>735</v>
      </c>
    </row>
    <row r="224" spans="2:2" ht="15" customHeight="1" x14ac:dyDescent="0.25">
      <c r="B224" s="2" t="s">
        <v>743</v>
      </c>
    </row>
    <row r="225" spans="1:2" ht="15" customHeight="1" x14ac:dyDescent="0.25">
      <c r="B225" s="2"/>
    </row>
    <row r="226" spans="1:2" ht="15" customHeight="1" x14ac:dyDescent="0.25">
      <c r="A226" t="s">
        <v>1487</v>
      </c>
      <c r="B226" s="2"/>
    </row>
    <row r="227" spans="1:2" ht="15" customHeight="1" x14ac:dyDescent="0.25">
      <c r="B227" s="2" t="s">
        <v>1511</v>
      </c>
    </row>
    <row r="228" spans="1:2" ht="15" customHeight="1" x14ac:dyDescent="0.25">
      <c r="B228" s="2" t="s">
        <v>1488</v>
      </c>
    </row>
    <row r="229" spans="1:2" ht="15" customHeight="1" x14ac:dyDescent="0.25">
      <c r="B229" s="2" t="s">
        <v>1489</v>
      </c>
    </row>
    <row r="230" spans="1:2" ht="15" customHeight="1" x14ac:dyDescent="0.25">
      <c r="B230" s="2"/>
    </row>
    <row r="231" spans="1:2" ht="15" customHeight="1" x14ac:dyDescent="0.25">
      <c r="A231" t="s">
        <v>705</v>
      </c>
      <c r="B231" s="2"/>
    </row>
    <row r="232" spans="1:2" ht="15" customHeight="1" x14ac:dyDescent="0.25">
      <c r="B232" s="2" t="s">
        <v>704</v>
      </c>
    </row>
    <row r="233" spans="1:2" ht="15" customHeight="1" x14ac:dyDescent="0.25">
      <c r="B233" s="2"/>
    </row>
    <row r="234" spans="1:2" ht="15" customHeight="1" x14ac:dyDescent="0.25">
      <c r="A234" t="s">
        <v>1201</v>
      </c>
      <c r="B234" s="2"/>
    </row>
    <row r="235" spans="1:2" ht="15" customHeight="1" x14ac:dyDescent="0.25">
      <c r="B235" s="2" t="s">
        <v>1203</v>
      </c>
    </row>
    <row r="236" spans="1:2" ht="15" customHeight="1" x14ac:dyDescent="0.25">
      <c r="B236" s="2" t="s">
        <v>1202</v>
      </c>
    </row>
    <row r="238" spans="1:2" s="1" customFormat="1" ht="15" customHeight="1" x14ac:dyDescent="0.25">
      <c r="A238" s="1" t="s">
        <v>668</v>
      </c>
      <c r="B238" s="325"/>
    </row>
    <row r="239" spans="1:2" ht="15" customHeight="1" x14ac:dyDescent="0.25">
      <c r="B239" s="2"/>
    </row>
    <row r="240" spans="1:2" ht="15" customHeight="1" x14ac:dyDescent="0.25">
      <c r="A240" t="s">
        <v>673</v>
      </c>
      <c r="B240" s="2"/>
    </row>
    <row r="241" spans="1:2" ht="15" customHeight="1" x14ac:dyDescent="0.25">
      <c r="B241" s="2" t="s">
        <v>709</v>
      </c>
    </row>
    <row r="242" spans="1:2" ht="15" customHeight="1" x14ac:dyDescent="0.25">
      <c r="B242" s="2"/>
    </row>
    <row r="243" spans="1:2" ht="15" customHeight="1" x14ac:dyDescent="0.25">
      <c r="A243" t="s">
        <v>708</v>
      </c>
      <c r="B243" s="2"/>
    </row>
    <row r="244" spans="1:2" ht="15" customHeight="1" x14ac:dyDescent="0.25">
      <c r="B244" s="2" t="s">
        <v>739</v>
      </c>
    </row>
    <row r="245" spans="1:2" ht="15" customHeight="1" x14ac:dyDescent="0.25">
      <c r="B245" s="2" t="s">
        <v>710</v>
      </c>
    </row>
    <row r="246" spans="1:2" ht="15" customHeight="1" x14ac:dyDescent="0.25">
      <c r="B246" s="2" t="s">
        <v>711</v>
      </c>
    </row>
    <row r="247" spans="1:2" ht="15" customHeight="1" x14ac:dyDescent="0.25">
      <c r="B247" s="2" t="s">
        <v>713</v>
      </c>
    </row>
    <row r="248" spans="1:2" ht="15" customHeight="1" x14ac:dyDescent="0.25">
      <c r="B248" s="2" t="s">
        <v>712</v>
      </c>
    </row>
    <row r="249" spans="1:2" ht="15" customHeight="1" x14ac:dyDescent="0.25">
      <c r="B249" s="2"/>
    </row>
    <row r="250" spans="1:2" ht="15" customHeight="1" x14ac:dyDescent="0.25">
      <c r="A250" t="s">
        <v>714</v>
      </c>
      <c r="B250" s="2"/>
    </row>
    <row r="251" spans="1:2" ht="15" customHeight="1" x14ac:dyDescent="0.25">
      <c r="B251" s="2" t="s">
        <v>736</v>
      </c>
    </row>
    <row r="252" spans="1:2" ht="15" customHeight="1" x14ac:dyDescent="0.25">
      <c r="B252" s="2" t="s">
        <v>738</v>
      </c>
    </row>
    <row r="253" spans="1:2" ht="15" customHeight="1" x14ac:dyDescent="0.25">
      <c r="B253" s="2" t="s">
        <v>737</v>
      </c>
    </row>
    <row r="254" spans="1:2" ht="15" customHeight="1" x14ac:dyDescent="0.25">
      <c r="B254" s="2"/>
    </row>
    <row r="255" spans="1:2" ht="15" customHeight="1" x14ac:dyDescent="0.25">
      <c r="A255" t="s">
        <v>715</v>
      </c>
      <c r="B255" s="2"/>
    </row>
    <row r="256" spans="1:2" ht="15" customHeight="1" x14ac:dyDescent="0.25">
      <c r="B256" s="2" t="s">
        <v>740</v>
      </c>
    </row>
    <row r="257" spans="1:2" ht="15" customHeight="1" x14ac:dyDescent="0.25">
      <c r="B257" s="2" t="s">
        <v>1184</v>
      </c>
    </row>
    <row r="258" spans="1:2" ht="15" customHeight="1" x14ac:dyDescent="0.25">
      <c r="B258" s="2"/>
    </row>
    <row r="259" spans="1:2" ht="15" customHeight="1" x14ac:dyDescent="0.25">
      <c r="A259" t="s">
        <v>716</v>
      </c>
      <c r="B259" s="2"/>
    </row>
    <row r="260" spans="1:2" ht="15" customHeight="1" x14ac:dyDescent="0.25">
      <c r="B260" s="2" t="s">
        <v>741</v>
      </c>
    </row>
    <row r="261" spans="1:2" ht="15" customHeight="1" x14ac:dyDescent="0.25">
      <c r="B261" s="2"/>
    </row>
    <row r="262" spans="1:2" ht="15" customHeight="1" x14ac:dyDescent="0.25">
      <c r="A262" t="s">
        <v>1462</v>
      </c>
      <c r="B262" s="2"/>
    </row>
    <row r="263" spans="1:2" ht="15" customHeight="1" x14ac:dyDescent="0.25">
      <c r="B263" s="2" t="s">
        <v>1463</v>
      </c>
    </row>
    <row r="264" spans="1:2" ht="15" customHeight="1" x14ac:dyDescent="0.25">
      <c r="B264" s="2"/>
    </row>
    <row r="265" spans="1:2" ht="15" customHeight="1" x14ac:dyDescent="0.25">
      <c r="A265" t="s">
        <v>92</v>
      </c>
      <c r="B265" s="2"/>
    </row>
    <row r="266" spans="1:2" ht="15" customHeight="1" x14ac:dyDescent="0.25">
      <c r="B266" s="2" t="s">
        <v>613</v>
      </c>
    </row>
    <row r="267" spans="1:2" ht="15" customHeight="1" x14ac:dyDescent="0.25">
      <c r="B267" s="2" t="s">
        <v>614</v>
      </c>
    </row>
    <row r="268" spans="1:2" ht="15" customHeight="1" x14ac:dyDescent="0.25">
      <c r="B268" s="2"/>
    </row>
    <row r="269" spans="1:2" ht="15" customHeight="1" x14ac:dyDescent="0.25">
      <c r="A269" t="s">
        <v>1464</v>
      </c>
      <c r="B269" s="2"/>
    </row>
    <row r="270" spans="1:2" ht="15" customHeight="1" x14ac:dyDescent="0.25">
      <c r="B270" s="2" t="s">
        <v>1465</v>
      </c>
    </row>
    <row r="271" spans="1:2" ht="15" customHeight="1" x14ac:dyDescent="0.25">
      <c r="B271" s="2" t="s">
        <v>1466</v>
      </c>
    </row>
    <row r="272" spans="1:2" ht="15" customHeight="1" x14ac:dyDescent="0.25">
      <c r="B272" s="2" t="s">
        <v>1467</v>
      </c>
    </row>
    <row r="273" spans="1:2" ht="15" customHeight="1" x14ac:dyDescent="0.25">
      <c r="B273" s="2" t="s">
        <v>716</v>
      </c>
    </row>
    <row r="274" spans="1:2" ht="15" customHeight="1" x14ac:dyDescent="0.25">
      <c r="B274" s="2"/>
    </row>
    <row r="275" spans="1:2" ht="15" customHeight="1" x14ac:dyDescent="0.25">
      <c r="A275" s="1" t="s">
        <v>1512</v>
      </c>
      <c r="B275" s="2"/>
    </row>
    <row r="276" spans="1:2" ht="15" customHeight="1" x14ac:dyDescent="0.25">
      <c r="A276" s="1"/>
      <c r="B276" s="2"/>
    </row>
    <row r="277" spans="1:2" ht="15" customHeight="1" x14ac:dyDescent="0.25">
      <c r="A277" t="s">
        <v>706</v>
      </c>
    </row>
    <row r="278" spans="1:2" ht="15" customHeight="1" x14ac:dyDescent="0.25">
      <c r="B278" s="2" t="s">
        <v>985</v>
      </c>
    </row>
    <row r="279" spans="1:2" ht="15" customHeight="1" x14ac:dyDescent="0.25">
      <c r="B279" s="2" t="s">
        <v>1244</v>
      </c>
    </row>
    <row r="280" spans="1:2" ht="15" customHeight="1" x14ac:dyDescent="0.25">
      <c r="B280" s="2" t="s">
        <v>984</v>
      </c>
    </row>
    <row r="281" spans="1:2" ht="15" customHeight="1" x14ac:dyDescent="0.25">
      <c r="B281" s="2" t="s">
        <v>986</v>
      </c>
    </row>
    <row r="282" spans="1:2" ht="15" customHeight="1" x14ac:dyDescent="0.25">
      <c r="B282" s="2" t="s">
        <v>796</v>
      </c>
    </row>
    <row r="283" spans="1:2" ht="15" customHeight="1" x14ac:dyDescent="0.25">
      <c r="B283" s="2"/>
    </row>
    <row r="284" spans="1:2" ht="15" customHeight="1" x14ac:dyDescent="0.25">
      <c r="A284" s="1" t="s">
        <v>1014</v>
      </c>
      <c r="B284" s="2"/>
    </row>
    <row r="285" spans="1:2" ht="15" customHeight="1" x14ac:dyDescent="0.25">
      <c r="A285" s="1"/>
      <c r="B285" s="2"/>
    </row>
    <row r="286" spans="1:2" ht="15" customHeight="1" x14ac:dyDescent="0.25">
      <c r="A286" s="15" t="s">
        <v>1079</v>
      </c>
      <c r="B286" s="2"/>
    </row>
    <row r="287" spans="1:2" ht="15" customHeight="1" x14ac:dyDescent="0.25">
      <c r="B287" s="2" t="s">
        <v>1080</v>
      </c>
    </row>
    <row r="288" spans="1:2" ht="15" customHeight="1" x14ac:dyDescent="0.25">
      <c r="B288" s="2" t="s">
        <v>1081</v>
      </c>
    </row>
    <row r="289" spans="1:2" ht="15" customHeight="1" x14ac:dyDescent="0.25">
      <c r="B289" s="2" t="s">
        <v>1082</v>
      </c>
    </row>
    <row r="290" spans="1:2" ht="15" customHeight="1" x14ac:dyDescent="0.25">
      <c r="B290" s="2" t="s">
        <v>1083</v>
      </c>
    </row>
    <row r="291" spans="1:2" ht="15" customHeight="1" x14ac:dyDescent="0.25">
      <c r="B291" s="2"/>
    </row>
    <row r="292" spans="1:2" ht="15" customHeight="1" x14ac:dyDescent="0.25">
      <c r="A292" t="s">
        <v>1011</v>
      </c>
      <c r="B292" s="2"/>
    </row>
    <row r="293" spans="1:2" ht="15" customHeight="1" x14ac:dyDescent="0.25">
      <c r="B293" s="2" t="s">
        <v>1084</v>
      </c>
    </row>
    <row r="294" spans="1:2" ht="15" customHeight="1" x14ac:dyDescent="0.25">
      <c r="B294" s="2" t="s">
        <v>1086</v>
      </c>
    </row>
    <row r="295" spans="1:2" ht="15" customHeight="1" x14ac:dyDescent="0.25">
      <c r="B295" s="2" t="s">
        <v>1088</v>
      </c>
    </row>
    <row r="296" spans="1:2" ht="15" customHeight="1" x14ac:dyDescent="0.25">
      <c r="B296" s="2" t="s">
        <v>1095</v>
      </c>
    </row>
    <row r="297" spans="1:2" ht="15" customHeight="1" x14ac:dyDescent="0.25">
      <c r="B297" s="2" t="s">
        <v>1085</v>
      </c>
    </row>
    <row r="298" spans="1:2" ht="15" customHeight="1" x14ac:dyDescent="0.25">
      <c r="B298" s="2" t="s">
        <v>1087</v>
      </c>
    </row>
    <row r="299" spans="1:2" ht="15" customHeight="1" x14ac:dyDescent="0.25">
      <c r="B299" s="2" t="s">
        <v>1090</v>
      </c>
    </row>
    <row r="300" spans="1:2" ht="15" customHeight="1" x14ac:dyDescent="0.25">
      <c r="B300" s="2" t="s">
        <v>1089</v>
      </c>
    </row>
    <row r="301" spans="1:2" ht="15" customHeight="1" x14ac:dyDescent="0.25">
      <c r="B301" s="2" t="s">
        <v>1091</v>
      </c>
    </row>
    <row r="302" spans="1:2" ht="15" customHeight="1" x14ac:dyDescent="0.25">
      <c r="B302" s="2" t="s">
        <v>1092</v>
      </c>
    </row>
    <row r="303" spans="1:2" ht="15" customHeight="1" x14ac:dyDescent="0.25">
      <c r="B303" s="2" t="s">
        <v>1093</v>
      </c>
    </row>
    <row r="304" spans="1:2" ht="15" customHeight="1" x14ac:dyDescent="0.25">
      <c r="B304" s="2" t="s">
        <v>1094</v>
      </c>
    </row>
    <row r="305" spans="1:2" ht="15" customHeight="1" x14ac:dyDescent="0.25">
      <c r="B305" s="2"/>
    </row>
    <row r="306" spans="1:2" ht="15" customHeight="1" x14ac:dyDescent="0.25">
      <c r="A306" t="s">
        <v>1096</v>
      </c>
      <c r="B306" s="2"/>
    </row>
    <row r="307" spans="1:2" ht="15" customHeight="1" x14ac:dyDescent="0.25">
      <c r="B307" s="2" t="s">
        <v>1097</v>
      </c>
    </row>
    <row r="308" spans="1:2" ht="15" customHeight="1" x14ac:dyDescent="0.25">
      <c r="B308" s="2" t="s">
        <v>1098</v>
      </c>
    </row>
    <row r="309" spans="1:2" ht="15" customHeight="1" x14ac:dyDescent="0.25">
      <c r="B309" s="2" t="s">
        <v>1099</v>
      </c>
    </row>
    <row r="310" spans="1:2" ht="15" customHeight="1" x14ac:dyDescent="0.25">
      <c r="B310" s="2" t="s">
        <v>1100</v>
      </c>
    </row>
    <row r="311" spans="1:2" ht="15" customHeight="1" x14ac:dyDescent="0.25">
      <c r="B311" s="2" t="s">
        <v>1101</v>
      </c>
    </row>
    <row r="312" spans="1:2" ht="15" customHeight="1" x14ac:dyDescent="0.25">
      <c r="B312" s="2" t="s">
        <v>1102</v>
      </c>
    </row>
    <row r="313" spans="1:2" ht="15" customHeight="1" x14ac:dyDescent="0.25">
      <c r="B313" s="2" t="s">
        <v>1103</v>
      </c>
    </row>
    <row r="314" spans="1:2" ht="15" customHeight="1" x14ac:dyDescent="0.25">
      <c r="B314" s="2" t="s">
        <v>1104</v>
      </c>
    </row>
    <row r="315" spans="1:2" ht="15" customHeight="1" x14ac:dyDescent="0.25">
      <c r="B315" s="2"/>
    </row>
    <row r="316" spans="1:2" ht="15" customHeight="1" x14ac:dyDescent="0.25">
      <c r="A316" s="1" t="s">
        <v>674</v>
      </c>
      <c r="B316" s="2"/>
    </row>
    <row r="317" spans="1:2" ht="15" customHeight="1" x14ac:dyDescent="0.25">
      <c r="B317" s="2" t="s">
        <v>676</v>
      </c>
    </row>
    <row r="318" spans="1:2" ht="15" customHeight="1" x14ac:dyDescent="0.25">
      <c r="B318" s="2" t="s">
        <v>1236</v>
      </c>
    </row>
    <row r="319" spans="1:2" ht="15" customHeight="1" x14ac:dyDescent="0.25">
      <c r="B319" s="2" t="s">
        <v>707</v>
      </c>
    </row>
    <row r="320" spans="1:2" ht="15" customHeight="1" x14ac:dyDescent="0.25">
      <c r="B320" s="2" t="s">
        <v>675</v>
      </c>
    </row>
    <row r="321" spans="1:2" ht="15" customHeight="1" x14ac:dyDescent="0.25">
      <c r="B321" s="2" t="s">
        <v>1239</v>
      </c>
    </row>
    <row r="322" spans="1:2" ht="15" customHeight="1" x14ac:dyDescent="0.25">
      <c r="B322" s="2"/>
    </row>
    <row r="323" spans="1:2" ht="15" customHeight="1" x14ac:dyDescent="0.25">
      <c r="A323" s="1" t="s">
        <v>670</v>
      </c>
    </row>
    <row r="324" spans="1:2" ht="15" customHeight="1" x14ac:dyDescent="0.25">
      <c r="B324" s="2" t="s">
        <v>671</v>
      </c>
    </row>
    <row r="325" spans="1:2" ht="15" customHeight="1" x14ac:dyDescent="0.25">
      <c r="B325" s="2" t="s">
        <v>672</v>
      </c>
    </row>
    <row r="326" spans="1:2" ht="15" customHeight="1" x14ac:dyDescent="0.25">
      <c r="B326" s="2" t="s">
        <v>1249</v>
      </c>
    </row>
    <row r="327" spans="1:2" ht="15" customHeight="1" x14ac:dyDescent="0.25">
      <c r="B327" s="2" t="s">
        <v>1193</v>
      </c>
    </row>
    <row r="328" spans="1:2" ht="15" customHeight="1" x14ac:dyDescent="0.25">
      <c r="B328" s="2" t="s">
        <v>1194</v>
      </c>
    </row>
  </sheetData>
  <hyperlinks>
    <hyperlink ref="B324" location="'Stud. Q Table'!A1" display="'Stud. Q Table'!A1"/>
    <hyperlink ref="B325" location="'Stud. Q Table 2'!A1" display="F9 - Studentized Q Table (table 2)"/>
    <hyperlink ref="B87" location="'Log Lin 1.1'!A1" display="Two-way log-linear saturated model (Example 21.1)"/>
    <hyperlink ref="B94" location="'Log Lin 1.1'!A17" display="Two-way log-linear independence model (Example 21.2)"/>
    <hyperlink ref="B95" location="'Log Lin 1.1'!F26" display="Residuals and chi-square for two-way model (Figure 21.3)"/>
    <hyperlink ref="B96" location="'Log Lin 1.3'!A1" display="Coefficients via Excel regression data analysis tool (Figure 21.4)"/>
    <hyperlink ref="B90" location="'Log Lin 1.1'!R3" display="Marginal averages for two-way models (Figure 21.2)"/>
    <hyperlink ref="B99" location="'Log Lin 1.4'!A1" display="Other two-way log-linear models (Figure 21.6)"/>
    <hyperlink ref="B102" location="'Log Lin 1.4'!A89" display="Summary of all two-way log-linear models (Figure 21.7)"/>
    <hyperlink ref="B91" location="'Log Lin 1.2'!A1" display="Alternative coding for coefficients of two-way models"/>
    <hyperlink ref="B105" location="'Log Lin 2.1'!A1" display="Three-way contingency tables (Example 21.3)"/>
    <hyperlink ref="B108" location="'Log Lin 2.3'!A1" display="Expectation for 3-way models (Figures 21.11, 21.13, 21.16)"/>
    <hyperlink ref="B109" location="'Log Lin 2.2'!A1" display="Residuals and chi-square for three-way model (Figure 21.12)"/>
    <hyperlink ref="B112" location="'Log Lin 2.4'!A1" display="Iterative Proportional Fitting for Homogeneous case (Figure 21.15)"/>
    <hyperlink ref="B115" location="'Log Lin 2.4'!A87" display="Summary of all three-way log-linear models (Figure 21.17)"/>
    <hyperlink ref="B116" location="'Log Lin 2.1'!A18" display="Odds ratio for three-way log-linear models (Figure 21.18)"/>
    <hyperlink ref="B117" location="'Log Lin 2.5'!A1" display="Coefficients for three-way log-linear model (Figure 21.19)"/>
    <hyperlink ref="B187" location="'ANOVA Match 1.1'!A1" display="ANOVA with repeated measures, 1 treatment variable (Example 22.1)"/>
    <hyperlink ref="B188" location="'ANOVA Match 1.2'!A1" display="Contrasts for ANOVA with repeated measures (Example 22.2)"/>
    <hyperlink ref="B191" location="'ANOVA Match 1.3'!W3" display="Tests for sphericity (Figure 22.5 and 22.6)"/>
    <hyperlink ref="B193" location="'ANOVA Match 1.3'!N1" display="ANOVA with repeated measures corrected for sphericity (Example 22.3)"/>
    <hyperlink ref="B278" location="'ICC1'!A1" display="Intraclass Correlation - case 1"/>
    <hyperlink ref="B203" location="'ANOVA Match 2.1'!A1" display="ANOVA with repeated measures, 2 treatment variables (Example 22.5)"/>
    <hyperlink ref="B192" location="'ANOVA Match 1.3'!AK1" display="Calculation of GG and HF epsilon and lower bound correction (Figure 22.7)"/>
    <hyperlink ref="B194" location="'ANOVA Match 1.3'!N21" display="Effect size for ANOVA"/>
    <hyperlink ref="B241" location="'ANCOVA 1'!A1" display="ANCOVA (Example 23.1)"/>
    <hyperlink ref="B244" location="'ANCOVA 2'!A1" display="ANCOVA Regression Approach (Figure 23.2)"/>
    <hyperlink ref="B245" location="'ANCOVA 2'!J3" display="ANCOVA regression models (Figure 23.3)"/>
    <hyperlink ref="B246" location="'ANCOVA 2'!J30" display="ANCOVA results (Figure 23.4 and 23.5)"/>
    <hyperlink ref="B247" location="'ANCOVA 2'!R3" display="ANCOVA full model (Figure 23.6)"/>
    <hyperlink ref="B248" location="'ANCOVA 2'!A45" display="ANCOVA adjusted means (Figure 23.7 and 23.8)"/>
    <hyperlink ref="B251" location="'ANCOVA 1'!M3" display="ANCOVA assumptions (Example 23.2, Figure 23.9 and 23.10)"/>
    <hyperlink ref="B253" location="'ANCOVA 2'!Y3" display="ANCOVA assumptions - homogeneous regression slopes (Figure 23.12)"/>
    <hyperlink ref="B256" location="'ANCOVA 3'!A1" display="ANCOVA - ANOVA approach (Example 23.3, Figure 23.13)"/>
    <hyperlink ref="B260" location="'ANCOVA Contrasts'!A1" display="ANCOVA Contrasts (Example 23.4, Figure 23.18)"/>
    <hyperlink ref="B267" location="'ANCOVA Contrasts'!D17" display="ANCOVA effect sizes - contrasts"/>
    <hyperlink ref="B266" location="'ANCOVA 2'!J52" display="ANCOVA effect sizes - omnibus test"/>
    <hyperlink ref="B11" location="'Logit 1'!A1" display="Sigmoid curve (Figure 20.1)"/>
    <hyperlink ref="B232" location="Friedman!A1" display="Friedman's test (Example 22.9)"/>
    <hyperlink ref="B209" location="'ANOVA Match 2.3'!A1" display="ANOVA with repeated measures, 1 within and 1 between subjects (Example 22.8)"/>
    <hyperlink ref="B205" location="'ANOVA Match 2.2'!A1" display="Comparisons of means for intersection (Figure 22.16)"/>
    <hyperlink ref="B206" location="'ANOVA Match 2.2'!Y3" display="Comparisons of means for intersection (Example 22.7)"/>
    <hyperlink ref="B212" location="'ANOVA Match 2.3'!BU90" display="Assumptions between subjects: Levene's test (Figure 22.24)"/>
    <hyperlink ref="B211" location="'ANOVA Match 2.3'!BD3" display="Assumptions between subjects: Boxplot (Figure 22.23)"/>
    <hyperlink ref="B213" location="'ANOVA Match 2.3'!BD14" display="Assumptions within subjects: Boxplot (Figure 22.25)"/>
    <hyperlink ref="B215" location="'ANOVA Match 2.3'!AQ3" display="Assumptions within subjects: Covariance matrices(Figure 22.27)"/>
    <hyperlink ref="B214" location="'ANOVA Match 2.3'!BU3" display="Assumptions between subjects: Levene's test (Figure 22.24)"/>
    <hyperlink ref="B216:B217" location="'ANOVA Match 2.3'!AQ3" display="Assumptions within subjects: Covariance matrices(Figure 22.27)"/>
    <hyperlink ref="B216" location="'ANOVA Match 2.3'!AQ41" display="Assumptions within subjects: Covariance matrices(Figure 22.27)"/>
    <hyperlink ref="B217" location="'ANOVA Match 2.3'!W17" display="Within subjects ANOVA corrected for sphercity (Figure 22.29)"/>
    <hyperlink ref="B218" location="'ANOVA Match 2.3'!AI3" display="Within subjects ANOVA simple effects (Figure 22.30)"/>
    <hyperlink ref="B219" location="'ANOVA Match 2.3'!AQ14" display="Within subjects GG and HF epsilon factors (Figure 22.28)"/>
    <hyperlink ref="B220" location="'ANOVA Match 2.3'!AX51" display="Summary of within subjects GG and HF epsilon factors (Figure 22.32)"/>
    <hyperlink ref="B221" location="'ANOVA Match 2.3'!AI33" display="Corrected within subjects simple effects ANOVA (Figure 22.33)"/>
    <hyperlink ref="B222" location="'ANOVA Match 2.3'!Q33" display="Between subjects simple effects ANOVA (Figure 22.34)"/>
    <hyperlink ref="B223" location="'ANOVA Match 2.3'!Q52" display="Corrected between subjects simple effects ANOVA (Figure 22.36)"/>
    <hyperlink ref="B317" location="'IPFP 2.1'!A1" display="Iterative Proportional Fitting Procedure (Example C6.1)"/>
    <hyperlink ref="B319" location="'IPFP 3.1'!A1" display="Representation of a 3-way contingency table (Figure C6.5)"/>
    <hyperlink ref="B210" location="'ANOVA Match 2.3A'!A1" display="ANOVA with repeated measures, use of data analysis tools"/>
    <hyperlink ref="B12" location="'Logit 2'!A1" display="Logit (Example 20.1)"/>
    <hyperlink ref="B15" location="'Logit 3'!A1" display="Solution using Excel's Solver"/>
    <hyperlink ref="B25" location="'Logit 4'!A1" display="Solution using Newton's Method "/>
    <hyperlink ref="B34" location="'Logit 6'!A1" display="Basic model (Example 3)"/>
    <hyperlink ref="B16" location="'Logit 3a'!A1" display="Logistic Regression data analysis tool (Example 2)"/>
    <hyperlink ref="B197" location="'ANOVA Match 1.4'!A1" display="GG epsilon calculation (Example E4.2)"/>
    <hyperlink ref="B198" location="'ANOVA Match 1.4'!A20" display="GG epsilon calculation using eigenvalues (Example E4.3)"/>
    <hyperlink ref="B199" location="'ANOVA Match 1.5'!A1" display="Mauchly's test for sphericity (Example E4.4)"/>
    <hyperlink ref="B200" location="'ANOVA Match 1.5'!A15" display="More powerful test for sphericity (Example E4.5)"/>
    <hyperlink ref="B252" location="'ANCOVA 2'!R3" display="ANCOVA complete model (Figure3)"/>
    <hyperlink ref="B224" location="'ANOVA Match 2.4'!A1" display="Box's test for equivalence of covariance matrices (Example E5.8)"/>
    <hyperlink ref="B19" location="'Logit 3a'!E45" display="Logistic Regression data analysis tool - coefficient table (Example 1)"/>
    <hyperlink ref="B22" location="'Logit 3a'!T41" display="Log-linear ratio (Example 2)"/>
    <hyperlink ref="B26" location="'Logit 4a'!A1" display="Logistic Regression data analysis tool using Newton's method (Example 1)"/>
    <hyperlink ref="B27" location="'Logit 5'!A1" display="Logistic Regression data analysis tool using raw data (Example 2)"/>
    <hyperlink ref="B35" location="'Logit 6'!B26" display="Reduced models (Example 4)"/>
    <hyperlink ref="B36" location="'Logit 6'!B68" display="Interaction model (Example 4)"/>
    <hyperlink ref="B39" location="Hosmer!A1" display="Example 1"/>
    <hyperlink ref="B43" location="'Logit 6'!AD1" display="Classification Table (Example 1)"/>
    <hyperlink ref="B44" location="'Logit 6'!AI1" display="ROC Table and ROC Curve (Example 1)"/>
    <hyperlink ref="B47" location="'Logit 4a'!A24" display="Logistic Regression supplemental functions (summary data)"/>
    <hyperlink ref="B48" location="'Logit 5'!E32" display="Logistic Regression supplemental functions (rawdata)"/>
    <hyperlink ref="B57" location="'MLogit 1'!A1" display="Using binary logistic regression"/>
    <hyperlink ref="B60" location="'MLogit 2'!A1" display="Using Solver"/>
    <hyperlink ref="B63" location="'MLogit 3'!A1" display="Using Newton's method"/>
    <hyperlink ref="B67" location="'MLogit 4'!A1" display="Using supplemental formulas"/>
    <hyperlink ref="B70" location="'MLogit 5'!A1" display="Using raw data"/>
    <hyperlink ref="B64" location="'MLogit 3a'!A1" display="Using Newton's method"/>
    <hyperlink ref="B74" location="'OLogit 1'!A1" display="Using binary logistic regression"/>
    <hyperlink ref="B75" location="'OLogit 2'!A1" display="Using Solver"/>
    <hyperlink ref="B76" location="'OLogit 3'!A1" display="Proportional odss model"/>
    <hyperlink ref="B40" location="Hosmer!A38" display="Real Statistics Functions (Example 1)"/>
    <hyperlink ref="B280:B281" location="ICC!A1" display="Intraclass Correlation Coefficient (Example 24.8)"/>
    <hyperlink ref="B280" location="'ICC2'!A1" display="Intraclass Correlation - case 2"/>
    <hyperlink ref="B281" location="'ICC3'!A1" display="Intraclass Correlation - case 3"/>
    <hyperlink ref="B320" location="'IPFP 3.2'!A1" display="Iterative Proportional Fitting Procedure, 3-way (Example C6.3)"/>
    <hyperlink ref="B287" location="'Miss 1'!A1" display="Listwise Deletion"/>
    <hyperlink ref="B288" location="'Miss 2'!A1" display="Mean Imputation"/>
    <hyperlink ref="B289" location="'Miss 3'!A1" display="Regression Imputation"/>
    <hyperlink ref="B290" location="'Miss 4'!A1" display="Stochastic Regression Imputation"/>
    <hyperlink ref="B293" location="'MI 1'!A1" display="Frequency and patterns of missing data"/>
    <hyperlink ref="B294" location="'MI 2'!A1" display="Simple imputation (with and w/o constraints)"/>
    <hyperlink ref="B295" location="'MI 3'!A1" display="One step of the FCS algorithm"/>
    <hyperlink ref="B297" location="'MI 4'!A1" display="Fully conditional specification (FCS)"/>
    <hyperlink ref="B296" location="'MI 3a'!A1" display="One step of the FCS algorithm details"/>
    <hyperlink ref="B301" location="'MI 8'!A1" display="MI data analysis tool"/>
    <hyperlink ref="B302" location="'MI 8a'!A1" display="Multiple imputations from MI data analysis tool"/>
    <hyperlink ref="B303" location="'MI 9'!A1" display="MI data analysis tool with constraints"/>
    <hyperlink ref="B304" location="'MI 9a'!A1" display="Multiple imputations from MI data analysis tool with constraints"/>
    <hyperlink ref="B300" location="'MI 7'!A1" display="Combining multiple imputations"/>
    <hyperlink ref="B299" location="'MI 6'!A1" display="Multiple FCS imputations"/>
    <hyperlink ref="B298" location="'MI 5'!A1" display="Summary of FCS results"/>
    <hyperlink ref="B307" location="'FIML 1'!A1" display="FIML statistics"/>
    <hyperlink ref="B308" location="'FIML 2'!A1" display="FIML initial conditions"/>
    <hyperlink ref="B309" location="'FIML 2a'!A1" display="FIML after using Solver"/>
    <hyperlink ref="B310" location="'FIML 2b'!A1" display="FIML with modified degrees of freedom"/>
    <hyperlink ref="B311" location="'FIML 2c'!A1" display="FIML data analysis tool"/>
    <hyperlink ref="B312" location="'FIML 3'!A1" display="FIML complete data: initial conditions"/>
    <hyperlink ref="B313" location="'FIML 3a'!A1" display="FIML complete data: after using Solver"/>
    <hyperlink ref="B314" location="'FIML 3b'!A1" display="FIML complete data: data analysis tool"/>
    <hyperlink ref="B28" location="'Logit 5a'!A1" display="Logistic Regression with raw data, alternative approach"/>
    <hyperlink ref="B282" location="'ICC2'!AF1" display="Real Statistics data analysis tool"/>
    <hyperlink ref="B146" location="'Rand Anova'!A1" display="One-way ANOVA with random factor (Example 1)"/>
    <hyperlink ref="B153" location="Nested!A1" display="Nested model (Example 1)"/>
    <hyperlink ref="B154" location="'Nested 1'!A1" display="Nested Anova data analysis tool (Example 1)"/>
    <hyperlink ref="B155" location="'Nested 2'!A1" display="Nested Anova using data in standard form (Example 2)"/>
    <hyperlink ref="B149" location="Mixed!A1" display="Two factor mixed model (Example 1)"/>
    <hyperlink ref="B257" location="'ANCOVA 4'!A1" display="ANCOVA data analysis tool (Example 1)"/>
    <hyperlink ref="B150" location="'Mixed 2'!A1" display="Two factor mixed Anova data analysis tool (Example 1)"/>
    <hyperlink ref="B327" location="'DW Table 1'!A1" display="Durbin-Watson Table (alpha .01)"/>
    <hyperlink ref="B328" location="'DW Table 2'!A1" display="Durbin-Watson Table (alpha .05)"/>
    <hyperlink ref="B235" location="'Cochran 1'!A1" display="Cochran's Q test, raw data (Example 1)"/>
    <hyperlink ref="B236" location="'Cochran 2'!A1" display="Cochran's Q test, summarized data (Example 2)"/>
    <hyperlink ref="B31" location="'Logit 7a'!A1" display="Categorical coding (before)"/>
    <hyperlink ref="B69" location="'MLogit 4b'!A1" display="Using Real Statistics data analysis tool"/>
    <hyperlink ref="B71" location="'MLogit 5a'!A1" display="Using Real Statistics data analysis tool for input with raw data"/>
    <hyperlink ref="B318" location="'IPFP 2.1a'!A1" display="Real Statistics function, 2-way"/>
    <hyperlink ref="B321" location="'IPFP 3.2a'!A1" display="Real Statistics function, 3-way"/>
    <hyperlink ref="B279" location="ICC1a!A1" display="ICC(1,1) Power and Sample Size"/>
    <hyperlink ref="B326" location="' Dunnett Table'!A1" display="Dunnett's Table"/>
    <hyperlink ref="B204" location="'ANOVA Match 2.2'!A26" display="Chart comparing means for interaction (Figure 9)"/>
    <hyperlink ref="B122" location="Kaplan!A1" display="Example 1"/>
    <hyperlink ref="B125" location="'Log-Rank'!A1" display="Log-Rank Test"/>
    <hyperlink ref="B123" location="Kaplan!K1" display="Survival curve"/>
    <hyperlink ref="B124" location="'Kaplan 1'!A1" display="Standard error and confidence intervals"/>
    <hyperlink ref="B127" location="'Kaplan 2'!A1" display="Real Statistics data analysis tool for one sample"/>
    <hyperlink ref="B128" location="'Kaplan 3'!A1" display="Real Statistics data analysis tool for two samples"/>
    <hyperlink ref="B129" location="'Kaplan 4'!A1" display="Real Statistics data analysis tool for two samples (stacked format)"/>
    <hyperlink ref="B126" location="'Log-Rank 1'!A1" display="Alternatives to Log-Rank Test"/>
    <hyperlink ref="B132" location="'Cox Reg 1'!A1" display="Finding regression coefficients using Solver (Example 1)"/>
    <hyperlink ref="B133" location="'Cox Reg 2'!A1" display="Finding regression coefficients using Solver (Example 1)"/>
    <hyperlink ref="B134" location="'Cox Reg 2'!Q1" display="Finding standard errors of the regression coefficients (Example 2)"/>
    <hyperlink ref="B136" location="'Cox Reg 3'!A1" display="Goodness of Fit"/>
    <hyperlink ref="B137" location="'Cox Reg 4'!A1" display="Reduced Model 1"/>
    <hyperlink ref="B138" location="'Cox Reg 5'!A1" display="Reduced Model 2"/>
    <hyperlink ref="B139" location="'Cox Reg 6'!A1" display="Goodness of Fit vs. reduced models"/>
    <hyperlink ref="B135" location="'Cox Reg 2'!AF1" display="Hazard ratio (Example 3)"/>
    <hyperlink ref="B140" location="'Cox Reg 7'!A1" display="Real Statistics data analysis tool (comparing two treatments)"/>
    <hyperlink ref="B141" location="'Cox Reg 8'!A1" display="Real Statistics data analysis tool (multiple covariates)"/>
    <hyperlink ref="B160" location="RCBD!A1" display="RCBD (Example 1)"/>
    <hyperlink ref="B161" location="'RCBD 1'!A1" display="RCBD data analysis tool (Example 1)"/>
    <hyperlink ref="B162" location="'RCBD 1'!R1" display="Contrasts for RCBD (Example 2)"/>
    <hyperlink ref="B163" location="'RCBD 1'!AA1" display="Tukey HSD for RCBD (Example 3)"/>
    <hyperlink ref="B175" location="Latin!A1" display="Latin square representation"/>
    <hyperlink ref="B176" location="'Latin 1'!A1" display="Latin square analysis, Excel format (Example 1)"/>
    <hyperlink ref="B177" location="'Latin 2'!A1" display="Latin square with missing data"/>
    <hyperlink ref="B178" location="'Latin 3'!A1" display="Latin square analysis, standard format"/>
    <hyperlink ref="B179" location="'Latin 5'!A1" display="Latin square analysis with replications, Excel format (Example 2)"/>
    <hyperlink ref="B180" location="'Latin 4'!A1" display="Latin square analysis with replications, standard format"/>
    <hyperlink ref="B181" location="'Latin 5'!W1" display="Contrasts (Example 3)"/>
    <hyperlink ref="B182" location="'Latin 5'!AH1" display="Tukey HSD (Example 4)"/>
    <hyperlink ref="B166" location="'Split 1'!A1" display="RCBD Split-plot Anova (Example 1)"/>
    <hyperlink ref="B167" location="'Split 2'!A1" display="RCBD Split-plot Anova - model 1"/>
    <hyperlink ref="B168" location="'Split 3'!A1" display="RCBD Split-plot Anova - model 2"/>
    <hyperlink ref="B169" location="'Split 4'!A1" display="CRD Split-plot Anova"/>
    <hyperlink ref="B170" location="'Split 1'!AA1" display="Contrasts (Example 2)"/>
    <hyperlink ref="B171" location="'Split 1'!AW1" display="Tukey's HSD (Example 3)"/>
    <hyperlink ref="B172" location="'Split 5'!A1" display="Interaction (Example 4)"/>
    <hyperlink ref="B263" location="'ANCOVA Tukey'!A1" display="Tukey-Kramer for ANCOVA"/>
    <hyperlink ref="B270" location="'ANCOVA Std'!A1" display="Conversion from Excel to stacked format (Example 1)"/>
    <hyperlink ref="B271" location="'ANCOVA Std 1'!A1" display="ANCOVA in stacked format"/>
    <hyperlink ref="B272" location="'ANCOVA Std 1'!W1" display="Tukey HSD"/>
    <hyperlink ref="B273" location="'ANCOVA Std 1'!AF1" display="Contrasts"/>
    <hyperlink ref="B51" location="'Probit 1'!A1" display="Using Solver"/>
    <hyperlink ref="B52" location="'Probit 2'!A1" display="Using Newtons Method"/>
    <hyperlink ref="B68" location="'MLogit 4a'!A1" display="Model accuracy"/>
    <hyperlink ref="B227" location="'ANOVA Match 2.5'!A1" display="Regression model"/>
    <hyperlink ref="B228" location="'ANOVA Match 2.5A'!A1" display="Real Statistics data analysis, input in Excel format"/>
    <hyperlink ref="B229" location="'ANOVA Match 2.5B'!A1" display="Real Statistics data analysis, input in standard format"/>
    <hyperlink ref="B80" location="'PReg 1'!A1" display="Calculations using Solver (Example 1)"/>
    <hyperlink ref="B81" location="'PReg 2'!A1" display="Real Statistics support using Newton's method"/>
    <hyperlink ref="B82" location="'PReg 3'!A1" display="Reduced model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D37"/>
  <sheetViews>
    <sheetView topLeftCell="A31" workbookViewId="0">
      <selection activeCell="A157" sqref="A157"/>
    </sheetView>
  </sheetViews>
  <sheetFormatPr defaultRowHeight="15" x14ac:dyDescent="0.25"/>
  <cols>
    <col min="2" max="2" width="12" bestFit="1" customWidth="1"/>
  </cols>
  <sheetData>
    <row r="1" spans="1:4" x14ac:dyDescent="0.25">
      <c r="A1" s="1" t="s">
        <v>628</v>
      </c>
    </row>
    <row r="3" spans="1:4" x14ac:dyDescent="0.25">
      <c r="A3" t="s">
        <v>142</v>
      </c>
      <c r="B3">
        <v>1</v>
      </c>
    </row>
    <row r="4" spans="1:4" x14ac:dyDescent="0.25">
      <c r="A4" t="s">
        <v>140</v>
      </c>
      <c r="B4">
        <v>5</v>
      </c>
    </row>
    <row r="6" spans="1:4" x14ac:dyDescent="0.25">
      <c r="A6" s="12" t="s">
        <v>4</v>
      </c>
      <c r="B6" s="12" t="s">
        <v>105</v>
      </c>
    </row>
    <row r="7" spans="1:4" x14ac:dyDescent="0.25">
      <c r="A7">
        <v>-2</v>
      </c>
      <c r="B7">
        <f>1/(1+EXP(-B$3-B$4*A7))</f>
        <v>1.2339457598623172E-4</v>
      </c>
      <c r="D7">
        <v>-3</v>
      </c>
    </row>
    <row r="8" spans="1:4" x14ac:dyDescent="0.25">
      <c r="A8">
        <f>A7+0.1</f>
        <v>-1.9</v>
      </c>
      <c r="B8">
        <f t="shared" ref="B8:B37" si="0">1/(1+EXP(-B$3-B$4*A8))</f>
        <v>2.0342697805520653E-4</v>
      </c>
      <c r="D8">
        <f>D7+0.2</f>
        <v>-2.8</v>
      </c>
    </row>
    <row r="9" spans="1:4" x14ac:dyDescent="0.25">
      <c r="A9">
        <f t="shared" ref="A9:A35" si="1">A8+0.1</f>
        <v>-1.7999999999999998</v>
      </c>
      <c r="B9">
        <f t="shared" si="0"/>
        <v>3.3535013046647811E-4</v>
      </c>
      <c r="D9">
        <f t="shared" ref="D9:D37" si="2">D8+0.2</f>
        <v>-2.5999999999999996</v>
      </c>
    </row>
    <row r="10" spans="1:4" x14ac:dyDescent="0.25">
      <c r="A10">
        <f t="shared" si="1"/>
        <v>-1.6999999999999997</v>
      </c>
      <c r="B10">
        <f t="shared" si="0"/>
        <v>5.5277863692360053E-4</v>
      </c>
      <c r="D10">
        <f t="shared" si="2"/>
        <v>-2.3999999999999995</v>
      </c>
    </row>
    <row r="11" spans="1:4" x14ac:dyDescent="0.25">
      <c r="A11">
        <f t="shared" si="1"/>
        <v>-1.5999999999999996</v>
      </c>
      <c r="B11">
        <f t="shared" si="0"/>
        <v>9.1105119440064691E-4</v>
      </c>
      <c r="D11">
        <f t="shared" si="2"/>
        <v>-2.1999999999999993</v>
      </c>
    </row>
    <row r="12" spans="1:4" x14ac:dyDescent="0.25">
      <c r="A12">
        <f t="shared" si="1"/>
        <v>-1.4999999999999996</v>
      </c>
      <c r="B12">
        <f t="shared" si="0"/>
        <v>1.5011822567369941E-3</v>
      </c>
      <c r="D12">
        <f t="shared" si="2"/>
        <v>-1.9999999999999993</v>
      </c>
    </row>
    <row r="13" spans="1:4" x14ac:dyDescent="0.25">
      <c r="A13">
        <f t="shared" si="1"/>
        <v>-1.3999999999999995</v>
      </c>
      <c r="B13">
        <f t="shared" si="0"/>
        <v>2.4726231566347808E-3</v>
      </c>
      <c r="D13">
        <f t="shared" si="2"/>
        <v>-1.7999999999999994</v>
      </c>
    </row>
    <row r="14" spans="1:4" x14ac:dyDescent="0.25">
      <c r="A14">
        <f t="shared" si="1"/>
        <v>-1.2999999999999994</v>
      </c>
      <c r="B14">
        <f t="shared" si="0"/>
        <v>4.0701377158961416E-3</v>
      </c>
      <c r="D14">
        <f t="shared" si="2"/>
        <v>-1.5999999999999994</v>
      </c>
    </row>
    <row r="15" spans="1:4" x14ac:dyDescent="0.25">
      <c r="A15">
        <f t="shared" si="1"/>
        <v>-1.1999999999999993</v>
      </c>
      <c r="B15">
        <f t="shared" si="0"/>
        <v>6.6928509242848789E-3</v>
      </c>
      <c r="D15">
        <f t="shared" si="2"/>
        <v>-1.3999999999999995</v>
      </c>
    </row>
    <row r="16" spans="1:4" x14ac:dyDescent="0.25">
      <c r="A16">
        <f t="shared" si="1"/>
        <v>-1.0999999999999992</v>
      </c>
      <c r="B16">
        <f t="shared" si="0"/>
        <v>1.0986942630593218E-2</v>
      </c>
      <c r="D16">
        <f t="shared" si="2"/>
        <v>-1.1999999999999995</v>
      </c>
    </row>
    <row r="17" spans="1:4" x14ac:dyDescent="0.25">
      <c r="A17">
        <f t="shared" si="1"/>
        <v>-0.99999999999999922</v>
      </c>
      <c r="B17">
        <f t="shared" si="0"/>
        <v>1.7986209962091621E-2</v>
      </c>
      <c r="D17">
        <f t="shared" si="2"/>
        <v>-0.99999999999999956</v>
      </c>
    </row>
    <row r="18" spans="1:4" x14ac:dyDescent="0.25">
      <c r="A18">
        <f t="shared" si="1"/>
        <v>-0.89999999999999925</v>
      </c>
      <c r="B18">
        <f t="shared" si="0"/>
        <v>2.931223075135642E-2</v>
      </c>
      <c r="D18">
        <f t="shared" si="2"/>
        <v>-0.7999999999999996</v>
      </c>
    </row>
    <row r="19" spans="1:4" x14ac:dyDescent="0.25">
      <c r="A19">
        <f t="shared" si="1"/>
        <v>-0.79999999999999927</v>
      </c>
      <c r="B19">
        <f t="shared" si="0"/>
        <v>4.7425873177566941E-2</v>
      </c>
      <c r="D19">
        <f t="shared" si="2"/>
        <v>-0.59999999999999964</v>
      </c>
    </row>
    <row r="20" spans="1:4" x14ac:dyDescent="0.25">
      <c r="A20">
        <f t="shared" si="1"/>
        <v>-0.69999999999999929</v>
      </c>
      <c r="B20">
        <f t="shared" si="0"/>
        <v>7.5858180021243796E-2</v>
      </c>
      <c r="D20">
        <f t="shared" si="2"/>
        <v>-0.39999999999999963</v>
      </c>
    </row>
    <row r="21" spans="1:4" x14ac:dyDescent="0.25">
      <c r="A21">
        <f t="shared" si="1"/>
        <v>-0.59999999999999931</v>
      </c>
      <c r="B21">
        <f t="shared" si="0"/>
        <v>0.11920292202211794</v>
      </c>
      <c r="D21">
        <f t="shared" si="2"/>
        <v>-0.19999999999999962</v>
      </c>
    </row>
    <row r="22" spans="1:4" x14ac:dyDescent="0.25">
      <c r="A22">
        <f t="shared" si="1"/>
        <v>-0.49999999999999933</v>
      </c>
      <c r="B22">
        <f t="shared" si="0"/>
        <v>0.18242552380635688</v>
      </c>
      <c r="D22">
        <v>0</v>
      </c>
    </row>
    <row r="23" spans="1:4" x14ac:dyDescent="0.25">
      <c r="A23">
        <f t="shared" si="1"/>
        <v>-0.39999999999999936</v>
      </c>
      <c r="B23">
        <f t="shared" si="0"/>
        <v>0.26894142136999571</v>
      </c>
      <c r="D23">
        <f t="shared" si="2"/>
        <v>0.2</v>
      </c>
    </row>
    <row r="24" spans="1:4" x14ac:dyDescent="0.25">
      <c r="A24">
        <f t="shared" si="1"/>
        <v>-0.29999999999999938</v>
      </c>
      <c r="B24">
        <f t="shared" si="0"/>
        <v>0.37754066879814618</v>
      </c>
      <c r="D24">
        <f t="shared" si="2"/>
        <v>0.4</v>
      </c>
    </row>
    <row r="25" spans="1:4" x14ac:dyDescent="0.25">
      <c r="A25">
        <f t="shared" si="1"/>
        <v>-0.19999999999999937</v>
      </c>
      <c r="B25">
        <f t="shared" si="0"/>
        <v>0.50000000000000078</v>
      </c>
      <c r="D25">
        <f t="shared" si="2"/>
        <v>0.60000000000000009</v>
      </c>
    </row>
    <row r="26" spans="1:4" x14ac:dyDescent="0.25">
      <c r="A26">
        <f t="shared" si="1"/>
        <v>-9.9999999999999367E-2</v>
      </c>
      <c r="B26">
        <f t="shared" si="0"/>
        <v>0.62245933120185537</v>
      </c>
      <c r="D26">
        <f t="shared" si="2"/>
        <v>0.8</v>
      </c>
    </row>
    <row r="27" spans="1:4" x14ac:dyDescent="0.25">
      <c r="A27">
        <v>0</v>
      </c>
      <c r="B27">
        <f t="shared" si="0"/>
        <v>0.7310585786300049</v>
      </c>
      <c r="D27">
        <f t="shared" si="2"/>
        <v>1</v>
      </c>
    </row>
    <row r="28" spans="1:4" x14ac:dyDescent="0.25">
      <c r="A28">
        <v>0.1</v>
      </c>
      <c r="B28">
        <f t="shared" si="0"/>
        <v>0.81757447619364365</v>
      </c>
      <c r="D28">
        <f t="shared" si="2"/>
        <v>1.2</v>
      </c>
    </row>
    <row r="29" spans="1:4" x14ac:dyDescent="0.25">
      <c r="A29">
        <f t="shared" si="1"/>
        <v>0.2</v>
      </c>
      <c r="B29">
        <f t="shared" si="0"/>
        <v>0.88079707797788231</v>
      </c>
      <c r="D29">
        <f t="shared" si="2"/>
        <v>1.4</v>
      </c>
    </row>
    <row r="30" spans="1:4" x14ac:dyDescent="0.25">
      <c r="A30">
        <f t="shared" si="1"/>
        <v>0.30000000000000004</v>
      </c>
      <c r="B30">
        <f t="shared" si="0"/>
        <v>0.92414181997875655</v>
      </c>
      <c r="D30">
        <f t="shared" si="2"/>
        <v>1.5999999999999999</v>
      </c>
    </row>
    <row r="31" spans="1:4" x14ac:dyDescent="0.25">
      <c r="A31">
        <f t="shared" si="1"/>
        <v>0.4</v>
      </c>
      <c r="B31">
        <f t="shared" si="0"/>
        <v>0.95257412682243336</v>
      </c>
      <c r="D31">
        <f t="shared" si="2"/>
        <v>1.7999999999999998</v>
      </c>
    </row>
    <row r="32" spans="1:4" x14ac:dyDescent="0.25">
      <c r="A32">
        <f t="shared" si="1"/>
        <v>0.5</v>
      </c>
      <c r="B32">
        <f t="shared" si="0"/>
        <v>0.97068776924864364</v>
      </c>
      <c r="D32">
        <f t="shared" si="2"/>
        <v>1.9999999999999998</v>
      </c>
    </row>
    <row r="33" spans="1:4" x14ac:dyDescent="0.25">
      <c r="A33">
        <f t="shared" si="1"/>
        <v>0.6</v>
      </c>
      <c r="B33">
        <f t="shared" si="0"/>
        <v>0.98201379003790845</v>
      </c>
      <c r="D33">
        <f t="shared" si="2"/>
        <v>2.1999999999999997</v>
      </c>
    </row>
    <row r="34" spans="1:4" x14ac:dyDescent="0.25">
      <c r="A34">
        <f t="shared" si="1"/>
        <v>0.7</v>
      </c>
      <c r="B34">
        <f t="shared" si="0"/>
        <v>0.98901305736940681</v>
      </c>
      <c r="D34">
        <f t="shared" si="2"/>
        <v>2.4</v>
      </c>
    </row>
    <row r="35" spans="1:4" x14ac:dyDescent="0.25">
      <c r="A35">
        <f t="shared" si="1"/>
        <v>0.79999999999999993</v>
      </c>
      <c r="B35">
        <f t="shared" si="0"/>
        <v>0.99330714907571527</v>
      </c>
      <c r="D35">
        <f t="shared" si="2"/>
        <v>2.6</v>
      </c>
    </row>
    <row r="36" spans="1:4" x14ac:dyDescent="0.25">
      <c r="A36">
        <f>A35+0.1</f>
        <v>0.89999999999999991</v>
      </c>
      <c r="B36">
        <f t="shared" si="0"/>
        <v>0.99592986228410396</v>
      </c>
      <c r="D36">
        <f t="shared" si="2"/>
        <v>2.8000000000000003</v>
      </c>
    </row>
    <row r="37" spans="1:4" x14ac:dyDescent="0.25">
      <c r="A37">
        <f>A36+0.1</f>
        <v>0.99999999999999989</v>
      </c>
      <c r="B37">
        <f t="shared" si="0"/>
        <v>0.99752737684336534</v>
      </c>
      <c r="D37">
        <f t="shared" si="2"/>
        <v>3.0000000000000004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AG27"/>
  <sheetViews>
    <sheetView workbookViewId="0"/>
  </sheetViews>
  <sheetFormatPr defaultRowHeight="15" x14ac:dyDescent="0.25"/>
  <cols>
    <col min="2" max="2" width="8.85546875" customWidth="1"/>
    <col min="4" max="4" width="9.140625" customWidth="1"/>
    <col min="6" max="6" width="9.28515625" customWidth="1"/>
    <col min="9" max="9" width="2.5703125" customWidth="1"/>
    <col min="11" max="11" width="10.7109375" customWidth="1"/>
    <col min="14" max="14" width="2.5703125" customWidth="1"/>
    <col min="19" max="19" width="3.28515625" customWidth="1"/>
    <col min="24" max="24" width="3.42578125" customWidth="1"/>
    <col min="27" max="27" width="9.85546875" customWidth="1"/>
    <col min="28" max="28" width="9.28515625" customWidth="1"/>
    <col min="29" max="29" width="3.85546875" customWidth="1"/>
    <col min="30" max="33" width="10.42578125" customWidth="1"/>
    <col min="34" max="34" width="4.85546875" customWidth="1"/>
    <col min="39" max="39" width="4.28515625" customWidth="1"/>
    <col min="44" max="44" width="4.5703125" customWidth="1"/>
    <col min="49" max="49" width="4.140625" customWidth="1"/>
    <col min="54" max="54" width="4.5703125" customWidth="1"/>
    <col min="59" max="59" width="4.28515625" customWidth="1"/>
    <col min="64" max="64" width="4.42578125" customWidth="1"/>
    <col min="69" max="69" width="4.42578125" customWidth="1"/>
    <col min="74" max="74" width="4" customWidth="1"/>
  </cols>
  <sheetData>
    <row r="1" spans="1:33" x14ac:dyDescent="0.25">
      <c r="A1" s="1" t="s">
        <v>618</v>
      </c>
      <c r="AA1" t="s">
        <v>121</v>
      </c>
    </row>
    <row r="2" spans="1:33" x14ac:dyDescent="0.25">
      <c r="AA2" s="16" t="s">
        <v>123</v>
      </c>
      <c r="AB2" s="16">
        <v>0.98019766125822028</v>
      </c>
    </row>
    <row r="3" spans="1:33" s="12" customFormat="1" x14ac:dyDescent="0.25">
      <c r="A3" s="12" t="s">
        <v>651</v>
      </c>
      <c r="B3" s="12" t="s">
        <v>619</v>
      </c>
      <c r="C3" s="12" t="s">
        <v>620</v>
      </c>
      <c r="E3" s="12" t="str">
        <f>A3</f>
        <v>Rems</v>
      </c>
      <c r="F3" s="12" t="s">
        <v>621</v>
      </c>
      <c r="G3" s="12" t="s">
        <v>622</v>
      </c>
      <c r="J3" s="12" t="s">
        <v>651</v>
      </c>
      <c r="K3" s="12" t="s">
        <v>621</v>
      </c>
      <c r="AA3" s="16" t="s">
        <v>120</v>
      </c>
      <c r="AB3" s="16">
        <v>0.96078745513608477</v>
      </c>
      <c r="AC3"/>
      <c r="AD3"/>
      <c r="AE3"/>
      <c r="AF3"/>
      <c r="AG3"/>
    </row>
    <row r="4" spans="1:33" x14ac:dyDescent="0.25">
      <c r="A4" s="22">
        <v>50</v>
      </c>
      <c r="B4" s="278">
        <v>21</v>
      </c>
      <c r="C4" s="280">
        <v>0</v>
      </c>
      <c r="E4" s="12">
        <f t="shared" ref="E4:E13" si="0">A4</f>
        <v>50</v>
      </c>
      <c r="F4" s="267">
        <f t="shared" ref="F4:F14" si="1">B4/(B4+C4)</f>
        <v>1</v>
      </c>
      <c r="G4" s="270" t="str">
        <f t="shared" ref="G4:G14" si="2">IF(F4 = 1,"∞",F4/(1-F4))</f>
        <v>∞</v>
      </c>
      <c r="J4" s="293">
        <f t="shared" ref="J4:J13" si="3">A4</f>
        <v>50</v>
      </c>
      <c r="K4">
        <f t="shared" ref="K4:K13" si="4">F4</f>
        <v>1</v>
      </c>
      <c r="AA4" s="16" t="s">
        <v>124</v>
      </c>
      <c r="AB4" s="16">
        <v>0.95294494616330172</v>
      </c>
    </row>
    <row r="5" spans="1:33" x14ac:dyDescent="0.25">
      <c r="A5" s="22">
        <f>A4+100</f>
        <v>150</v>
      </c>
      <c r="B5" s="214">
        <v>29</v>
      </c>
      <c r="C5" s="215">
        <v>1</v>
      </c>
      <c r="E5" s="12">
        <f t="shared" si="0"/>
        <v>150</v>
      </c>
      <c r="F5" s="214">
        <f t="shared" si="1"/>
        <v>0.96666666666666667</v>
      </c>
      <c r="G5" s="269">
        <f t="shared" si="2"/>
        <v>29.000000000000007</v>
      </c>
      <c r="J5" s="293">
        <f t="shared" si="3"/>
        <v>150</v>
      </c>
      <c r="K5">
        <f t="shared" si="4"/>
        <v>0.96666666666666667</v>
      </c>
      <c r="AA5" s="16" t="s">
        <v>10</v>
      </c>
      <c r="AB5" s="16">
        <v>0.48383403651561618</v>
      </c>
    </row>
    <row r="6" spans="1:33" ht="15.75" thickBot="1" x14ac:dyDescent="0.3">
      <c r="A6" s="22">
        <f t="shared" ref="A6:A13" si="5">A5+100</f>
        <v>250</v>
      </c>
      <c r="B6" s="214">
        <v>87</v>
      </c>
      <c r="C6" s="215">
        <v>6</v>
      </c>
      <c r="E6" s="12">
        <f t="shared" si="0"/>
        <v>250</v>
      </c>
      <c r="F6" s="214">
        <f t="shared" si="1"/>
        <v>0.93548387096774188</v>
      </c>
      <c r="G6" s="269">
        <f t="shared" si="2"/>
        <v>14.499999999999988</v>
      </c>
      <c r="J6" s="293">
        <f t="shared" si="3"/>
        <v>250</v>
      </c>
      <c r="K6">
        <f t="shared" si="4"/>
        <v>0.93548387096774188</v>
      </c>
      <c r="AA6" s="17" t="s">
        <v>55</v>
      </c>
      <c r="AB6" s="17">
        <v>7</v>
      </c>
    </row>
    <row r="7" spans="1:33" x14ac:dyDescent="0.25">
      <c r="A7" s="22">
        <f t="shared" si="5"/>
        <v>350</v>
      </c>
      <c r="B7" s="214">
        <v>75</v>
      </c>
      <c r="C7" s="215">
        <v>11</v>
      </c>
      <c r="E7" s="12">
        <f t="shared" si="0"/>
        <v>350</v>
      </c>
      <c r="F7" s="214">
        <f t="shared" si="1"/>
        <v>0.87209302325581395</v>
      </c>
      <c r="G7" s="269">
        <f t="shared" si="2"/>
        <v>6.8181818181818175</v>
      </c>
      <c r="J7" s="293">
        <f t="shared" si="3"/>
        <v>350</v>
      </c>
      <c r="K7">
        <f t="shared" si="4"/>
        <v>0.87209302325581395</v>
      </c>
    </row>
    <row r="8" spans="1:33" ht="15.75" thickBot="1" x14ac:dyDescent="0.3">
      <c r="A8" s="22">
        <f t="shared" si="5"/>
        <v>450</v>
      </c>
      <c r="B8" s="214">
        <v>85</v>
      </c>
      <c r="C8" s="215">
        <v>23</v>
      </c>
      <c r="E8" s="12">
        <f t="shared" si="0"/>
        <v>450</v>
      </c>
      <c r="F8" s="214">
        <f t="shared" si="1"/>
        <v>0.78703703703703709</v>
      </c>
      <c r="G8" s="269">
        <f t="shared" si="2"/>
        <v>3.6956521739130448</v>
      </c>
      <c r="J8" s="293">
        <f t="shared" si="3"/>
        <v>450</v>
      </c>
      <c r="K8">
        <f t="shared" si="4"/>
        <v>0.78703703703703709</v>
      </c>
      <c r="AA8" t="s">
        <v>125</v>
      </c>
    </row>
    <row r="9" spans="1:33" x14ac:dyDescent="0.25">
      <c r="A9" s="22">
        <f t="shared" si="5"/>
        <v>550</v>
      </c>
      <c r="B9" s="214">
        <v>64</v>
      </c>
      <c r="C9" s="215">
        <v>38</v>
      </c>
      <c r="E9" s="12">
        <f t="shared" si="0"/>
        <v>550</v>
      </c>
      <c r="F9" s="214">
        <f t="shared" si="1"/>
        <v>0.62745098039215685</v>
      </c>
      <c r="G9" s="269">
        <f t="shared" si="2"/>
        <v>1.6842105263157894</v>
      </c>
      <c r="J9" s="293">
        <f t="shared" si="3"/>
        <v>550</v>
      </c>
      <c r="K9">
        <f t="shared" si="4"/>
        <v>0.62745098039215685</v>
      </c>
      <c r="AA9" s="262"/>
      <c r="AB9" s="262" t="s">
        <v>41</v>
      </c>
      <c r="AC9" s="262" t="s">
        <v>111</v>
      </c>
      <c r="AD9" s="262" t="s">
        <v>115</v>
      </c>
      <c r="AE9" s="262" t="s">
        <v>98</v>
      </c>
      <c r="AF9" s="262" t="s">
        <v>128</v>
      </c>
    </row>
    <row r="10" spans="1:33" x14ac:dyDescent="0.25">
      <c r="A10" s="22">
        <f t="shared" si="5"/>
        <v>650</v>
      </c>
      <c r="B10" s="214">
        <v>53</v>
      </c>
      <c r="C10" s="215">
        <v>73</v>
      </c>
      <c r="E10" s="12">
        <f t="shared" si="0"/>
        <v>650</v>
      </c>
      <c r="F10" s="214">
        <f t="shared" si="1"/>
        <v>0.42063492063492064</v>
      </c>
      <c r="G10" s="269">
        <f t="shared" si="2"/>
        <v>0.7260273972602741</v>
      </c>
      <c r="J10" s="293">
        <f t="shared" si="3"/>
        <v>650</v>
      </c>
      <c r="K10">
        <f t="shared" si="4"/>
        <v>0.42063492063492064</v>
      </c>
      <c r="AA10" s="16" t="s">
        <v>113</v>
      </c>
      <c r="AB10" s="16">
        <v>1</v>
      </c>
      <c r="AC10" s="16">
        <v>28.679074551422662</v>
      </c>
      <c r="AD10" s="16">
        <v>28.679074551422662</v>
      </c>
      <c r="AE10" s="16">
        <v>122.5102143294242</v>
      </c>
      <c r="AF10" s="16">
        <v>1.0486299346429363E-4</v>
      </c>
    </row>
    <row r="11" spans="1:33" x14ac:dyDescent="0.25">
      <c r="A11" s="22">
        <f t="shared" si="5"/>
        <v>750</v>
      </c>
      <c r="B11" s="214">
        <v>31</v>
      </c>
      <c r="C11" s="215">
        <v>81</v>
      </c>
      <c r="E11" s="12">
        <f t="shared" si="0"/>
        <v>750</v>
      </c>
      <c r="F11" s="214">
        <f t="shared" si="1"/>
        <v>0.2767857142857143</v>
      </c>
      <c r="G11" s="269">
        <f t="shared" si="2"/>
        <v>0.38271604938271608</v>
      </c>
      <c r="J11" s="293">
        <f t="shared" si="3"/>
        <v>750</v>
      </c>
      <c r="K11">
        <f t="shared" si="4"/>
        <v>0.2767857142857143</v>
      </c>
      <c r="AA11" s="16" t="s">
        <v>126</v>
      </c>
      <c r="AB11" s="16">
        <v>5</v>
      </c>
      <c r="AC11" s="16">
        <v>1.1704768744549732</v>
      </c>
      <c r="AD11" s="16">
        <v>0.23409537489099463</v>
      </c>
      <c r="AE11" s="16"/>
      <c r="AF11" s="16"/>
    </row>
    <row r="12" spans="1:33" ht="15.75" thickBot="1" x14ac:dyDescent="0.3">
      <c r="A12" s="22">
        <f t="shared" si="5"/>
        <v>850</v>
      </c>
      <c r="B12" s="214">
        <v>10</v>
      </c>
      <c r="C12" s="215">
        <v>41</v>
      </c>
      <c r="E12" s="12">
        <f t="shared" si="0"/>
        <v>850</v>
      </c>
      <c r="F12" s="214">
        <f t="shared" si="1"/>
        <v>0.19607843137254902</v>
      </c>
      <c r="G12" s="269">
        <f t="shared" si="2"/>
        <v>0.24390243902439024</v>
      </c>
      <c r="J12" s="293">
        <f t="shared" si="3"/>
        <v>850</v>
      </c>
      <c r="K12">
        <f t="shared" si="4"/>
        <v>0.19607843137254902</v>
      </c>
      <c r="AA12" s="17" t="s">
        <v>1</v>
      </c>
      <c r="AB12" s="17">
        <v>6</v>
      </c>
      <c r="AC12" s="17">
        <v>29.849551425877635</v>
      </c>
      <c r="AD12" s="17"/>
      <c r="AE12" s="17"/>
      <c r="AF12" s="17"/>
    </row>
    <row r="13" spans="1:33" ht="15.75" thickBot="1" x14ac:dyDescent="0.3">
      <c r="A13" s="22">
        <f t="shared" si="5"/>
        <v>950</v>
      </c>
      <c r="B13" s="112">
        <v>3</v>
      </c>
      <c r="C13" s="120">
        <v>28</v>
      </c>
      <c r="E13" s="12">
        <f t="shared" si="0"/>
        <v>950</v>
      </c>
      <c r="F13" s="9">
        <f t="shared" si="1"/>
        <v>9.6774193548387094E-2</v>
      </c>
      <c r="G13" s="257">
        <f t="shared" si="2"/>
        <v>0.10714285714285714</v>
      </c>
      <c r="J13" s="293">
        <f t="shared" si="3"/>
        <v>950</v>
      </c>
      <c r="K13">
        <f t="shared" si="4"/>
        <v>9.6774193548387094E-2</v>
      </c>
    </row>
    <row r="14" spans="1:33" x14ac:dyDescent="0.25">
      <c r="B14">
        <f>SUM(B4:B13)</f>
        <v>458</v>
      </c>
      <c r="C14">
        <f>SUM(C4:C13)</f>
        <v>302</v>
      </c>
      <c r="F14">
        <f t="shared" si="1"/>
        <v>0.60263157894736841</v>
      </c>
      <c r="G14" s="12">
        <f t="shared" si="2"/>
        <v>1.5165562913907285</v>
      </c>
      <c r="AA14" s="262"/>
      <c r="AB14" s="262" t="s">
        <v>129</v>
      </c>
      <c r="AC14" s="262" t="s">
        <v>10</v>
      </c>
      <c r="AD14" s="262" t="s">
        <v>57</v>
      </c>
      <c r="AE14" s="262" t="s">
        <v>83</v>
      </c>
      <c r="AF14" s="262" t="s">
        <v>130</v>
      </c>
      <c r="AG14" s="262" t="s">
        <v>131</v>
      </c>
    </row>
    <row r="15" spans="1:33" x14ac:dyDescent="0.25">
      <c r="AA15" s="16" t="s">
        <v>127</v>
      </c>
      <c r="AB15" s="16">
        <v>21.389792432310717</v>
      </c>
      <c r="AC15" s="16">
        <v>1.8833382481789414</v>
      </c>
      <c r="AD15" s="16">
        <v>11.357382272140002</v>
      </c>
      <c r="AE15" s="16">
        <v>9.2576145640744042E-5</v>
      </c>
      <c r="AF15" s="16">
        <v>16.548517342950841</v>
      </c>
      <c r="AG15" s="16">
        <v>26.231067521670592</v>
      </c>
    </row>
    <row r="16" spans="1:33" ht="15.75" thickBot="1" x14ac:dyDescent="0.3">
      <c r="B16" s="39" t="s">
        <v>654</v>
      </c>
      <c r="C16" s="12"/>
      <c r="AA16" s="17" t="s">
        <v>623</v>
      </c>
      <c r="AB16" s="17">
        <v>-10.120536856070466</v>
      </c>
      <c r="AC16" s="17">
        <v>0.91436038317775925</v>
      </c>
      <c r="AD16" s="17">
        <v>-11.068433237338706</v>
      </c>
      <c r="AE16" s="17">
        <v>1.0486299346429363E-4</v>
      </c>
      <c r="AF16" s="17">
        <v>-12.470975047434296</v>
      </c>
      <c r="AG16" s="17">
        <v>-7.7700986647066355</v>
      </c>
    </row>
    <row r="17" spans="10:11" x14ac:dyDescent="0.25">
      <c r="J17" s="12" t="s">
        <v>651</v>
      </c>
      <c r="K17" s="12" t="s">
        <v>1119</v>
      </c>
    </row>
    <row r="18" spans="10:11" x14ac:dyDescent="0.25">
      <c r="J18" s="293">
        <f t="shared" ref="J18:J27" si="6">A4</f>
        <v>50</v>
      </c>
      <c r="K18" s="12" t="str">
        <f t="shared" ref="K18:K27" si="7">IF(G4="∞","∞",IF(G4=0,"-∞",LN(G4)))</f>
        <v>∞</v>
      </c>
    </row>
    <row r="19" spans="10:11" x14ac:dyDescent="0.25">
      <c r="J19" s="293">
        <f t="shared" si="6"/>
        <v>150</v>
      </c>
      <c r="K19" s="12">
        <f t="shared" si="7"/>
        <v>3.3672958299864741</v>
      </c>
    </row>
    <row r="20" spans="10:11" x14ac:dyDescent="0.25">
      <c r="J20" s="293">
        <f t="shared" si="6"/>
        <v>250</v>
      </c>
      <c r="K20">
        <f t="shared" si="7"/>
        <v>2.6741486494265279</v>
      </c>
    </row>
    <row r="21" spans="10:11" x14ac:dyDescent="0.25">
      <c r="J21" s="293">
        <f t="shared" si="6"/>
        <v>350</v>
      </c>
      <c r="K21">
        <f t="shared" si="7"/>
        <v>1.9195928407379399</v>
      </c>
    </row>
    <row r="22" spans="10:11" x14ac:dyDescent="0.25">
      <c r="J22" s="293">
        <f t="shared" si="6"/>
        <v>450</v>
      </c>
      <c r="K22">
        <f t="shared" si="7"/>
        <v>1.3071570405611672</v>
      </c>
    </row>
    <row r="23" spans="10:11" x14ac:dyDescent="0.25">
      <c r="J23" s="293">
        <f t="shared" si="6"/>
        <v>550</v>
      </c>
      <c r="K23">
        <f t="shared" si="7"/>
        <v>0.52129692363328606</v>
      </c>
    </row>
    <row r="24" spans="10:11" x14ac:dyDescent="0.25">
      <c r="J24" s="293">
        <f t="shared" si="6"/>
        <v>650</v>
      </c>
      <c r="K24">
        <f t="shared" si="7"/>
        <v>-0.3201675275962691</v>
      </c>
    </row>
    <row r="25" spans="10:11" x14ac:dyDescent="0.25">
      <c r="J25" s="293">
        <f t="shared" si="6"/>
        <v>750</v>
      </c>
      <c r="K25">
        <f t="shared" si="7"/>
        <v>-0.96046195018729241</v>
      </c>
    </row>
    <row r="26" spans="10:11" x14ac:dyDescent="0.25">
      <c r="J26" s="293">
        <f t="shared" si="6"/>
        <v>850</v>
      </c>
      <c r="K26">
        <f t="shared" si="7"/>
        <v>-1.410986973710262</v>
      </c>
    </row>
    <row r="27" spans="10:11" x14ac:dyDescent="0.25">
      <c r="J27" s="293">
        <f t="shared" si="6"/>
        <v>950</v>
      </c>
      <c r="K27">
        <f t="shared" si="7"/>
        <v>-2.2335922215070942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AK25"/>
  <sheetViews>
    <sheetView workbookViewId="0"/>
  </sheetViews>
  <sheetFormatPr defaultColWidth="9.140625" defaultRowHeight="15" x14ac:dyDescent="0.25"/>
  <cols>
    <col min="1" max="1" width="9.140625" style="15"/>
    <col min="2" max="2" width="8.85546875" style="15" customWidth="1"/>
    <col min="3" max="3" width="9.140625" style="15"/>
    <col min="4" max="4" width="5.5703125" style="15" customWidth="1"/>
    <col min="5" max="5" width="9.140625" style="15"/>
    <col min="6" max="6" width="9.28515625" style="15" customWidth="1"/>
    <col min="7" max="7" width="9.140625" style="15"/>
    <col min="8" max="8" width="5.5703125" style="15" customWidth="1"/>
    <col min="9" max="10" width="9.140625" style="15"/>
    <col min="11" max="12" width="9.140625" style="15" customWidth="1"/>
    <col min="13" max="13" width="7.7109375" style="15" customWidth="1"/>
    <col min="14" max="14" width="4.5703125" style="15" customWidth="1"/>
    <col min="15" max="15" width="9.28515625" style="15" customWidth="1"/>
    <col min="16" max="17" width="9.140625" style="15"/>
    <col min="18" max="18" width="2.5703125" style="15" customWidth="1"/>
    <col min="19" max="22" width="9.140625" style="15"/>
    <col min="23" max="23" width="3.28515625" style="15" customWidth="1"/>
    <col min="24" max="27" width="9.140625" style="15"/>
    <col min="28" max="28" width="3.42578125" style="15" customWidth="1"/>
    <col min="29" max="30" width="9.140625" style="15"/>
    <col min="31" max="31" width="9.85546875" style="15" customWidth="1"/>
    <col min="32" max="32" width="9.28515625" style="15" customWidth="1"/>
    <col min="33" max="33" width="3.85546875" style="15" customWidth="1"/>
    <col min="34" max="37" width="10.42578125" style="15" customWidth="1"/>
    <col min="38" max="38" width="4.85546875" style="15" customWidth="1"/>
    <col min="39" max="42" width="9.140625" style="15"/>
    <col min="43" max="43" width="4.28515625" style="15" customWidth="1"/>
    <col min="44" max="47" width="9.140625" style="15"/>
    <col min="48" max="48" width="4.5703125" style="15" customWidth="1"/>
    <col min="49" max="52" width="9.140625" style="15"/>
    <col min="53" max="53" width="4.140625" style="15" customWidth="1"/>
    <col min="54" max="57" width="9.140625" style="15"/>
    <col min="58" max="58" width="4.5703125" style="15" customWidth="1"/>
    <col min="59" max="62" width="9.140625" style="15"/>
    <col min="63" max="63" width="4.28515625" style="15" customWidth="1"/>
    <col min="64" max="67" width="9.140625" style="15"/>
    <col min="68" max="68" width="4.42578125" style="15" customWidth="1"/>
    <col min="69" max="72" width="9.140625" style="15"/>
    <col min="73" max="73" width="4.42578125" style="15" customWidth="1"/>
    <col min="74" max="77" width="9.140625" style="15"/>
    <col min="78" max="78" width="4" style="15" customWidth="1"/>
    <col min="79" max="16384" width="9.140625" style="15"/>
  </cols>
  <sheetData>
    <row r="1" spans="1:37" x14ac:dyDescent="0.25">
      <c r="A1" s="1" t="s">
        <v>652</v>
      </c>
      <c r="AE1" s="15" t="s">
        <v>121</v>
      </c>
    </row>
    <row r="2" spans="1:37" x14ac:dyDescent="0.25">
      <c r="AE2" s="289" t="s">
        <v>123</v>
      </c>
      <c r="AF2" s="289">
        <v>0.98019766125822028</v>
      </c>
    </row>
    <row r="3" spans="1:37" s="294" customFormat="1" x14ac:dyDescent="0.25">
      <c r="A3" s="294" t="s">
        <v>651</v>
      </c>
      <c r="B3" s="294" t="s">
        <v>619</v>
      </c>
      <c r="C3" s="294" t="s">
        <v>620</v>
      </c>
      <c r="E3" s="294" t="str">
        <f t="shared" ref="E3:E13" si="0">A3</f>
        <v>Rems</v>
      </c>
      <c r="F3" s="294" t="s">
        <v>621</v>
      </c>
      <c r="G3" s="294" t="s">
        <v>622</v>
      </c>
      <c r="I3" s="294" t="s">
        <v>4</v>
      </c>
      <c r="J3" s="292" t="s">
        <v>105</v>
      </c>
      <c r="K3" s="292" t="s">
        <v>67</v>
      </c>
      <c r="L3" s="292" t="s">
        <v>626</v>
      </c>
      <c r="N3" s="15"/>
      <c r="O3" s="292" t="s">
        <v>95</v>
      </c>
      <c r="P3" s="15"/>
      <c r="Q3" s="15"/>
      <c r="R3" s="15"/>
      <c r="S3" s="15"/>
      <c r="T3" s="15"/>
      <c r="U3" s="15"/>
      <c r="V3" s="15"/>
      <c r="W3" s="15"/>
      <c r="X3" s="15"/>
      <c r="AE3" s="289" t="s">
        <v>120</v>
      </c>
      <c r="AF3" s="289">
        <v>0.96078745513608477</v>
      </c>
      <c r="AG3" s="15"/>
      <c r="AH3" s="15"/>
      <c r="AI3" s="15"/>
      <c r="AJ3" s="15"/>
      <c r="AK3" s="15"/>
    </row>
    <row r="4" spans="1:37" x14ac:dyDescent="0.25">
      <c r="A4" s="295">
        <v>50</v>
      </c>
      <c r="B4" s="296">
        <v>21</v>
      </c>
      <c r="C4" s="297">
        <v>0</v>
      </c>
      <c r="E4" s="294">
        <f t="shared" si="0"/>
        <v>50</v>
      </c>
      <c r="F4" s="298">
        <f t="shared" ref="F4:F14" si="1">B4/(B4+C4)</f>
        <v>1</v>
      </c>
      <c r="G4" s="270" t="str">
        <f t="shared" ref="G4:G14" si="2">IF(F4 = 1,"∞",F4/(1-F4))</f>
        <v>∞</v>
      </c>
      <c r="H4" s="300"/>
      <c r="I4" s="294">
        <f>E4</f>
        <v>50</v>
      </c>
      <c r="J4" s="302">
        <f>F4</f>
        <v>1</v>
      </c>
      <c r="K4" s="328">
        <f>1/(1+EXP(-$O$5-$O$6*I4))</f>
        <v>0.98395198029490827</v>
      </c>
      <c r="L4" s="303">
        <f t="shared" ref="L4:L13" si="3">(B4+C4)*(J4*LN(K4)+(1-J4)*LN(1-K4))</f>
        <v>-0.33974185631341247</v>
      </c>
      <c r="AE4" s="289" t="s">
        <v>124</v>
      </c>
      <c r="AF4" s="289">
        <v>0.95294494616330172</v>
      </c>
    </row>
    <row r="5" spans="1:37" x14ac:dyDescent="0.25">
      <c r="A5" s="295">
        <f>A4+100</f>
        <v>150</v>
      </c>
      <c r="B5" s="255">
        <v>29</v>
      </c>
      <c r="C5" s="177">
        <v>1</v>
      </c>
      <c r="E5" s="294">
        <f t="shared" si="0"/>
        <v>150</v>
      </c>
      <c r="F5" s="255">
        <f t="shared" si="1"/>
        <v>0.96666666666666667</v>
      </c>
      <c r="G5" s="299">
        <f t="shared" si="2"/>
        <v>29.000000000000007</v>
      </c>
      <c r="H5" s="300"/>
      <c r="I5" s="294">
        <f t="shared" ref="I5:I13" si="4">E5</f>
        <v>150</v>
      </c>
      <c r="J5" s="304">
        <f t="shared" ref="J5:J13" si="5">F5</f>
        <v>0.96666666666666667</v>
      </c>
      <c r="K5" s="300">
        <f t="shared" ref="K5:K13" si="6">1/(1+EXP(-$O$5-$O$6*I5))</f>
        <v>0.96753388507077187</v>
      </c>
      <c r="L5" s="299">
        <f t="shared" si="3"/>
        <v>-4.3846984606260797</v>
      </c>
      <c r="N5" s="15" t="s">
        <v>25</v>
      </c>
      <c r="O5" s="264">
        <v>4.4767106944921951</v>
      </c>
      <c r="AE5" s="289" t="s">
        <v>10</v>
      </c>
      <c r="AF5" s="289">
        <v>0.48383403651561618</v>
      </c>
    </row>
    <row r="6" spans="1:37" ht="15.75" thickBot="1" x14ac:dyDescent="0.3">
      <c r="A6" s="295">
        <f t="shared" ref="A6:A13" si="7">A5+100</f>
        <v>250</v>
      </c>
      <c r="B6" s="255">
        <v>87</v>
      </c>
      <c r="C6" s="177">
        <v>6</v>
      </c>
      <c r="E6" s="294">
        <f t="shared" si="0"/>
        <v>250</v>
      </c>
      <c r="F6" s="255">
        <f t="shared" si="1"/>
        <v>0.93548387096774188</v>
      </c>
      <c r="G6" s="299">
        <f t="shared" si="2"/>
        <v>14.499999999999988</v>
      </c>
      <c r="H6" s="300"/>
      <c r="I6" s="294">
        <f t="shared" si="4"/>
        <v>250</v>
      </c>
      <c r="J6" s="304">
        <f t="shared" si="5"/>
        <v>0.93548387096774188</v>
      </c>
      <c r="K6" s="300">
        <f t="shared" si="6"/>
        <v>0.93542148257003155</v>
      </c>
      <c r="L6" s="299">
        <f t="shared" si="3"/>
        <v>-22.247192721995795</v>
      </c>
      <c r="N6" s="15" t="s">
        <v>26</v>
      </c>
      <c r="O6" s="266">
        <v>-7.214381164948663E-3</v>
      </c>
      <c r="AE6" s="290" t="s">
        <v>55</v>
      </c>
      <c r="AF6" s="290">
        <v>7</v>
      </c>
    </row>
    <row r="7" spans="1:37" x14ac:dyDescent="0.25">
      <c r="A7" s="295">
        <f t="shared" si="7"/>
        <v>350</v>
      </c>
      <c r="B7" s="255">
        <v>75</v>
      </c>
      <c r="C7" s="177">
        <v>11</v>
      </c>
      <c r="E7" s="294">
        <f t="shared" si="0"/>
        <v>350</v>
      </c>
      <c r="F7" s="255">
        <f t="shared" si="1"/>
        <v>0.87209302325581395</v>
      </c>
      <c r="G7" s="299">
        <f t="shared" si="2"/>
        <v>6.8181818181818175</v>
      </c>
      <c r="H7" s="300"/>
      <c r="I7" s="294">
        <f t="shared" si="4"/>
        <v>350</v>
      </c>
      <c r="J7" s="304">
        <f t="shared" si="5"/>
        <v>0.87209302325581395</v>
      </c>
      <c r="K7" s="300">
        <f t="shared" si="6"/>
        <v>0.87562941771495062</v>
      </c>
      <c r="L7" s="299">
        <f t="shared" si="3"/>
        <v>-32.890309389721565</v>
      </c>
    </row>
    <row r="8" spans="1:37" ht="15.75" thickBot="1" x14ac:dyDescent="0.3">
      <c r="A8" s="295">
        <f t="shared" si="7"/>
        <v>450</v>
      </c>
      <c r="B8" s="255">
        <v>85</v>
      </c>
      <c r="C8" s="177">
        <v>23</v>
      </c>
      <c r="E8" s="294">
        <f t="shared" si="0"/>
        <v>450</v>
      </c>
      <c r="F8" s="255">
        <f t="shared" si="1"/>
        <v>0.78703703703703709</v>
      </c>
      <c r="G8" s="299">
        <f t="shared" si="2"/>
        <v>3.6956521739130448</v>
      </c>
      <c r="H8" s="300"/>
      <c r="I8" s="294">
        <f t="shared" si="4"/>
        <v>450</v>
      </c>
      <c r="J8" s="304">
        <f t="shared" si="5"/>
        <v>0.78703703703703709</v>
      </c>
      <c r="K8" s="300">
        <f t="shared" si="6"/>
        <v>0.77386043191826093</v>
      </c>
      <c r="L8" s="299">
        <f t="shared" si="3"/>
        <v>-55.982785070586239</v>
      </c>
      <c r="AE8" s="15" t="s">
        <v>125</v>
      </c>
    </row>
    <row r="9" spans="1:37" x14ac:dyDescent="0.25">
      <c r="A9" s="295">
        <f t="shared" si="7"/>
        <v>550</v>
      </c>
      <c r="B9" s="255">
        <v>64</v>
      </c>
      <c r="C9" s="177">
        <v>38</v>
      </c>
      <c r="E9" s="294">
        <f t="shared" si="0"/>
        <v>550</v>
      </c>
      <c r="F9" s="255">
        <f t="shared" si="1"/>
        <v>0.62745098039215685</v>
      </c>
      <c r="G9" s="299">
        <f t="shared" si="2"/>
        <v>1.6842105263157894</v>
      </c>
      <c r="H9" s="300"/>
      <c r="I9" s="294">
        <f t="shared" si="4"/>
        <v>550</v>
      </c>
      <c r="J9" s="304">
        <f t="shared" si="5"/>
        <v>0.62745098039215685</v>
      </c>
      <c r="K9" s="300">
        <f t="shared" si="6"/>
        <v>0.62452537145457221</v>
      </c>
      <c r="L9" s="299">
        <f t="shared" si="3"/>
        <v>-67.352299031399639</v>
      </c>
      <c r="AE9" s="291"/>
      <c r="AF9" s="291" t="s">
        <v>41</v>
      </c>
      <c r="AG9" s="291" t="s">
        <v>111</v>
      </c>
      <c r="AH9" s="291" t="s">
        <v>115</v>
      </c>
      <c r="AI9" s="291" t="s">
        <v>98</v>
      </c>
      <c r="AJ9" s="291" t="s">
        <v>128</v>
      </c>
    </row>
    <row r="10" spans="1:37" x14ac:dyDescent="0.25">
      <c r="A10" s="295">
        <f t="shared" si="7"/>
        <v>650</v>
      </c>
      <c r="B10" s="255">
        <v>53</v>
      </c>
      <c r="C10" s="177">
        <v>73</v>
      </c>
      <c r="E10" s="294">
        <f t="shared" si="0"/>
        <v>650</v>
      </c>
      <c r="F10" s="255">
        <f t="shared" si="1"/>
        <v>0.42063492063492064</v>
      </c>
      <c r="G10" s="299">
        <f t="shared" si="2"/>
        <v>0.7260273972602741</v>
      </c>
      <c r="H10" s="300"/>
      <c r="I10" s="294">
        <f t="shared" si="4"/>
        <v>650</v>
      </c>
      <c r="J10" s="304">
        <f t="shared" si="5"/>
        <v>0.42063492063492064</v>
      </c>
      <c r="K10" s="300">
        <f t="shared" si="6"/>
        <v>0.44704013036647189</v>
      </c>
      <c r="L10" s="299">
        <f t="shared" si="3"/>
        <v>-85.920965243919539</v>
      </c>
      <c r="AE10" s="289" t="s">
        <v>113</v>
      </c>
      <c r="AF10" s="289">
        <v>1</v>
      </c>
      <c r="AG10" s="289">
        <v>28.679074551422662</v>
      </c>
      <c r="AH10" s="289">
        <v>28.679074551422662</v>
      </c>
      <c r="AI10" s="289">
        <v>122.5102143294242</v>
      </c>
      <c r="AJ10" s="289">
        <v>1.0486299346429363E-4</v>
      </c>
    </row>
    <row r="11" spans="1:37" x14ac:dyDescent="0.25">
      <c r="A11" s="295">
        <f t="shared" si="7"/>
        <v>750</v>
      </c>
      <c r="B11" s="255">
        <v>31</v>
      </c>
      <c r="C11" s="177">
        <v>81</v>
      </c>
      <c r="E11" s="294">
        <f t="shared" si="0"/>
        <v>750</v>
      </c>
      <c r="F11" s="255">
        <f t="shared" si="1"/>
        <v>0.2767857142857143</v>
      </c>
      <c r="G11" s="299">
        <f t="shared" si="2"/>
        <v>0.38271604938271608</v>
      </c>
      <c r="H11" s="300"/>
      <c r="I11" s="294">
        <f t="shared" si="4"/>
        <v>750</v>
      </c>
      <c r="J11" s="304">
        <f t="shared" si="5"/>
        <v>0.2767857142857143</v>
      </c>
      <c r="K11" s="300">
        <f t="shared" si="6"/>
        <v>0.28209868086119477</v>
      </c>
      <c r="L11" s="299">
        <f t="shared" si="3"/>
        <v>-66.075724241135234</v>
      </c>
      <c r="AE11" s="289" t="s">
        <v>126</v>
      </c>
      <c r="AF11" s="289">
        <v>5</v>
      </c>
      <c r="AG11" s="289">
        <v>1.1704768744549732</v>
      </c>
      <c r="AH11" s="289">
        <v>0.23409537489099463</v>
      </c>
      <c r="AI11" s="289"/>
      <c r="AJ11" s="289"/>
    </row>
    <row r="12" spans="1:37" ht="15.75" thickBot="1" x14ac:dyDescent="0.3">
      <c r="A12" s="295">
        <f t="shared" si="7"/>
        <v>850</v>
      </c>
      <c r="B12" s="255">
        <v>10</v>
      </c>
      <c r="C12" s="177">
        <v>41</v>
      </c>
      <c r="E12" s="294">
        <f t="shared" si="0"/>
        <v>850</v>
      </c>
      <c r="F12" s="255">
        <f t="shared" si="1"/>
        <v>0.19607843137254902</v>
      </c>
      <c r="G12" s="299">
        <f t="shared" si="2"/>
        <v>0.24390243902439024</v>
      </c>
      <c r="H12" s="300"/>
      <c r="I12" s="294">
        <f t="shared" si="4"/>
        <v>850</v>
      </c>
      <c r="J12" s="304">
        <f t="shared" si="5"/>
        <v>0.19607843137254902</v>
      </c>
      <c r="K12" s="300">
        <f t="shared" si="6"/>
        <v>0.16036520341930324</v>
      </c>
      <c r="L12" s="299">
        <f t="shared" si="3"/>
        <v>-25.46933358771334</v>
      </c>
      <c r="AE12" s="290" t="s">
        <v>1</v>
      </c>
      <c r="AF12" s="290">
        <v>6</v>
      </c>
      <c r="AG12" s="290">
        <v>29.849551425877635</v>
      </c>
      <c r="AH12" s="290"/>
      <c r="AI12" s="290"/>
      <c r="AJ12" s="290"/>
    </row>
    <row r="13" spans="1:37" ht="15.75" thickBot="1" x14ac:dyDescent="0.3">
      <c r="A13" s="295">
        <f t="shared" si="7"/>
        <v>950</v>
      </c>
      <c r="B13" s="178">
        <v>3</v>
      </c>
      <c r="C13" s="179">
        <v>28</v>
      </c>
      <c r="E13" s="294">
        <f t="shared" si="0"/>
        <v>950</v>
      </c>
      <c r="F13" s="63">
        <f t="shared" si="1"/>
        <v>9.6774193548387094E-2</v>
      </c>
      <c r="G13" s="301">
        <f t="shared" si="2"/>
        <v>0.10714285714285714</v>
      </c>
      <c r="H13" s="300"/>
      <c r="I13" s="294">
        <f t="shared" si="4"/>
        <v>950</v>
      </c>
      <c r="J13" s="305">
        <f t="shared" si="5"/>
        <v>9.6774193548387094E-2</v>
      </c>
      <c r="K13" s="306">
        <f t="shared" si="6"/>
        <v>8.4947236480021129E-2</v>
      </c>
      <c r="L13" s="307">
        <f t="shared" si="3"/>
        <v>-9.8828342965478342</v>
      </c>
    </row>
    <row r="14" spans="1:37" x14ac:dyDescent="0.25">
      <c r="B14" s="15">
        <f>SUM(B4:B13)</f>
        <v>458</v>
      </c>
      <c r="C14" s="15">
        <f>SUM(C4:C13)</f>
        <v>302</v>
      </c>
      <c r="F14" s="15">
        <f t="shared" si="1"/>
        <v>0.60263157894736841</v>
      </c>
      <c r="G14" s="294">
        <f t="shared" si="2"/>
        <v>1.5165562913907285</v>
      </c>
      <c r="H14" s="294"/>
      <c r="I14" s="294"/>
      <c r="J14" s="294"/>
      <c r="K14" s="294"/>
      <c r="L14" s="294">
        <f>SUM(L4:L13)</f>
        <v>-370.54588389995865</v>
      </c>
      <c r="AE14" s="291"/>
      <c r="AF14" s="291" t="s">
        <v>129</v>
      </c>
      <c r="AG14" s="291" t="s">
        <v>10</v>
      </c>
      <c r="AH14" s="291" t="s">
        <v>57</v>
      </c>
      <c r="AI14" s="291" t="s">
        <v>83</v>
      </c>
      <c r="AJ14" s="291" t="s">
        <v>130</v>
      </c>
      <c r="AK14" s="291" t="s">
        <v>131</v>
      </c>
    </row>
    <row r="15" spans="1:37" x14ac:dyDescent="0.25">
      <c r="AE15" s="289" t="s">
        <v>127</v>
      </c>
      <c r="AF15" s="289">
        <v>21.389792432310717</v>
      </c>
      <c r="AG15" s="289">
        <v>1.8833382481789414</v>
      </c>
      <c r="AH15" s="289">
        <v>11.357382272140002</v>
      </c>
      <c r="AI15" s="289">
        <v>9.2576145640744042E-5</v>
      </c>
      <c r="AJ15" s="289">
        <v>16.548517342950841</v>
      </c>
      <c r="AK15" s="289">
        <v>26.231067521670592</v>
      </c>
    </row>
    <row r="16" spans="1:37" ht="15.75" thickBot="1" x14ac:dyDescent="0.3">
      <c r="B16" s="59" t="s">
        <v>654</v>
      </c>
      <c r="C16" s="294"/>
      <c r="AE16" s="290" t="s">
        <v>623</v>
      </c>
      <c r="AF16" s="290">
        <v>-10.120536856070466</v>
      </c>
      <c r="AG16" s="290">
        <v>0.91436038317775925</v>
      </c>
      <c r="AH16" s="290">
        <v>-11.068433237338706</v>
      </c>
      <c r="AI16" s="290">
        <v>1.0486299346429363E-4</v>
      </c>
      <c r="AJ16" s="290">
        <v>-12.470975047434296</v>
      </c>
      <c r="AK16" s="290">
        <v>-7.7700986647066355</v>
      </c>
    </row>
    <row r="18" spans="1:2" x14ac:dyDescent="0.25">
      <c r="A18" s="15" t="s">
        <v>114</v>
      </c>
    </row>
    <row r="20" spans="1:2" x14ac:dyDescent="0.25">
      <c r="A20" s="15" t="s">
        <v>142</v>
      </c>
      <c r="B20" s="264">
        <f>O5</f>
        <v>4.4767106944921951</v>
      </c>
    </row>
    <row r="21" spans="1:2" x14ac:dyDescent="0.25">
      <c r="A21" s="15" t="s">
        <v>140</v>
      </c>
      <c r="B21" s="266">
        <f>O6</f>
        <v>-7.214381164948663E-3</v>
      </c>
    </row>
    <row r="23" spans="1:2" x14ac:dyDescent="0.25">
      <c r="A23" s="15" t="s">
        <v>4</v>
      </c>
      <c r="B23" s="311">
        <v>380</v>
      </c>
    </row>
    <row r="24" spans="1:2" x14ac:dyDescent="0.25">
      <c r="A24" s="15" t="s">
        <v>624</v>
      </c>
      <c r="B24" s="265">
        <f>B20+B23*B21</f>
        <v>1.7352458518117033</v>
      </c>
    </row>
    <row r="25" spans="1:2" x14ac:dyDescent="0.25">
      <c r="A25" s="15" t="s">
        <v>67</v>
      </c>
      <c r="B25" s="310">
        <f>1/(1+EXP(-B24))</f>
        <v>0.85008219299194931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AK54"/>
  <sheetViews>
    <sheetView workbookViewId="0"/>
  </sheetViews>
  <sheetFormatPr defaultRowHeight="15" x14ac:dyDescent="0.25"/>
  <cols>
    <col min="1" max="1" width="6.140625" customWidth="1"/>
    <col min="2" max="2" width="8.42578125" customWidth="1"/>
    <col min="3" max="3" width="8.140625" customWidth="1"/>
    <col min="4" max="4" width="3.28515625" customWidth="1"/>
    <col min="5" max="6" width="8.85546875" customWidth="1"/>
    <col min="16" max="16" width="3.28515625" customWidth="1"/>
    <col min="18" max="18" width="3.28515625" customWidth="1"/>
    <col min="21" max="21" width="3.28515625" customWidth="1"/>
  </cols>
  <sheetData>
    <row r="1" spans="1:37" x14ac:dyDescent="0.25">
      <c r="A1" s="1" t="s">
        <v>752</v>
      </c>
      <c r="B1" s="15"/>
      <c r="C1" s="15"/>
      <c r="D1" s="15"/>
    </row>
    <row r="2" spans="1:37" x14ac:dyDescent="0.25">
      <c r="A2" s="15"/>
      <c r="B2" s="15"/>
      <c r="C2" s="15"/>
      <c r="D2" s="15"/>
    </row>
    <row r="3" spans="1:37" x14ac:dyDescent="0.25">
      <c r="A3" s="294" t="s">
        <v>651</v>
      </c>
      <c r="B3" s="294" t="s">
        <v>619</v>
      </c>
      <c r="C3" s="294" t="s">
        <v>620</v>
      </c>
      <c r="D3" s="294"/>
      <c r="E3" t="s">
        <v>618</v>
      </c>
      <c r="Y3" t="s">
        <v>827</v>
      </c>
      <c r="AD3" t="s">
        <v>831</v>
      </c>
    </row>
    <row r="4" spans="1:37" ht="15.75" thickBot="1" x14ac:dyDescent="0.3">
      <c r="A4" s="295">
        <v>50</v>
      </c>
      <c r="B4" s="296">
        <v>21</v>
      </c>
      <c r="C4" s="297">
        <v>0</v>
      </c>
      <c r="D4" s="15"/>
    </row>
    <row r="5" spans="1:37" ht="15.75" thickTop="1" x14ac:dyDescent="0.25">
      <c r="A5" s="295">
        <f>A4+100</f>
        <v>150</v>
      </c>
      <c r="B5" s="255">
        <v>29</v>
      </c>
      <c r="C5" s="177">
        <v>1</v>
      </c>
      <c r="D5" s="15"/>
      <c r="E5" s="360" t="str">
        <f>A3</f>
        <v>Rems</v>
      </c>
      <c r="F5" s="360" t="str">
        <f>B3</f>
        <v>Survived</v>
      </c>
      <c r="G5" s="360" t="str">
        <f>C3</f>
        <v>Died</v>
      </c>
      <c r="H5" s="360" t="s">
        <v>1</v>
      </c>
      <c r="I5" s="360" t="s">
        <v>658</v>
      </c>
      <c r="J5" s="360" t="s">
        <v>659</v>
      </c>
      <c r="K5" s="360" t="s">
        <v>825</v>
      </c>
      <c r="L5" s="360" t="s">
        <v>826</v>
      </c>
      <c r="M5" s="360" t="s">
        <v>626</v>
      </c>
      <c r="N5" s="360" t="s">
        <v>753</v>
      </c>
      <c r="O5" s="360" t="s">
        <v>809</v>
      </c>
      <c r="Q5" t="s">
        <v>660</v>
      </c>
      <c r="S5" t="s">
        <v>625</v>
      </c>
      <c r="T5" s="362">
        <f>F16*LN(F16/H16)+G16*LN(G16/H16)</f>
        <v>-510.66696372157895</v>
      </c>
      <c r="V5" t="s">
        <v>754</v>
      </c>
      <c r="Z5" s="356" t="s">
        <v>828</v>
      </c>
      <c r="AA5" s="356" t="s">
        <v>829</v>
      </c>
      <c r="AD5" s="346" t="s">
        <v>659</v>
      </c>
      <c r="AE5" s="346" t="s">
        <v>816</v>
      </c>
      <c r="AF5" s="346" t="s">
        <v>815</v>
      </c>
      <c r="AG5" s="346" t="s">
        <v>832</v>
      </c>
      <c r="AH5" s="346" t="s">
        <v>833</v>
      </c>
      <c r="AI5" s="346" t="s">
        <v>834</v>
      </c>
      <c r="AJ5" s="346" t="s">
        <v>835</v>
      </c>
      <c r="AK5" s="346" t="s">
        <v>836</v>
      </c>
    </row>
    <row r="6" spans="1:37" x14ac:dyDescent="0.25">
      <c r="A6" s="295">
        <f t="shared" ref="A6:A13" si="0">A5+100</f>
        <v>250</v>
      </c>
      <c r="B6" s="255">
        <v>87</v>
      </c>
      <c r="C6" s="177">
        <v>6</v>
      </c>
      <c r="D6" s="15"/>
      <c r="E6">
        <f t="shared" ref="E6:E15" si="1">A4</f>
        <v>50</v>
      </c>
      <c r="F6" s="183">
        <f t="shared" ref="F6:F15" si="2">B4</f>
        <v>21</v>
      </c>
      <c r="G6" s="7">
        <f t="shared" ref="G6:G15" si="3">C4</f>
        <v>0</v>
      </c>
      <c r="H6" s="43">
        <f>F6+G6</f>
        <v>21</v>
      </c>
      <c r="I6">
        <f>F6/H6</f>
        <v>1</v>
      </c>
      <c r="J6">
        <f>1/(1+EXP(-$Q$7-$Q$8*E6))</f>
        <v>0.5</v>
      </c>
      <c r="K6" s="357">
        <f>H6*J6</f>
        <v>10.5</v>
      </c>
      <c r="L6" s="359">
        <f>H6-K6</f>
        <v>10.5</v>
      </c>
      <c r="M6">
        <f>H6*(I6*LN(J6)+(1-I6)*LN(1-J6))</f>
        <v>-14.556090791758852</v>
      </c>
      <c r="N6">
        <f>100*IF(J6&gt;=$Z$12,F6/H6,G6/H6)</f>
        <v>100</v>
      </c>
      <c r="O6">
        <f>(F6-K6)^2/K6+(G6-L6)^2/L6</f>
        <v>21</v>
      </c>
      <c r="S6" t="s">
        <v>653</v>
      </c>
      <c r="T6" s="349">
        <f>M16</f>
        <v>-526.79185722555849</v>
      </c>
      <c r="V6" s="357" t="e">
        <f t="array" aca="1" ref="V6:W7" ca="1">MINVERSE(MMULT(TRANSPOSE(DESIGN(E6:E15)),J6:J15*(1-J6:J15)*H6:H15*DESIGN(E6:E15)))</f>
        <v>#NAME?</v>
      </c>
      <c r="W6" s="359" t="e">
        <f ca="1"/>
        <v>#NAME?</v>
      </c>
      <c r="Y6" t="s">
        <v>825</v>
      </c>
      <c r="Z6" s="357">
        <f>SUMIF(J6:J15,"&gt;="&amp;Z12,F6:F15)</f>
        <v>458</v>
      </c>
      <c r="AA6" s="359">
        <f>SUMIF(J6:J15,"&gt;="&amp;Z12,G6:G15)</f>
        <v>302</v>
      </c>
      <c r="AB6">
        <f>Z6+AA6</f>
        <v>760</v>
      </c>
      <c r="AG6">
        <v>0</v>
      </c>
      <c r="AH6">
        <v>0</v>
      </c>
      <c r="AI6" t="e">
        <f ca="1">1-AG6/AG$16</f>
        <v>#NAME?</v>
      </c>
      <c r="AJ6" t="e">
        <f ca="1">1-AH6/AH$16</f>
        <v>#NAME?</v>
      </c>
      <c r="AK6" t="e">
        <f ca="1">(AI6-AI7)*AJ6</f>
        <v>#NAME?</v>
      </c>
    </row>
    <row r="7" spans="1:37" x14ac:dyDescent="0.25">
      <c r="A7" s="295">
        <f t="shared" si="0"/>
        <v>350</v>
      </c>
      <c r="B7" s="255">
        <v>75</v>
      </c>
      <c r="C7" s="177">
        <v>11</v>
      </c>
      <c r="D7" s="15"/>
      <c r="E7">
        <f t="shared" si="1"/>
        <v>150</v>
      </c>
      <c r="F7" s="183">
        <f t="shared" si="2"/>
        <v>29</v>
      </c>
      <c r="G7" s="7">
        <f t="shared" si="3"/>
        <v>1</v>
      </c>
      <c r="H7" s="43">
        <f t="shared" ref="H7:H15" si="4">F7+G7</f>
        <v>30</v>
      </c>
      <c r="I7">
        <f t="shared" ref="I7:I15" si="5">F7/H7</f>
        <v>0.96666666666666667</v>
      </c>
      <c r="J7">
        <f t="shared" ref="J7:J15" si="6">1/(1+EXP(-$Q$7-$Q$8*E7))</f>
        <v>0.5</v>
      </c>
      <c r="K7" s="183">
        <f t="shared" ref="K7:K15" si="7">H7*J7</f>
        <v>15</v>
      </c>
      <c r="L7" s="43">
        <f t="shared" ref="L7:L15" si="8">H7-K7</f>
        <v>15</v>
      </c>
      <c r="M7">
        <f t="shared" ref="M7:M15" si="9">H7*(I7*LN(J7)+(1-I7)*LN(1-J7))</f>
        <v>-20.794415416798358</v>
      </c>
      <c r="N7">
        <f t="shared" ref="N7:N15" si="10">100*IF(J7&gt;=$Z$12,F7/H7,G7/H7)</f>
        <v>96.666666666666671</v>
      </c>
      <c r="O7">
        <f t="shared" ref="O7:O15" si="11">(F7-K7)^2/K7+(G7-L7)^2/L7</f>
        <v>26.133333333333333</v>
      </c>
      <c r="Q7" s="362">
        <v>0</v>
      </c>
      <c r="V7" s="351" t="e">
        <f ca="1"/>
        <v>#NAME?</v>
      </c>
      <c r="W7" s="353" t="e">
        <f ca="1"/>
        <v>#NAME?</v>
      </c>
      <c r="Y7" t="s">
        <v>826</v>
      </c>
      <c r="Z7" s="351">
        <f>Z8-Z6</f>
        <v>0</v>
      </c>
      <c r="AA7" s="353">
        <f>AA8-AA6</f>
        <v>0</v>
      </c>
      <c r="AB7">
        <f>Z7+AA7</f>
        <v>0</v>
      </c>
      <c r="AD7" t="e">
        <f t="array" aca="1" ref="AD7:AF16" ca="1">SelectCols(F6:J15,"5,2,1",1)</f>
        <v>#NAME?</v>
      </c>
      <c r="AE7" t="e">
        <f ca="1"/>
        <v>#NAME?</v>
      </c>
      <c r="AF7" t="e">
        <f ca="1"/>
        <v>#NAME?</v>
      </c>
      <c r="AG7" t="e">
        <f ca="1">AG6+AE7</f>
        <v>#NAME?</v>
      </c>
      <c r="AH7" t="e">
        <f ca="1">AH6+AF7</f>
        <v>#NAME?</v>
      </c>
      <c r="AI7" t="e">
        <f t="shared" ref="AI7:AI16" ca="1" si="12">1-AG7/AG$16</f>
        <v>#NAME?</v>
      </c>
      <c r="AJ7" t="e">
        <f t="shared" ref="AJ7:AJ16" ca="1" si="13">1-AH7/AH$16</f>
        <v>#NAME?</v>
      </c>
      <c r="AK7" t="e">
        <f t="shared" ref="AK7:AK16" ca="1" si="14">(AI7-AI8)*AJ7</f>
        <v>#NAME?</v>
      </c>
    </row>
    <row r="8" spans="1:37" x14ac:dyDescent="0.25">
      <c r="A8" s="295">
        <f t="shared" si="0"/>
        <v>450</v>
      </c>
      <c r="B8" s="255">
        <v>85</v>
      </c>
      <c r="C8" s="177">
        <v>23</v>
      </c>
      <c r="D8" s="15"/>
      <c r="E8">
        <f t="shared" si="1"/>
        <v>250</v>
      </c>
      <c r="F8" s="183">
        <f t="shared" si="2"/>
        <v>87</v>
      </c>
      <c r="G8" s="7">
        <f t="shared" si="3"/>
        <v>6</v>
      </c>
      <c r="H8" s="43">
        <f t="shared" si="4"/>
        <v>93</v>
      </c>
      <c r="I8">
        <f t="shared" si="5"/>
        <v>0.93548387096774188</v>
      </c>
      <c r="J8">
        <f t="shared" si="6"/>
        <v>0.5</v>
      </c>
      <c r="K8" s="183">
        <f t="shared" si="7"/>
        <v>46.5</v>
      </c>
      <c r="L8" s="43">
        <f t="shared" si="8"/>
        <v>46.5</v>
      </c>
      <c r="M8">
        <f t="shared" si="9"/>
        <v>-64.462687792074917</v>
      </c>
      <c r="N8">
        <f t="shared" si="10"/>
        <v>93.548387096774192</v>
      </c>
      <c r="O8">
        <f t="shared" si="11"/>
        <v>70.548387096774192</v>
      </c>
      <c r="Q8" s="349">
        <v>0</v>
      </c>
      <c r="S8" t="s">
        <v>664</v>
      </c>
      <c r="T8" s="362">
        <f>2*(T6-T5)</f>
        <v>-32.249787007959071</v>
      </c>
      <c r="Z8">
        <f>F16</f>
        <v>458</v>
      </c>
      <c r="AA8">
        <f>G16</f>
        <v>302</v>
      </c>
      <c r="AB8">
        <f>Z8+AA8</f>
        <v>760</v>
      </c>
      <c r="AD8" t="e">
        <f ca="1"/>
        <v>#NAME?</v>
      </c>
      <c r="AE8" t="e">
        <f ca="1"/>
        <v>#NAME?</v>
      </c>
      <c r="AF8" t="e">
        <f ca="1"/>
        <v>#NAME?</v>
      </c>
      <c r="AG8" t="e">
        <f t="shared" ref="AG8:AG16" ca="1" si="15">AG7+AE8</f>
        <v>#NAME?</v>
      </c>
      <c r="AH8" t="e">
        <f t="shared" ref="AH8:AH16" ca="1" si="16">AH7+AF8</f>
        <v>#NAME?</v>
      </c>
      <c r="AI8" t="e">
        <f t="shared" ca="1" si="12"/>
        <v>#NAME?</v>
      </c>
      <c r="AJ8" t="e">
        <f t="shared" ca="1" si="13"/>
        <v>#NAME?</v>
      </c>
      <c r="AK8" t="e">
        <f t="shared" ca="1" si="14"/>
        <v>#NAME?</v>
      </c>
    </row>
    <row r="9" spans="1:37" x14ac:dyDescent="0.25">
      <c r="A9" s="295">
        <f t="shared" si="0"/>
        <v>550</v>
      </c>
      <c r="B9" s="255">
        <v>64</v>
      </c>
      <c r="C9" s="177">
        <v>38</v>
      </c>
      <c r="D9" s="15"/>
      <c r="E9">
        <f t="shared" si="1"/>
        <v>350</v>
      </c>
      <c r="F9" s="183">
        <f t="shared" si="2"/>
        <v>75</v>
      </c>
      <c r="G9" s="7">
        <f t="shared" si="3"/>
        <v>11</v>
      </c>
      <c r="H9" s="43">
        <f t="shared" si="4"/>
        <v>86</v>
      </c>
      <c r="I9">
        <f t="shared" si="5"/>
        <v>0.87209302325581395</v>
      </c>
      <c r="J9">
        <f t="shared" si="6"/>
        <v>0.5</v>
      </c>
      <c r="K9" s="183">
        <f t="shared" si="7"/>
        <v>43</v>
      </c>
      <c r="L9" s="43">
        <f t="shared" si="8"/>
        <v>43</v>
      </c>
      <c r="M9">
        <f t="shared" si="9"/>
        <v>-59.610657528155294</v>
      </c>
      <c r="N9">
        <f t="shared" si="10"/>
        <v>87.20930232558139</v>
      </c>
      <c r="O9">
        <f t="shared" si="11"/>
        <v>47.627906976744185</v>
      </c>
      <c r="S9" t="s">
        <v>41</v>
      </c>
      <c r="T9" s="322">
        <f>COUNT(E6)</f>
        <v>1</v>
      </c>
      <c r="AD9" t="e">
        <f ca="1"/>
        <v>#NAME?</v>
      </c>
      <c r="AE9" t="e">
        <f ca="1"/>
        <v>#NAME?</v>
      </c>
      <c r="AF9" t="e">
        <f ca="1"/>
        <v>#NAME?</v>
      </c>
      <c r="AG9" t="e">
        <f t="shared" ca="1" si="15"/>
        <v>#NAME?</v>
      </c>
      <c r="AH9" t="e">
        <f t="shared" ca="1" si="16"/>
        <v>#NAME?</v>
      </c>
      <c r="AI9" t="e">
        <f t="shared" ca="1" si="12"/>
        <v>#NAME?</v>
      </c>
      <c r="AJ9" t="e">
        <f t="shared" ca="1" si="13"/>
        <v>#NAME?</v>
      </c>
      <c r="AK9" t="e">
        <f t="shared" ca="1" si="14"/>
        <v>#NAME?</v>
      </c>
    </row>
    <row r="10" spans="1:37" x14ac:dyDescent="0.25">
      <c r="A10" s="295">
        <f t="shared" si="0"/>
        <v>650</v>
      </c>
      <c r="B10" s="255">
        <v>53</v>
      </c>
      <c r="C10" s="177">
        <v>73</v>
      </c>
      <c r="D10" s="15"/>
      <c r="E10">
        <f t="shared" si="1"/>
        <v>450</v>
      </c>
      <c r="F10" s="183">
        <f t="shared" si="2"/>
        <v>85</v>
      </c>
      <c r="G10" s="7">
        <f t="shared" si="3"/>
        <v>23</v>
      </c>
      <c r="H10" s="43">
        <f t="shared" si="4"/>
        <v>108</v>
      </c>
      <c r="I10">
        <f t="shared" si="5"/>
        <v>0.78703703703703709</v>
      </c>
      <c r="J10">
        <f t="shared" si="6"/>
        <v>0.5</v>
      </c>
      <c r="K10" s="183">
        <f t="shared" si="7"/>
        <v>54</v>
      </c>
      <c r="L10" s="43">
        <f t="shared" si="8"/>
        <v>54</v>
      </c>
      <c r="M10">
        <f t="shared" si="9"/>
        <v>-74.859895500474096</v>
      </c>
      <c r="N10">
        <f t="shared" si="10"/>
        <v>78.703703703703709</v>
      </c>
      <c r="O10">
        <f t="shared" si="11"/>
        <v>35.592592592592595</v>
      </c>
      <c r="S10" t="s">
        <v>48</v>
      </c>
      <c r="T10" s="322" t="e">
        <f>CHIDIST(T8,T9)</f>
        <v>#NUM!</v>
      </c>
      <c r="Y10" t="s">
        <v>853</v>
      </c>
      <c r="Z10" s="363">
        <f>Z6/Z8</f>
        <v>1</v>
      </c>
      <c r="AA10" s="364">
        <f>AA7/AA8</f>
        <v>0</v>
      </c>
      <c r="AB10">
        <f>(Z6+AA7)/AB8</f>
        <v>0.60263157894736841</v>
      </c>
      <c r="AD10" t="e">
        <f ca="1"/>
        <v>#NAME?</v>
      </c>
      <c r="AE10" t="e">
        <f ca="1"/>
        <v>#NAME?</v>
      </c>
      <c r="AF10" t="e">
        <f ca="1"/>
        <v>#NAME?</v>
      </c>
      <c r="AG10" t="e">
        <f t="shared" ca="1" si="15"/>
        <v>#NAME?</v>
      </c>
      <c r="AH10" t="e">
        <f t="shared" ca="1" si="16"/>
        <v>#NAME?</v>
      </c>
      <c r="AI10" t="e">
        <f t="shared" ca="1" si="12"/>
        <v>#NAME?</v>
      </c>
      <c r="AJ10" t="e">
        <f t="shared" ca="1" si="13"/>
        <v>#NAME?</v>
      </c>
      <c r="AK10" t="e">
        <f t="shared" ca="1" si="14"/>
        <v>#NAME?</v>
      </c>
    </row>
    <row r="11" spans="1:37" x14ac:dyDescent="0.25">
      <c r="A11" s="295">
        <f t="shared" si="0"/>
        <v>750</v>
      </c>
      <c r="B11" s="255">
        <v>31</v>
      </c>
      <c r="C11" s="177">
        <v>81</v>
      </c>
      <c r="D11" s="15"/>
      <c r="E11">
        <f t="shared" si="1"/>
        <v>550</v>
      </c>
      <c r="F11" s="183">
        <f t="shared" si="2"/>
        <v>64</v>
      </c>
      <c r="G11" s="7">
        <f t="shared" si="3"/>
        <v>38</v>
      </c>
      <c r="H11" s="43">
        <f t="shared" si="4"/>
        <v>102</v>
      </c>
      <c r="I11">
        <f t="shared" si="5"/>
        <v>0.62745098039215685</v>
      </c>
      <c r="J11">
        <f t="shared" si="6"/>
        <v>0.5</v>
      </c>
      <c r="K11" s="183">
        <f t="shared" si="7"/>
        <v>51</v>
      </c>
      <c r="L11" s="43">
        <f t="shared" si="8"/>
        <v>51</v>
      </c>
      <c r="M11">
        <f t="shared" si="9"/>
        <v>-70.701012417114413</v>
      </c>
      <c r="N11">
        <f t="shared" si="10"/>
        <v>62.745098039215684</v>
      </c>
      <c r="O11">
        <f t="shared" si="11"/>
        <v>6.6274509803921573</v>
      </c>
      <c r="S11" t="s">
        <v>70</v>
      </c>
      <c r="T11" s="322">
        <v>0.05</v>
      </c>
      <c r="AD11" t="e">
        <f ca="1"/>
        <v>#NAME?</v>
      </c>
      <c r="AE11" t="e">
        <f ca="1"/>
        <v>#NAME?</v>
      </c>
      <c r="AF11" t="e">
        <f ca="1"/>
        <v>#NAME?</v>
      </c>
      <c r="AG11" t="e">
        <f t="shared" ca="1" si="15"/>
        <v>#NAME?</v>
      </c>
      <c r="AH11" t="e">
        <f t="shared" ca="1" si="16"/>
        <v>#NAME?</v>
      </c>
      <c r="AI11" t="e">
        <f t="shared" ca="1" si="12"/>
        <v>#NAME?</v>
      </c>
      <c r="AJ11" t="e">
        <f t="shared" ca="1" si="13"/>
        <v>#NAME?</v>
      </c>
      <c r="AK11" t="e">
        <f t="shared" ca="1" si="14"/>
        <v>#NAME?</v>
      </c>
    </row>
    <row r="12" spans="1:37" x14ac:dyDescent="0.25">
      <c r="A12" s="295">
        <f t="shared" si="0"/>
        <v>850</v>
      </c>
      <c r="B12" s="255">
        <v>10</v>
      </c>
      <c r="C12" s="177">
        <v>41</v>
      </c>
      <c r="D12" s="15"/>
      <c r="E12">
        <f t="shared" si="1"/>
        <v>650</v>
      </c>
      <c r="F12" s="183">
        <f t="shared" si="2"/>
        <v>53</v>
      </c>
      <c r="G12" s="7">
        <f t="shared" si="3"/>
        <v>73</v>
      </c>
      <c r="H12" s="43">
        <f t="shared" si="4"/>
        <v>126</v>
      </c>
      <c r="I12">
        <f t="shared" si="5"/>
        <v>0.42063492063492064</v>
      </c>
      <c r="J12">
        <f t="shared" si="6"/>
        <v>0.5</v>
      </c>
      <c r="K12" s="183">
        <f t="shared" si="7"/>
        <v>63</v>
      </c>
      <c r="L12" s="43">
        <f t="shared" si="8"/>
        <v>63</v>
      </c>
      <c r="M12">
        <f t="shared" si="9"/>
        <v>-87.336544750553088</v>
      </c>
      <c r="N12">
        <f t="shared" si="10"/>
        <v>42.063492063492063</v>
      </c>
      <c r="O12">
        <f t="shared" si="11"/>
        <v>3.1746031746031744</v>
      </c>
      <c r="S12" t="s">
        <v>164</v>
      </c>
      <c r="T12" s="350" t="e">
        <f>IF(T10&lt;T11,"yes","no")</f>
        <v>#NUM!</v>
      </c>
      <c r="Y12" t="s">
        <v>830</v>
      </c>
      <c r="Z12" s="365">
        <v>0.5</v>
      </c>
      <c r="AD12" t="e">
        <f ca="1"/>
        <v>#NAME?</v>
      </c>
      <c r="AE12" t="e">
        <f ca="1"/>
        <v>#NAME?</v>
      </c>
      <c r="AF12" t="e">
        <f ca="1"/>
        <v>#NAME?</v>
      </c>
      <c r="AG12" t="e">
        <f t="shared" ca="1" si="15"/>
        <v>#NAME?</v>
      </c>
      <c r="AH12" t="e">
        <f t="shared" ca="1" si="16"/>
        <v>#NAME?</v>
      </c>
      <c r="AI12" t="e">
        <f t="shared" ca="1" si="12"/>
        <v>#NAME?</v>
      </c>
      <c r="AJ12" t="e">
        <f t="shared" ca="1" si="13"/>
        <v>#NAME?</v>
      </c>
      <c r="AK12" t="e">
        <f t="shared" ca="1" si="14"/>
        <v>#NAME?</v>
      </c>
    </row>
    <row r="13" spans="1:37" x14ac:dyDescent="0.25">
      <c r="A13" s="295">
        <f t="shared" si="0"/>
        <v>950</v>
      </c>
      <c r="B13" s="178">
        <v>3</v>
      </c>
      <c r="C13" s="179">
        <v>28</v>
      </c>
      <c r="D13" s="15"/>
      <c r="E13">
        <f t="shared" si="1"/>
        <v>750</v>
      </c>
      <c r="F13" s="183">
        <f t="shared" si="2"/>
        <v>31</v>
      </c>
      <c r="G13" s="7">
        <f t="shared" si="3"/>
        <v>81</v>
      </c>
      <c r="H13" s="43">
        <f t="shared" si="4"/>
        <v>112</v>
      </c>
      <c r="I13">
        <f t="shared" si="5"/>
        <v>0.2767857142857143</v>
      </c>
      <c r="J13">
        <f t="shared" si="6"/>
        <v>0.5</v>
      </c>
      <c r="K13" s="183">
        <f t="shared" si="7"/>
        <v>56</v>
      </c>
      <c r="L13" s="43">
        <f t="shared" si="8"/>
        <v>56</v>
      </c>
      <c r="M13">
        <f t="shared" si="9"/>
        <v>-77.63248422271387</v>
      </c>
      <c r="N13">
        <f t="shared" si="10"/>
        <v>27.678571428571431</v>
      </c>
      <c r="O13">
        <f t="shared" si="11"/>
        <v>22.321428571428573</v>
      </c>
      <c r="AD13" t="e">
        <f ca="1"/>
        <v>#NAME?</v>
      </c>
      <c r="AE13" t="e">
        <f ca="1"/>
        <v>#NAME?</v>
      </c>
      <c r="AF13" t="e">
        <f ca="1"/>
        <v>#NAME?</v>
      </c>
      <c r="AG13" t="e">
        <f t="shared" ca="1" si="15"/>
        <v>#NAME?</v>
      </c>
      <c r="AH13" t="e">
        <f t="shared" ca="1" si="16"/>
        <v>#NAME?</v>
      </c>
      <c r="AI13" t="e">
        <f t="shared" ca="1" si="12"/>
        <v>#NAME?</v>
      </c>
      <c r="AJ13" t="e">
        <f t="shared" ca="1" si="13"/>
        <v>#NAME?</v>
      </c>
      <c r="AK13" t="e">
        <f t="shared" ca="1" si="14"/>
        <v>#NAME?</v>
      </c>
    </row>
    <row r="14" spans="1:37" x14ac:dyDescent="0.25">
      <c r="A14" s="15"/>
      <c r="B14" s="15">
        <f>SUM(B4:B13)</f>
        <v>458</v>
      </c>
      <c r="C14" s="15">
        <f>SUM(C4:C13)</f>
        <v>302</v>
      </c>
      <c r="D14" s="15"/>
      <c r="E14">
        <f t="shared" si="1"/>
        <v>850</v>
      </c>
      <c r="F14" s="183">
        <f t="shared" si="2"/>
        <v>10</v>
      </c>
      <c r="G14" s="7">
        <f t="shared" si="3"/>
        <v>41</v>
      </c>
      <c r="H14" s="43">
        <f t="shared" si="4"/>
        <v>51</v>
      </c>
      <c r="I14">
        <f t="shared" si="5"/>
        <v>0.19607843137254902</v>
      </c>
      <c r="J14">
        <f t="shared" si="6"/>
        <v>0.5</v>
      </c>
      <c r="K14" s="183">
        <f t="shared" si="7"/>
        <v>25.5</v>
      </c>
      <c r="L14" s="43">
        <f t="shared" si="8"/>
        <v>25.5</v>
      </c>
      <c r="M14">
        <f t="shared" si="9"/>
        <v>-35.350506208557206</v>
      </c>
      <c r="N14">
        <f t="shared" si="10"/>
        <v>19.607843137254903</v>
      </c>
      <c r="O14">
        <f t="shared" si="11"/>
        <v>18.843137254901961</v>
      </c>
      <c r="S14" t="s">
        <v>661</v>
      </c>
      <c r="T14" s="362">
        <f>1-T6/T5</f>
        <v>-3.1576143846209215E-2</v>
      </c>
      <c r="AD14" t="e">
        <f ca="1"/>
        <v>#NAME?</v>
      </c>
      <c r="AE14" t="e">
        <f ca="1"/>
        <v>#NAME?</v>
      </c>
      <c r="AF14" t="e">
        <f ca="1"/>
        <v>#NAME?</v>
      </c>
      <c r="AG14" t="e">
        <f t="shared" ca="1" si="15"/>
        <v>#NAME?</v>
      </c>
      <c r="AH14" t="e">
        <f t="shared" ca="1" si="16"/>
        <v>#NAME?</v>
      </c>
      <c r="AI14" t="e">
        <f t="shared" ca="1" si="12"/>
        <v>#NAME?</v>
      </c>
      <c r="AJ14" t="e">
        <f t="shared" ca="1" si="13"/>
        <v>#NAME?</v>
      </c>
      <c r="AK14" t="e">
        <f t="shared" ca="1" si="14"/>
        <v>#NAME?</v>
      </c>
    </row>
    <row r="15" spans="1:37" x14ac:dyDescent="0.25">
      <c r="E15">
        <f t="shared" si="1"/>
        <v>950</v>
      </c>
      <c r="F15" s="351">
        <f t="shared" si="2"/>
        <v>3</v>
      </c>
      <c r="G15" s="352">
        <f t="shared" si="3"/>
        <v>28</v>
      </c>
      <c r="H15" s="43">
        <f t="shared" si="4"/>
        <v>31</v>
      </c>
      <c r="I15">
        <f t="shared" si="5"/>
        <v>9.6774193548387094E-2</v>
      </c>
      <c r="J15">
        <f t="shared" si="6"/>
        <v>0.5</v>
      </c>
      <c r="K15" s="183">
        <f t="shared" si="7"/>
        <v>15.5</v>
      </c>
      <c r="L15" s="43">
        <f t="shared" si="8"/>
        <v>15.5</v>
      </c>
      <c r="M15">
        <f t="shared" si="9"/>
        <v>-21.487562597358306</v>
      </c>
      <c r="N15">
        <f t="shared" si="10"/>
        <v>9.67741935483871</v>
      </c>
      <c r="O15">
        <f t="shared" si="11"/>
        <v>20.161290322580644</v>
      </c>
      <c r="S15" t="s">
        <v>662</v>
      </c>
      <c r="T15" s="322">
        <f>1-EXP((-2/H16)*(T6-T5))</f>
        <v>-4.3347120437658093E-2</v>
      </c>
      <c r="AD15" t="e">
        <f ca="1"/>
        <v>#NAME?</v>
      </c>
      <c r="AE15" t="e">
        <f ca="1"/>
        <v>#NAME?</v>
      </c>
      <c r="AF15" t="e">
        <f ca="1"/>
        <v>#NAME?</v>
      </c>
      <c r="AG15" t="e">
        <f t="shared" ca="1" si="15"/>
        <v>#NAME?</v>
      </c>
      <c r="AH15" t="e">
        <f t="shared" ca="1" si="16"/>
        <v>#NAME?</v>
      </c>
      <c r="AI15" t="e">
        <f t="shared" ca="1" si="12"/>
        <v>#NAME?</v>
      </c>
      <c r="AJ15" t="e">
        <f t="shared" ca="1" si="13"/>
        <v>#NAME?</v>
      </c>
      <c r="AK15" t="e">
        <f t="shared" ca="1" si="14"/>
        <v>#NAME?</v>
      </c>
    </row>
    <row r="16" spans="1:37" x14ac:dyDescent="0.25">
      <c r="E16" s="4"/>
      <c r="F16" s="4">
        <f>SUM(F6:F15)</f>
        <v>458</v>
      </c>
      <c r="G16" s="4">
        <f>SUM(G6:G15)</f>
        <v>302</v>
      </c>
      <c r="H16" s="361">
        <f>SUM(H6:H15)</f>
        <v>760</v>
      </c>
      <c r="I16" s="361"/>
      <c r="J16" s="361"/>
      <c r="K16" s="4">
        <f>SUM(K6:K15)</f>
        <v>380</v>
      </c>
      <c r="L16" s="4">
        <f>SUM(L6:L15)</f>
        <v>380</v>
      </c>
      <c r="M16" s="361">
        <f>SUM(M6:M15)</f>
        <v>-526.79185722555849</v>
      </c>
      <c r="N16" s="361">
        <f>SUMPRODUCT(N6:N15,H6:H15)/H16</f>
        <v>60.263157894736842</v>
      </c>
      <c r="O16" s="361">
        <f>SUM(O6:O15)</f>
        <v>272.0301303033508</v>
      </c>
      <c r="S16" t="s">
        <v>663</v>
      </c>
      <c r="T16" s="349">
        <f>T15/(1-EXP(2*T5/H16))</f>
        <v>-5.8643502911406416E-2</v>
      </c>
      <c r="AD16" s="354" t="e">
        <f ca="1"/>
        <v>#NAME?</v>
      </c>
      <c r="AE16" s="354" t="e">
        <f ca="1"/>
        <v>#NAME?</v>
      </c>
      <c r="AF16" s="354" t="e">
        <f ca="1"/>
        <v>#NAME?</v>
      </c>
      <c r="AG16" s="354" t="e">
        <f t="shared" ca="1" si="15"/>
        <v>#NAME?</v>
      </c>
      <c r="AH16" s="354" t="e">
        <f t="shared" ca="1" si="16"/>
        <v>#NAME?</v>
      </c>
      <c r="AI16" s="354" t="e">
        <f t="shared" ca="1" si="12"/>
        <v>#NAME?</v>
      </c>
      <c r="AJ16" s="354" t="e">
        <f t="shared" ca="1" si="13"/>
        <v>#NAME?</v>
      </c>
      <c r="AK16" s="354" t="e">
        <f t="shared" ca="1" si="14"/>
        <v>#NAME?</v>
      </c>
    </row>
    <row r="17" spans="1:37" ht="15.75" thickBot="1" x14ac:dyDescent="0.3">
      <c r="AK17" t="e">
        <f ca="1">SUM(AK6:AK16)</f>
        <v>#NAME?</v>
      </c>
    </row>
    <row r="18" spans="1:37" ht="15.75" thickTop="1" x14ac:dyDescent="0.25">
      <c r="E18" s="346"/>
      <c r="F18" s="346" t="s">
        <v>755</v>
      </c>
      <c r="G18" s="346" t="s">
        <v>148</v>
      </c>
      <c r="H18" s="346" t="s">
        <v>756</v>
      </c>
      <c r="I18" s="346" t="s">
        <v>48</v>
      </c>
      <c r="J18" s="346" t="s">
        <v>757</v>
      </c>
      <c r="K18" s="346" t="s">
        <v>15</v>
      </c>
      <c r="L18" s="346" t="s">
        <v>16</v>
      </c>
      <c r="S18" t="s">
        <v>814</v>
      </c>
      <c r="T18" s="362">
        <f>O16</f>
        <v>272.0301303033508</v>
      </c>
    </row>
    <row r="19" spans="1:37" x14ac:dyDescent="0.25">
      <c r="E19" t="s">
        <v>127</v>
      </c>
      <c r="F19">
        <f t="array" ref="F19:F20">Q7:Q8</f>
        <v>0</v>
      </c>
      <c r="G19" t="e">
        <f t="array" aca="1" ref="G19:G20" ca="1">SQRT(DIAG(V6:W7))</f>
        <v>#NAME?</v>
      </c>
      <c r="H19" t="e">
        <f ca="1">(F19/G19)^2</f>
        <v>#NAME?</v>
      </c>
      <c r="I19" t="e">
        <f ca="1">CHIDIST(H19,1)</f>
        <v>#NAME?</v>
      </c>
      <c r="J19">
        <f>EXP(F19)</f>
        <v>1</v>
      </c>
      <c r="S19" t="s">
        <v>41</v>
      </c>
      <c r="T19" s="322">
        <f>COUNT(H6:H15)-2</f>
        <v>8</v>
      </c>
    </row>
    <row r="20" spans="1:37" x14ac:dyDescent="0.25">
      <c r="E20" s="354" t="str">
        <f t="array" ref="E20">TRANSPOSE(E5)</f>
        <v>Rems</v>
      </c>
      <c r="F20" s="354">
        <v>0</v>
      </c>
      <c r="G20" s="354" t="e">
        <f ca="1"/>
        <v>#NAME?</v>
      </c>
      <c r="H20" s="354" t="e">
        <f ca="1">(F20/G20)^2</f>
        <v>#NAME?</v>
      </c>
      <c r="I20" s="354" t="e">
        <f ca="1">CHIDIST(H20,1)</f>
        <v>#NAME?</v>
      </c>
      <c r="J20" s="354">
        <f>EXP(F20)</f>
        <v>1</v>
      </c>
      <c r="K20" s="354" t="e">
        <f ca="1">EXP(F20-G20*NORMSINV(1-$T$11/2))</f>
        <v>#NAME?</v>
      </c>
      <c r="L20" s="354" t="e">
        <f ca="1">EXP(F20+G20*NORMSINV(1-$T$11/2))</f>
        <v>#NAME?</v>
      </c>
      <c r="S20" t="s">
        <v>48</v>
      </c>
      <c r="T20" s="322">
        <f>CHIDIST(T18,T19)</f>
        <v>3.6444432907476416E-54</v>
      </c>
    </row>
    <row r="21" spans="1:37" x14ac:dyDescent="0.25">
      <c r="S21" t="s">
        <v>70</v>
      </c>
      <c r="T21" s="322">
        <f>T11</f>
        <v>0.05</v>
      </c>
    </row>
    <row r="22" spans="1:37" x14ac:dyDescent="0.25">
      <c r="S22" t="s">
        <v>164</v>
      </c>
      <c r="T22" s="350" t="str">
        <f>IF(T20&lt;T21,"yes","no")</f>
        <v>yes</v>
      </c>
    </row>
    <row r="23" spans="1:37" x14ac:dyDescent="0.25">
      <c r="E23" t="s">
        <v>758</v>
      </c>
    </row>
    <row r="24" spans="1:37" x14ac:dyDescent="0.25">
      <c r="E24" t="s">
        <v>759</v>
      </c>
    </row>
    <row r="25" spans="1:37" x14ac:dyDescent="0.25">
      <c r="E25" t="s">
        <v>760</v>
      </c>
    </row>
    <row r="26" spans="1:37" x14ac:dyDescent="0.25">
      <c r="E26" t="s">
        <v>761</v>
      </c>
    </row>
    <row r="27" spans="1:37" x14ac:dyDescent="0.25">
      <c r="E27" t="s">
        <v>762</v>
      </c>
    </row>
    <row r="30" spans="1:37" x14ac:dyDescent="0.25">
      <c r="A30" s="294" t="s">
        <v>651</v>
      </c>
      <c r="B30" s="294" t="s">
        <v>619</v>
      </c>
      <c r="C30" s="294" t="s">
        <v>620</v>
      </c>
      <c r="D30" s="294"/>
      <c r="E30" t="s">
        <v>618</v>
      </c>
      <c r="Y30" t="s">
        <v>827</v>
      </c>
      <c r="AD30" t="s">
        <v>831</v>
      </c>
    </row>
    <row r="31" spans="1:37" ht="15.75" thickBot="1" x14ac:dyDescent="0.3">
      <c r="A31" s="295">
        <v>50</v>
      </c>
      <c r="B31" s="296">
        <v>21</v>
      </c>
      <c r="C31" s="297">
        <v>0</v>
      </c>
      <c r="D31" s="15"/>
    </row>
    <row r="32" spans="1:37" ht="15.75" thickTop="1" x14ac:dyDescent="0.25">
      <c r="A32" s="295">
        <f>A31+100</f>
        <v>150</v>
      </c>
      <c r="B32" s="255">
        <v>29</v>
      </c>
      <c r="C32" s="177">
        <v>1</v>
      </c>
      <c r="D32" s="15"/>
      <c r="E32" s="360" t="str">
        <f>A30</f>
        <v>Rems</v>
      </c>
      <c r="F32" s="360" t="str">
        <f>B30</f>
        <v>Survived</v>
      </c>
      <c r="G32" s="360" t="str">
        <f>C30</f>
        <v>Died</v>
      </c>
      <c r="H32" s="360" t="s">
        <v>1</v>
      </c>
      <c r="I32" s="360" t="s">
        <v>658</v>
      </c>
      <c r="J32" s="360" t="s">
        <v>659</v>
      </c>
      <c r="K32" s="360" t="s">
        <v>825</v>
      </c>
      <c r="L32" s="360" t="s">
        <v>826</v>
      </c>
      <c r="M32" s="360" t="s">
        <v>626</v>
      </c>
      <c r="N32" s="360" t="s">
        <v>753</v>
      </c>
      <c r="O32" s="360" t="s">
        <v>809</v>
      </c>
      <c r="Q32" t="s">
        <v>660</v>
      </c>
      <c r="S32" t="s">
        <v>625</v>
      </c>
      <c r="T32" s="362">
        <f>F43*LN(F43/H43)+G43*LN(G43/H43)</f>
        <v>-510.66696372157895</v>
      </c>
      <c r="V32" t="s">
        <v>754</v>
      </c>
      <c r="Z32" s="356" t="s">
        <v>828</v>
      </c>
      <c r="AA32" s="356" t="s">
        <v>829</v>
      </c>
      <c r="AD32" s="346" t="s">
        <v>659</v>
      </c>
      <c r="AE32" s="346" t="s">
        <v>816</v>
      </c>
      <c r="AF32" s="346" t="s">
        <v>815</v>
      </c>
      <c r="AG32" s="346" t="s">
        <v>832</v>
      </c>
      <c r="AH32" s="346" t="s">
        <v>833</v>
      </c>
      <c r="AI32" s="346" t="s">
        <v>834</v>
      </c>
      <c r="AJ32" s="346" t="s">
        <v>835</v>
      </c>
      <c r="AK32" s="346" t="s">
        <v>836</v>
      </c>
    </row>
    <row r="33" spans="1:37" x14ac:dyDescent="0.25">
      <c r="A33" s="295">
        <f t="shared" ref="A33:A40" si="17">A32+100</f>
        <v>250</v>
      </c>
      <c r="B33" s="255">
        <v>87</v>
      </c>
      <c r="C33" s="177">
        <v>6</v>
      </c>
      <c r="D33" s="15"/>
      <c r="E33">
        <f t="shared" ref="E33:E42" si="18">A31</f>
        <v>50</v>
      </c>
      <c r="F33" s="183">
        <f t="shared" ref="F33:F42" si="19">B31</f>
        <v>21</v>
      </c>
      <c r="G33" s="7">
        <f t="shared" ref="G33:G42" si="20">C31</f>
        <v>0</v>
      </c>
      <c r="H33" s="43">
        <f>F33+G33</f>
        <v>21</v>
      </c>
      <c r="I33">
        <f>F33/H33</f>
        <v>1</v>
      </c>
      <c r="J33">
        <f>1/(1+EXP(-$Q$34-$Q$35*E33))</f>
        <v>0.98399905066887317</v>
      </c>
      <c r="K33" s="357">
        <f>H33*J33</f>
        <v>20.663980064046335</v>
      </c>
      <c r="L33" s="359">
        <f>H33-K33</f>
        <v>0.33601993595366508</v>
      </c>
      <c r="M33">
        <f>H33*(I33*LN(J33)+(1-I33)*LN(1-J33))</f>
        <v>-0.33873728065284109</v>
      </c>
      <c r="N33">
        <f>100*IF(J33&gt;=$Z$39,F33/H33,G33/H33)</f>
        <v>100</v>
      </c>
      <c r="O33">
        <f>(F33-K33)^2/K33+(G33-L33)^2/L33</f>
        <v>0.34148400420229635</v>
      </c>
      <c r="S33" t="s">
        <v>653</v>
      </c>
      <c r="T33" s="349">
        <f>M43</f>
        <v>-370.54593104356275</v>
      </c>
      <c r="V33" s="357" t="e">
        <f t="array" aca="1" ref="V33:W34" ca="1">MINVERSE(MMULT(TRANSPOSE(DESIGN(E33:E42)),J33:J42*(1-J33:J42)*H33:H42*DESIGN(E33:E42)))</f>
        <v>#NAME?</v>
      </c>
      <c r="W33" s="359" t="e">
        <f ca="1"/>
        <v>#NAME?</v>
      </c>
      <c r="Y33" t="s">
        <v>825</v>
      </c>
      <c r="Z33" s="357">
        <f>SUMIF(J33:J42,"&gt;="&amp;Z39,F33:F42)</f>
        <v>361</v>
      </c>
      <c r="AA33" s="359">
        <f>SUMIF(J33:J42,"&gt;="&amp;Z39,G33:G42)</f>
        <v>79</v>
      </c>
      <c r="AB33">
        <f>Z33+AA33</f>
        <v>440</v>
      </c>
      <c r="AG33">
        <v>0</v>
      </c>
      <c r="AH33">
        <v>0</v>
      </c>
      <c r="AI33" t="e">
        <f ca="1">1-AG33/AG$43</f>
        <v>#NAME?</v>
      </c>
      <c r="AJ33" t="e">
        <f ca="1">1-AH33/AH$43</f>
        <v>#NAME?</v>
      </c>
      <c r="AK33" t="e">
        <f ca="1">(AI33-AI34)*AJ33</f>
        <v>#NAME?</v>
      </c>
    </row>
    <row r="34" spans="1:37" x14ac:dyDescent="0.25">
      <c r="A34" s="295">
        <f t="shared" si="17"/>
        <v>350</v>
      </c>
      <c r="B34" s="255">
        <v>75</v>
      </c>
      <c r="C34" s="177">
        <v>11</v>
      </c>
      <c r="D34" s="15"/>
      <c r="E34">
        <f t="shared" si="18"/>
        <v>150</v>
      </c>
      <c r="F34" s="183">
        <f t="shared" si="19"/>
        <v>29</v>
      </c>
      <c r="G34" s="7">
        <f t="shared" si="20"/>
        <v>1</v>
      </c>
      <c r="H34" s="43">
        <f t="shared" ref="H34:H42" si="21">F34+G34</f>
        <v>30</v>
      </c>
      <c r="I34">
        <f t="shared" ref="I34:I42" si="22">F34/H34</f>
        <v>0.96666666666666667</v>
      </c>
      <c r="J34">
        <f t="shared" ref="J34:J42" si="23">1/(1+EXP(-$Q$34-$Q$35*E34))</f>
        <v>0.96761153941827338</v>
      </c>
      <c r="K34" s="183">
        <f t="shared" ref="K34:K42" si="24">H34*J34</f>
        <v>29.028346182548201</v>
      </c>
      <c r="L34" s="43">
        <f t="shared" ref="L34:L42" si="25">H34-K34</f>
        <v>0.97165381745179857</v>
      </c>
      <c r="M34">
        <f t="shared" ref="M34:M42" si="26">H34*(I34*LN(J34)+(1-I34)*LN(1-J34))</f>
        <v>-4.3847657350855842</v>
      </c>
      <c r="N34">
        <f t="shared" ref="N34:N42" si="27">100*IF(J34&gt;=$Z$39,F34/H34,G34/H34)</f>
        <v>96.666666666666671</v>
      </c>
      <c r="O34">
        <f t="shared" ref="O34:O42" si="28">(F34-K34)^2/K34+(G34-L34)^2/L34</f>
        <v>8.5462690116574352E-4</v>
      </c>
      <c r="Q34" s="362">
        <v>4.4799510679118164</v>
      </c>
      <c r="V34" s="351" t="e">
        <f ca="1"/>
        <v>#NAME?</v>
      </c>
      <c r="W34" s="353" t="e">
        <f ca="1"/>
        <v>#NAME?</v>
      </c>
      <c r="Y34" t="s">
        <v>826</v>
      </c>
      <c r="Z34" s="351">
        <f>Z35-Z33</f>
        <v>97</v>
      </c>
      <c r="AA34" s="353">
        <f>AA35-AA33</f>
        <v>223</v>
      </c>
      <c r="AB34">
        <f>Z34+AA34</f>
        <v>320</v>
      </c>
      <c r="AD34" t="e">
        <f t="array" aca="1" ref="AD34:AF43" ca="1">SelectCols(F33:J42,"5,2,1",1)</f>
        <v>#NAME?</v>
      </c>
      <c r="AE34" t="e">
        <f ca="1"/>
        <v>#NAME?</v>
      </c>
      <c r="AF34" t="e">
        <f ca="1"/>
        <v>#NAME?</v>
      </c>
      <c r="AG34" t="e">
        <f ca="1">AG33+AE34</f>
        <v>#NAME?</v>
      </c>
      <c r="AH34" t="e">
        <f ca="1">AH33+AF34</f>
        <v>#NAME?</v>
      </c>
      <c r="AI34" t="e">
        <f t="shared" ref="AI34:AI43" ca="1" si="29">1-AG34/AG$43</f>
        <v>#NAME?</v>
      </c>
      <c r="AJ34" t="e">
        <f t="shared" ref="AJ34:AJ43" ca="1" si="30">1-AH34/AH$43</f>
        <v>#NAME?</v>
      </c>
      <c r="AK34" t="e">
        <f t="shared" ref="AK34:AK43" ca="1" si="31">(AI34-AI35)*AJ34</f>
        <v>#NAME?</v>
      </c>
    </row>
    <row r="35" spans="1:37" x14ac:dyDescent="0.25">
      <c r="A35" s="295">
        <f t="shared" si="17"/>
        <v>450</v>
      </c>
      <c r="B35" s="255">
        <v>85</v>
      </c>
      <c r="C35" s="177">
        <v>23</v>
      </c>
      <c r="D35" s="15"/>
      <c r="E35">
        <f t="shared" si="18"/>
        <v>250</v>
      </c>
      <c r="F35" s="183">
        <f t="shared" si="19"/>
        <v>87</v>
      </c>
      <c r="G35" s="7">
        <f t="shared" si="20"/>
        <v>6</v>
      </c>
      <c r="H35" s="43">
        <f t="shared" si="21"/>
        <v>93</v>
      </c>
      <c r="I35">
        <f t="shared" si="22"/>
        <v>0.93548387096774188</v>
      </c>
      <c r="J35">
        <f t="shared" si="23"/>
        <v>0.93554006604006168</v>
      </c>
      <c r="K35" s="183">
        <f t="shared" si="24"/>
        <v>87.005226141725743</v>
      </c>
      <c r="L35" s="43">
        <f t="shared" si="25"/>
        <v>5.9947738582742573</v>
      </c>
      <c r="M35">
        <f t="shared" si="26"/>
        <v>-22.247192159267104</v>
      </c>
      <c r="N35">
        <f t="shared" si="27"/>
        <v>93.548387096774192</v>
      </c>
      <c r="O35">
        <f t="shared" si="28"/>
        <v>4.8699799100109463E-6</v>
      </c>
      <c r="Q35" s="349">
        <v>-7.2194837860498247E-3</v>
      </c>
      <c r="S35" t="s">
        <v>664</v>
      </c>
      <c r="T35" s="362">
        <f>2*(T33-T32)</f>
        <v>280.24206535603241</v>
      </c>
      <c r="Z35">
        <f>F43</f>
        <v>458</v>
      </c>
      <c r="AA35">
        <f>G43</f>
        <v>302</v>
      </c>
      <c r="AB35">
        <f>Z35+AA35</f>
        <v>760</v>
      </c>
      <c r="AD35" t="e">
        <f ca="1"/>
        <v>#NAME?</v>
      </c>
      <c r="AE35" t="e">
        <f ca="1"/>
        <v>#NAME?</v>
      </c>
      <c r="AF35" t="e">
        <f ca="1"/>
        <v>#NAME?</v>
      </c>
      <c r="AG35" t="e">
        <f t="shared" ref="AG35:AG43" ca="1" si="32">AG34+AE35</f>
        <v>#NAME?</v>
      </c>
      <c r="AH35" t="e">
        <f t="shared" ref="AH35:AH43" ca="1" si="33">AH34+AF35</f>
        <v>#NAME?</v>
      </c>
      <c r="AI35" t="e">
        <f t="shared" ca="1" si="29"/>
        <v>#NAME?</v>
      </c>
      <c r="AJ35" t="e">
        <f t="shared" ca="1" si="30"/>
        <v>#NAME?</v>
      </c>
      <c r="AK35" t="e">
        <f t="shared" ca="1" si="31"/>
        <v>#NAME?</v>
      </c>
    </row>
    <row r="36" spans="1:37" x14ac:dyDescent="0.25">
      <c r="A36" s="295">
        <f t="shared" si="17"/>
        <v>550</v>
      </c>
      <c r="B36" s="255">
        <v>64</v>
      </c>
      <c r="C36" s="177">
        <v>38</v>
      </c>
      <c r="D36" s="15"/>
      <c r="E36">
        <f t="shared" si="18"/>
        <v>350</v>
      </c>
      <c r="F36" s="183">
        <f t="shared" si="19"/>
        <v>75</v>
      </c>
      <c r="G36" s="7">
        <f t="shared" si="20"/>
        <v>11</v>
      </c>
      <c r="H36" s="43">
        <f t="shared" si="21"/>
        <v>86</v>
      </c>
      <c r="I36">
        <f t="shared" si="22"/>
        <v>0.87209302325581395</v>
      </c>
      <c r="J36">
        <f t="shared" si="23"/>
        <v>0.87578772515515479</v>
      </c>
      <c r="K36" s="183">
        <f t="shared" si="24"/>
        <v>75.317744363343309</v>
      </c>
      <c r="L36" s="43">
        <f t="shared" si="25"/>
        <v>10.682255636656691</v>
      </c>
      <c r="M36">
        <f t="shared" si="26"/>
        <v>-32.890761635929508</v>
      </c>
      <c r="N36">
        <f t="shared" si="27"/>
        <v>87.20930232558139</v>
      </c>
      <c r="O36">
        <f t="shared" si="28"/>
        <v>1.0791800031495111E-2</v>
      </c>
      <c r="S36" t="s">
        <v>41</v>
      </c>
      <c r="T36" s="322">
        <f>COUNT(E33)</f>
        <v>1</v>
      </c>
      <c r="AD36" t="e">
        <f ca="1"/>
        <v>#NAME?</v>
      </c>
      <c r="AE36" t="e">
        <f ca="1"/>
        <v>#NAME?</v>
      </c>
      <c r="AF36" t="e">
        <f ca="1"/>
        <v>#NAME?</v>
      </c>
      <c r="AG36" t="e">
        <f t="shared" ca="1" si="32"/>
        <v>#NAME?</v>
      </c>
      <c r="AH36" t="e">
        <f t="shared" ca="1" si="33"/>
        <v>#NAME?</v>
      </c>
      <c r="AI36" t="e">
        <f t="shared" ca="1" si="29"/>
        <v>#NAME?</v>
      </c>
      <c r="AJ36" t="e">
        <f t="shared" ca="1" si="30"/>
        <v>#NAME?</v>
      </c>
      <c r="AK36" t="e">
        <f t="shared" ca="1" si="31"/>
        <v>#NAME?</v>
      </c>
    </row>
    <row r="37" spans="1:37" x14ac:dyDescent="0.25">
      <c r="A37" s="295">
        <f t="shared" si="17"/>
        <v>650</v>
      </c>
      <c r="B37" s="255">
        <v>53</v>
      </c>
      <c r="C37" s="177">
        <v>73</v>
      </c>
      <c r="D37" s="15"/>
      <c r="E37">
        <f t="shared" si="18"/>
        <v>450</v>
      </c>
      <c r="F37" s="183">
        <f t="shared" si="19"/>
        <v>85</v>
      </c>
      <c r="G37" s="7">
        <f t="shared" si="20"/>
        <v>23</v>
      </c>
      <c r="H37" s="43">
        <f t="shared" si="21"/>
        <v>108</v>
      </c>
      <c r="I37">
        <f t="shared" si="22"/>
        <v>0.78703703703703709</v>
      </c>
      <c r="J37">
        <f t="shared" si="23"/>
        <v>0.77402562356583138</v>
      </c>
      <c r="K37" s="183">
        <f t="shared" si="24"/>
        <v>83.594767345109787</v>
      </c>
      <c r="L37" s="43">
        <f t="shared" si="25"/>
        <v>24.405232654890213</v>
      </c>
      <c r="M37">
        <f t="shared" si="26"/>
        <v>-55.981449836638433</v>
      </c>
      <c r="N37">
        <f t="shared" si="27"/>
        <v>78.703703703703709</v>
      </c>
      <c r="O37">
        <f t="shared" si="28"/>
        <v>0.10453414627634554</v>
      </c>
      <c r="S37" t="s">
        <v>48</v>
      </c>
      <c r="T37" s="322">
        <f>CHIDIST(T35,T36)</f>
        <v>6.6503726856595022E-63</v>
      </c>
      <c r="Y37" t="s">
        <v>853</v>
      </c>
      <c r="Z37" s="363">
        <f>Z33/Z35</f>
        <v>0.78820960698689957</v>
      </c>
      <c r="AA37" s="364">
        <f>AA34/AA35</f>
        <v>0.73841059602649006</v>
      </c>
      <c r="AB37">
        <f>(Z33+AA34)/AB35</f>
        <v>0.76842105263157889</v>
      </c>
      <c r="AD37" t="e">
        <f ca="1"/>
        <v>#NAME?</v>
      </c>
      <c r="AE37" t="e">
        <f ca="1"/>
        <v>#NAME?</v>
      </c>
      <c r="AF37" t="e">
        <f ca="1"/>
        <v>#NAME?</v>
      </c>
      <c r="AG37" t="e">
        <f t="shared" ca="1" si="32"/>
        <v>#NAME?</v>
      </c>
      <c r="AH37" t="e">
        <f t="shared" ca="1" si="33"/>
        <v>#NAME?</v>
      </c>
      <c r="AI37" t="e">
        <f t="shared" ca="1" si="29"/>
        <v>#NAME?</v>
      </c>
      <c r="AJ37" t="e">
        <f t="shared" ca="1" si="30"/>
        <v>#NAME?</v>
      </c>
      <c r="AK37" t="e">
        <f t="shared" ca="1" si="31"/>
        <v>#NAME?</v>
      </c>
    </row>
    <row r="38" spans="1:37" x14ac:dyDescent="0.25">
      <c r="A38" s="295">
        <f t="shared" si="17"/>
        <v>750</v>
      </c>
      <c r="B38" s="255">
        <v>31</v>
      </c>
      <c r="C38" s="177">
        <v>81</v>
      </c>
      <c r="D38" s="15"/>
      <c r="E38">
        <f t="shared" si="18"/>
        <v>550</v>
      </c>
      <c r="F38" s="183">
        <f t="shared" si="19"/>
        <v>64</v>
      </c>
      <c r="G38" s="7">
        <f t="shared" si="20"/>
        <v>38</v>
      </c>
      <c r="H38" s="43">
        <f t="shared" si="21"/>
        <v>102</v>
      </c>
      <c r="I38">
        <f t="shared" si="22"/>
        <v>0.62745098039215685</v>
      </c>
      <c r="J38">
        <f t="shared" si="23"/>
        <v>0.6246271201151895</v>
      </c>
      <c r="K38" s="183">
        <f t="shared" si="24"/>
        <v>63.711966251749331</v>
      </c>
      <c r="L38" s="43">
        <f t="shared" si="25"/>
        <v>38.288033748250669</v>
      </c>
      <c r="M38">
        <f t="shared" si="26"/>
        <v>-67.352171792682327</v>
      </c>
      <c r="N38">
        <f t="shared" si="27"/>
        <v>62.745098039215684</v>
      </c>
      <c r="O38">
        <f t="shared" si="28"/>
        <v>3.4689884306584205E-3</v>
      </c>
      <c r="S38" t="s">
        <v>70</v>
      </c>
      <c r="T38" s="322">
        <v>0.05</v>
      </c>
      <c r="AD38" t="e">
        <f ca="1"/>
        <v>#NAME?</v>
      </c>
      <c r="AE38" t="e">
        <f ca="1"/>
        <v>#NAME?</v>
      </c>
      <c r="AF38" t="e">
        <f ca="1"/>
        <v>#NAME?</v>
      </c>
      <c r="AG38" t="e">
        <f t="shared" ca="1" si="32"/>
        <v>#NAME?</v>
      </c>
      <c r="AH38" t="e">
        <f t="shared" ca="1" si="33"/>
        <v>#NAME?</v>
      </c>
      <c r="AI38" t="e">
        <f t="shared" ca="1" si="29"/>
        <v>#NAME?</v>
      </c>
      <c r="AJ38" t="e">
        <f t="shared" ca="1" si="30"/>
        <v>#NAME?</v>
      </c>
      <c r="AK38" t="e">
        <f t="shared" ca="1" si="31"/>
        <v>#NAME?</v>
      </c>
    </row>
    <row r="39" spans="1:37" x14ac:dyDescent="0.25">
      <c r="A39" s="295">
        <f t="shared" si="17"/>
        <v>850</v>
      </c>
      <c r="B39" s="255">
        <v>10</v>
      </c>
      <c r="C39" s="177">
        <v>41</v>
      </c>
      <c r="D39" s="15"/>
      <c r="E39">
        <f t="shared" si="18"/>
        <v>650</v>
      </c>
      <c r="F39" s="183">
        <f t="shared" si="19"/>
        <v>53</v>
      </c>
      <c r="G39" s="7">
        <f t="shared" si="20"/>
        <v>73</v>
      </c>
      <c r="H39" s="43">
        <f t="shared" si="21"/>
        <v>126</v>
      </c>
      <c r="I39">
        <f t="shared" si="22"/>
        <v>0.42063492063492064</v>
      </c>
      <c r="J39">
        <f t="shared" si="23"/>
        <v>0.4470212619559516</v>
      </c>
      <c r="K39" s="183">
        <f t="shared" si="24"/>
        <v>56.324679006449898</v>
      </c>
      <c r="L39" s="43">
        <f t="shared" si="25"/>
        <v>69.675320993550102</v>
      </c>
      <c r="M39">
        <f t="shared" si="26"/>
        <v>-85.920711379451973</v>
      </c>
      <c r="N39">
        <f t="shared" si="27"/>
        <v>57.936507936507944</v>
      </c>
      <c r="O39">
        <f t="shared" si="28"/>
        <v>0.35488879194923151</v>
      </c>
      <c r="S39" t="s">
        <v>164</v>
      </c>
      <c r="T39" s="350" t="str">
        <f>IF(T37&lt;T38,"yes","no")</f>
        <v>yes</v>
      </c>
      <c r="Y39" t="s">
        <v>830</v>
      </c>
      <c r="Z39" s="365">
        <v>0.5</v>
      </c>
      <c r="AD39" t="e">
        <f ca="1"/>
        <v>#NAME?</v>
      </c>
      <c r="AE39" t="e">
        <f ca="1"/>
        <v>#NAME?</v>
      </c>
      <c r="AF39" t="e">
        <f ca="1"/>
        <v>#NAME?</v>
      </c>
      <c r="AG39" t="e">
        <f t="shared" ca="1" si="32"/>
        <v>#NAME?</v>
      </c>
      <c r="AH39" t="e">
        <f t="shared" ca="1" si="33"/>
        <v>#NAME?</v>
      </c>
      <c r="AI39" t="e">
        <f t="shared" ca="1" si="29"/>
        <v>#NAME?</v>
      </c>
      <c r="AJ39" t="e">
        <f t="shared" ca="1" si="30"/>
        <v>#NAME?</v>
      </c>
      <c r="AK39" t="e">
        <f t="shared" ca="1" si="31"/>
        <v>#NAME?</v>
      </c>
    </row>
    <row r="40" spans="1:37" x14ac:dyDescent="0.25">
      <c r="A40" s="295">
        <f t="shared" si="17"/>
        <v>950</v>
      </c>
      <c r="B40" s="178">
        <v>3</v>
      </c>
      <c r="C40" s="179">
        <v>28</v>
      </c>
      <c r="D40" s="15"/>
      <c r="E40">
        <f t="shared" si="18"/>
        <v>750</v>
      </c>
      <c r="F40" s="183">
        <f t="shared" si="19"/>
        <v>31</v>
      </c>
      <c r="G40" s="7">
        <f t="shared" si="20"/>
        <v>81</v>
      </c>
      <c r="H40" s="43">
        <f t="shared" si="21"/>
        <v>112</v>
      </c>
      <c r="I40">
        <f t="shared" si="22"/>
        <v>0.2767857142857143</v>
      </c>
      <c r="J40">
        <f t="shared" si="23"/>
        <v>0.28197989993070216</v>
      </c>
      <c r="K40" s="183">
        <f t="shared" si="24"/>
        <v>31.581748792238642</v>
      </c>
      <c r="L40" s="43">
        <f t="shared" si="25"/>
        <v>80.418251207761358</v>
      </c>
      <c r="M40">
        <f t="shared" si="26"/>
        <v>-66.075379090022125</v>
      </c>
      <c r="N40">
        <f t="shared" si="27"/>
        <v>72.321428571428569</v>
      </c>
      <c r="O40">
        <f t="shared" si="28"/>
        <v>1.4924445484827981E-2</v>
      </c>
      <c r="AD40" t="e">
        <f ca="1"/>
        <v>#NAME?</v>
      </c>
      <c r="AE40" t="e">
        <f ca="1"/>
        <v>#NAME?</v>
      </c>
      <c r="AF40" t="e">
        <f ca="1"/>
        <v>#NAME?</v>
      </c>
      <c r="AG40" t="e">
        <f t="shared" ca="1" si="32"/>
        <v>#NAME?</v>
      </c>
      <c r="AH40" t="e">
        <f t="shared" ca="1" si="33"/>
        <v>#NAME?</v>
      </c>
      <c r="AI40" t="e">
        <f t="shared" ca="1" si="29"/>
        <v>#NAME?</v>
      </c>
      <c r="AJ40" t="e">
        <f t="shared" ca="1" si="30"/>
        <v>#NAME?</v>
      </c>
      <c r="AK40" t="e">
        <f t="shared" ca="1" si="31"/>
        <v>#NAME?</v>
      </c>
    </row>
    <row r="41" spans="1:37" x14ac:dyDescent="0.25">
      <c r="A41" s="15"/>
      <c r="B41" s="15">
        <f>SUM(B31:B40)</f>
        <v>458</v>
      </c>
      <c r="C41" s="15">
        <f>SUM(C31:C40)</f>
        <v>302</v>
      </c>
      <c r="D41" s="15"/>
      <c r="E41">
        <f t="shared" si="18"/>
        <v>850</v>
      </c>
      <c r="F41" s="183">
        <f t="shared" si="19"/>
        <v>10</v>
      </c>
      <c r="G41" s="7">
        <f t="shared" si="20"/>
        <v>41</v>
      </c>
      <c r="H41" s="43">
        <f t="shared" si="21"/>
        <v>51</v>
      </c>
      <c r="I41">
        <f t="shared" si="22"/>
        <v>0.19607843137254902</v>
      </c>
      <c r="J41">
        <f t="shared" si="23"/>
        <v>0.16021756894064951</v>
      </c>
      <c r="K41" s="183">
        <f t="shared" si="24"/>
        <v>8.1710960159731254</v>
      </c>
      <c r="L41" s="43">
        <f t="shared" si="25"/>
        <v>42.828903984026873</v>
      </c>
      <c r="M41">
        <f t="shared" si="26"/>
        <v>-25.471335500515707</v>
      </c>
      <c r="N41">
        <f t="shared" si="27"/>
        <v>80.392156862745097</v>
      </c>
      <c r="O41">
        <f t="shared" si="28"/>
        <v>0.48745520662094172</v>
      </c>
      <c r="S41" t="s">
        <v>661</v>
      </c>
      <c r="T41" s="362">
        <f>1-T33/T32</f>
        <v>0.27438828558021167</v>
      </c>
      <c r="AD41" t="e">
        <f ca="1"/>
        <v>#NAME?</v>
      </c>
      <c r="AE41" t="e">
        <f ca="1"/>
        <v>#NAME?</v>
      </c>
      <c r="AF41" t="e">
        <f ca="1"/>
        <v>#NAME?</v>
      </c>
      <c r="AG41" t="e">
        <f t="shared" ca="1" si="32"/>
        <v>#NAME?</v>
      </c>
      <c r="AH41" t="e">
        <f t="shared" ca="1" si="33"/>
        <v>#NAME?</v>
      </c>
      <c r="AI41" t="e">
        <f t="shared" ca="1" si="29"/>
        <v>#NAME?</v>
      </c>
      <c r="AJ41" t="e">
        <f t="shared" ca="1" si="30"/>
        <v>#NAME?</v>
      </c>
      <c r="AK41" t="e">
        <f t="shared" ca="1" si="31"/>
        <v>#NAME?</v>
      </c>
    </row>
    <row r="42" spans="1:37" x14ac:dyDescent="0.25">
      <c r="E42">
        <f t="shared" si="18"/>
        <v>950</v>
      </c>
      <c r="F42" s="351">
        <f t="shared" si="19"/>
        <v>3</v>
      </c>
      <c r="G42" s="352">
        <f t="shared" si="20"/>
        <v>28</v>
      </c>
      <c r="H42" s="43">
        <f t="shared" si="21"/>
        <v>31</v>
      </c>
      <c r="I42">
        <f t="shared" si="22"/>
        <v>9.6774193548387094E-2</v>
      </c>
      <c r="J42">
        <f t="shared" si="23"/>
        <v>8.4822396670280353E-2</v>
      </c>
      <c r="K42" s="183">
        <f t="shared" si="24"/>
        <v>2.6294942967786907</v>
      </c>
      <c r="L42" s="43">
        <f t="shared" si="25"/>
        <v>28.370505703221308</v>
      </c>
      <c r="M42">
        <f t="shared" si="26"/>
        <v>-9.8834266333171676</v>
      </c>
      <c r="N42">
        <f t="shared" si="27"/>
        <v>90.322580645161281</v>
      </c>
      <c r="O42">
        <f t="shared" si="28"/>
        <v>5.7044289923064956E-2</v>
      </c>
      <c r="S42" t="s">
        <v>662</v>
      </c>
      <c r="T42" s="322">
        <f>1-EXP((-2/H43)*(T33-T32))</f>
        <v>0.3083944910424008</v>
      </c>
      <c r="AD42" t="e">
        <f ca="1"/>
        <v>#NAME?</v>
      </c>
      <c r="AE42" t="e">
        <f ca="1"/>
        <v>#NAME?</v>
      </c>
      <c r="AF42" t="e">
        <f ca="1"/>
        <v>#NAME?</v>
      </c>
      <c r="AG42" t="e">
        <f t="shared" ca="1" si="32"/>
        <v>#NAME?</v>
      </c>
      <c r="AH42" t="e">
        <f t="shared" ca="1" si="33"/>
        <v>#NAME?</v>
      </c>
      <c r="AI42" t="e">
        <f t="shared" ca="1" si="29"/>
        <v>#NAME?</v>
      </c>
      <c r="AJ42" t="e">
        <f t="shared" ca="1" si="30"/>
        <v>#NAME?</v>
      </c>
      <c r="AK42" t="e">
        <f t="shared" ca="1" si="31"/>
        <v>#NAME?</v>
      </c>
    </row>
    <row r="43" spans="1:37" x14ac:dyDescent="0.25">
      <c r="E43" s="4"/>
      <c r="F43" s="4">
        <f>SUM(F33:F42)</f>
        <v>458</v>
      </c>
      <c r="G43" s="4">
        <f>SUM(G33:G42)</f>
        <v>302</v>
      </c>
      <c r="H43" s="361">
        <f>SUM(H33:H42)</f>
        <v>760</v>
      </c>
      <c r="I43" s="361"/>
      <c r="J43" s="361"/>
      <c r="K43" s="4">
        <f>SUM(K33:K42)</f>
        <v>458.02904845996318</v>
      </c>
      <c r="L43" s="4">
        <f>SUM(L33:L42)</f>
        <v>301.97095154003694</v>
      </c>
      <c r="M43" s="361">
        <f>SUM(M33:M42)</f>
        <v>-370.54593104356275</v>
      </c>
      <c r="N43" s="361">
        <f>SUMPRODUCT(N33:N42,H33:H42)/H43</f>
        <v>76.84210526315789</v>
      </c>
      <c r="O43" s="361">
        <f>SUM(O33:O42)</f>
        <v>1.3754511697999374</v>
      </c>
      <c r="S43" t="s">
        <v>663</v>
      </c>
      <c r="T43" s="349">
        <f>T42/(1-EXP(2*T32/H43))</f>
        <v>0.41722109913430327</v>
      </c>
      <c r="AD43" s="354" t="e">
        <f ca="1"/>
        <v>#NAME?</v>
      </c>
      <c r="AE43" s="354" t="e">
        <f ca="1"/>
        <v>#NAME?</v>
      </c>
      <c r="AF43" s="354" t="e">
        <f ca="1"/>
        <v>#NAME?</v>
      </c>
      <c r="AG43" s="354" t="e">
        <f t="shared" ca="1" si="32"/>
        <v>#NAME?</v>
      </c>
      <c r="AH43" s="354" t="e">
        <f t="shared" ca="1" si="33"/>
        <v>#NAME?</v>
      </c>
      <c r="AI43" s="354" t="e">
        <f t="shared" ca="1" si="29"/>
        <v>#NAME?</v>
      </c>
      <c r="AJ43" s="354" t="e">
        <f t="shared" ca="1" si="30"/>
        <v>#NAME?</v>
      </c>
      <c r="AK43" s="354" t="e">
        <f t="shared" ca="1" si="31"/>
        <v>#NAME?</v>
      </c>
    </row>
    <row r="44" spans="1:37" ht="15.75" thickBot="1" x14ac:dyDescent="0.3">
      <c r="AK44" t="e">
        <f ca="1">SUM(AK33:AK43)</f>
        <v>#NAME?</v>
      </c>
    </row>
    <row r="45" spans="1:37" ht="15.75" thickTop="1" x14ac:dyDescent="0.25">
      <c r="E45" s="346"/>
      <c r="F45" s="346" t="s">
        <v>755</v>
      </c>
      <c r="G45" s="346" t="s">
        <v>148</v>
      </c>
      <c r="H45" s="346" t="s">
        <v>756</v>
      </c>
      <c r="I45" s="346" t="s">
        <v>48</v>
      </c>
      <c r="J45" s="346" t="s">
        <v>757</v>
      </c>
      <c r="K45" s="346" t="s">
        <v>15</v>
      </c>
      <c r="L45" s="346" t="s">
        <v>16</v>
      </c>
      <c r="S45" t="s">
        <v>814</v>
      </c>
      <c r="T45" s="362">
        <f>O43</f>
        <v>1.3754511697999374</v>
      </c>
    </row>
    <row r="46" spans="1:37" x14ac:dyDescent="0.25">
      <c r="E46" t="s">
        <v>127</v>
      </c>
      <c r="F46">
        <f t="array" ref="F46:F47">Q34:Q35</f>
        <v>4.4799510679118164</v>
      </c>
      <c r="G46" t="e">
        <f t="array" aca="1" ref="G46:G47" ca="1">SQRT(DIAG(V33:W34))</f>
        <v>#NAME?</v>
      </c>
      <c r="H46" t="e">
        <f ca="1">(F46/G46)^2</f>
        <v>#NAME?</v>
      </c>
      <c r="I46" t="e">
        <f ca="1">CHIDIST(H46,1)</f>
        <v>#NAME?</v>
      </c>
      <c r="J46">
        <f>EXP(F46)</f>
        <v>88.230355274497853</v>
      </c>
      <c r="S46" t="s">
        <v>41</v>
      </c>
      <c r="T46" s="322">
        <f>COUNT(H33:H42)-2</f>
        <v>8</v>
      </c>
    </row>
    <row r="47" spans="1:37" x14ac:dyDescent="0.25">
      <c r="E47" s="354" t="str">
        <f t="array" ref="E47">TRANSPOSE(E32)</f>
        <v>Rems</v>
      </c>
      <c r="F47" s="354">
        <v>-7.2194837860498247E-3</v>
      </c>
      <c r="G47" s="354" t="e">
        <f ca="1"/>
        <v>#NAME?</v>
      </c>
      <c r="H47" s="354" t="e">
        <f ca="1">(F47/G47)^2</f>
        <v>#NAME?</v>
      </c>
      <c r="I47" s="354" t="e">
        <f ca="1">CHIDIST(H47,1)</f>
        <v>#NAME?</v>
      </c>
      <c r="J47" s="354">
        <f>EXP(F47)</f>
        <v>0.99280651408565923</v>
      </c>
      <c r="K47" s="354" t="e">
        <f ca="1">EXP(F47-G47*NORMSINV(1-$T$38/2))</f>
        <v>#NAME?</v>
      </c>
      <c r="L47" s="354" t="e">
        <f ca="1">EXP(F47+G47*NORMSINV(1-$T$38/2))</f>
        <v>#NAME?</v>
      </c>
      <c r="S47" t="s">
        <v>48</v>
      </c>
      <c r="T47" s="322">
        <f>CHIDIST(T45,T46)</f>
        <v>0.9945880046597233</v>
      </c>
    </row>
    <row r="48" spans="1:37" x14ac:dyDescent="0.25">
      <c r="S48" t="s">
        <v>70</v>
      </c>
      <c r="T48" s="322">
        <f>T38</f>
        <v>0.05</v>
      </c>
    </row>
    <row r="49" spans="5:20" x14ac:dyDescent="0.25">
      <c r="S49" t="s">
        <v>164</v>
      </c>
      <c r="T49" s="350" t="str">
        <f>IF(T47&lt;T48,"yes","no")</f>
        <v>no</v>
      </c>
    </row>
    <row r="50" spans="5:20" x14ac:dyDescent="0.25">
      <c r="E50" t="s">
        <v>758</v>
      </c>
    </row>
    <row r="51" spans="5:20" x14ac:dyDescent="0.25">
      <c r="E51" t="s">
        <v>759</v>
      </c>
    </row>
    <row r="52" spans="5:20" x14ac:dyDescent="0.25">
      <c r="E52" t="s">
        <v>760</v>
      </c>
    </row>
    <row r="53" spans="5:20" x14ac:dyDescent="0.25">
      <c r="E53" t="s">
        <v>761</v>
      </c>
    </row>
    <row r="54" spans="5:20" x14ac:dyDescent="0.25">
      <c r="E54" t="s">
        <v>762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AY30"/>
  <sheetViews>
    <sheetView zoomScaleNormal="100" workbookViewId="0"/>
  </sheetViews>
  <sheetFormatPr defaultColWidth="9.140625" defaultRowHeight="15" x14ac:dyDescent="0.25"/>
  <cols>
    <col min="1" max="1" width="9.140625" style="15"/>
    <col min="2" max="2" width="8.85546875" style="15" customWidth="1"/>
    <col min="3" max="3" width="9.140625" style="15"/>
    <col min="4" max="4" width="5.5703125" style="15" customWidth="1"/>
    <col min="5" max="6" width="9.140625" style="15"/>
    <col min="7" max="8" width="9.140625" style="15" customWidth="1"/>
    <col min="9" max="9" width="7.7109375" style="15" customWidth="1"/>
    <col min="10" max="11" width="8.7109375" style="15" customWidth="1"/>
    <col min="12" max="12" width="4" style="15" customWidth="1"/>
    <col min="13" max="14" width="9.140625" style="15"/>
    <col min="15" max="16" width="9.140625" style="15" customWidth="1"/>
    <col min="17" max="17" width="7.7109375" style="15" customWidth="1"/>
    <col min="18" max="19" width="8.7109375" style="15" customWidth="1"/>
    <col min="20" max="20" width="4" style="15" customWidth="1"/>
    <col min="21" max="22" width="9.140625" style="15"/>
    <col min="23" max="24" width="9.140625" style="15" customWidth="1"/>
    <col min="25" max="25" width="7.7109375" style="15" customWidth="1"/>
    <col min="26" max="27" width="8.7109375" style="15" customWidth="1"/>
    <col min="28" max="28" width="4.140625" style="15" customWidth="1"/>
    <col min="29" max="30" width="9.140625" style="15"/>
    <col min="31" max="32" width="9.140625" style="15" customWidth="1"/>
    <col min="33" max="33" width="7.7109375" style="15" customWidth="1"/>
    <col min="34" max="35" width="8.7109375" style="15" customWidth="1"/>
    <col min="36" max="36" width="4.140625" style="15" customWidth="1"/>
    <col min="37" max="38" width="9.140625" style="15"/>
    <col min="39" max="40" width="9.140625" style="15" customWidth="1"/>
    <col min="41" max="41" width="7.7109375" style="15" customWidth="1"/>
    <col min="42" max="43" width="8.7109375" style="15" customWidth="1"/>
    <col min="44" max="44" width="4.42578125" style="15" customWidth="1"/>
    <col min="45" max="46" width="9.140625" style="15"/>
    <col min="47" max="48" width="9.140625" style="15" customWidth="1"/>
    <col min="49" max="49" width="7.7109375" style="15" customWidth="1"/>
    <col min="50" max="51" width="8.7109375" style="15" customWidth="1"/>
    <col min="52" max="55" width="9.140625" style="15"/>
    <col min="56" max="56" width="4.42578125" style="15" customWidth="1"/>
    <col min="57" max="60" width="9.140625" style="15"/>
    <col min="61" max="61" width="4" style="15" customWidth="1"/>
    <col min="62" max="16384" width="9.140625" style="15"/>
  </cols>
  <sheetData>
    <row r="1" spans="1:51" x14ac:dyDescent="0.25">
      <c r="A1" s="1" t="s">
        <v>766</v>
      </c>
      <c r="F1" s="15" t="s">
        <v>765</v>
      </c>
      <c r="N1" s="15" t="s">
        <v>767</v>
      </c>
      <c r="V1" s="15" t="s">
        <v>768</v>
      </c>
      <c r="AD1" s="15" t="s">
        <v>769</v>
      </c>
      <c r="AL1" s="15" t="s">
        <v>770</v>
      </c>
      <c r="AT1" s="15" t="s">
        <v>771</v>
      </c>
    </row>
    <row r="3" spans="1:51" s="294" customFormat="1" x14ac:dyDescent="0.25">
      <c r="A3" s="294" t="s">
        <v>651</v>
      </c>
      <c r="B3" s="294" t="s">
        <v>619</v>
      </c>
      <c r="C3" s="294" t="s">
        <v>620</v>
      </c>
      <c r="E3" s="294" t="s">
        <v>4</v>
      </c>
      <c r="F3" s="326" t="s">
        <v>105</v>
      </c>
      <c r="G3" s="326" t="s">
        <v>67</v>
      </c>
      <c r="H3" s="326" t="s">
        <v>626</v>
      </c>
      <c r="J3" s="59" t="s">
        <v>660</v>
      </c>
      <c r="K3" s="15"/>
      <c r="L3" s="15"/>
      <c r="M3" s="294" t="s">
        <v>4</v>
      </c>
      <c r="N3" s="326" t="s">
        <v>105</v>
      </c>
      <c r="O3" s="326" t="s">
        <v>67</v>
      </c>
      <c r="P3" s="326" t="s">
        <v>626</v>
      </c>
      <c r="R3" s="59" t="s">
        <v>660</v>
      </c>
      <c r="S3" s="15"/>
      <c r="U3" s="294" t="s">
        <v>4</v>
      </c>
      <c r="V3" s="326" t="s">
        <v>105</v>
      </c>
      <c r="W3" s="326" t="s">
        <v>67</v>
      </c>
      <c r="X3" s="326" t="s">
        <v>626</v>
      </c>
      <c r="Z3" s="59" t="s">
        <v>660</v>
      </c>
      <c r="AA3" s="15"/>
      <c r="AC3" s="294" t="s">
        <v>4</v>
      </c>
      <c r="AD3" s="326" t="s">
        <v>105</v>
      </c>
      <c r="AE3" s="326" t="s">
        <v>67</v>
      </c>
      <c r="AF3" s="326" t="s">
        <v>626</v>
      </c>
      <c r="AH3" s="59" t="s">
        <v>660</v>
      </c>
      <c r="AI3" s="15"/>
      <c r="AK3" s="294" t="s">
        <v>4</v>
      </c>
      <c r="AL3" s="326" t="s">
        <v>105</v>
      </c>
      <c r="AM3" s="326" t="s">
        <v>67</v>
      </c>
      <c r="AN3" s="326" t="s">
        <v>626</v>
      </c>
      <c r="AP3" s="59" t="s">
        <v>660</v>
      </c>
      <c r="AQ3" s="15"/>
      <c r="AS3" s="294" t="s">
        <v>4</v>
      </c>
      <c r="AT3" s="326" t="s">
        <v>105</v>
      </c>
      <c r="AU3" s="326" t="s">
        <v>67</v>
      </c>
      <c r="AV3" s="326" t="s">
        <v>626</v>
      </c>
      <c r="AX3" s="59" t="s">
        <v>660</v>
      </c>
      <c r="AY3" s="15"/>
    </row>
    <row r="4" spans="1:51" x14ac:dyDescent="0.25">
      <c r="A4" s="295">
        <v>50</v>
      </c>
      <c r="B4" s="296">
        <v>21</v>
      </c>
      <c r="C4" s="297">
        <v>0</v>
      </c>
      <c r="E4" s="294">
        <f>A4</f>
        <v>50</v>
      </c>
      <c r="F4" s="302">
        <f>B4/(B4+C4)</f>
        <v>1</v>
      </c>
      <c r="G4" s="331">
        <f>1/(1+EXP(-J$5-J$6*E4))</f>
        <v>0.5</v>
      </c>
      <c r="H4" s="303">
        <f>($B4+$C4)*(F4*LN(G4)+(1-F4)*LN(1-G4))</f>
        <v>-14.556090791758852</v>
      </c>
      <c r="M4" s="294">
        <f>E4</f>
        <v>50</v>
      </c>
      <c r="N4" s="302">
        <f>F4</f>
        <v>1</v>
      </c>
      <c r="O4" s="331" t="e">
        <f ca="1">1/(1+EXP(-R$5-R$6*M4))</f>
        <v>#NAME?</v>
      </c>
      <c r="P4" s="303" t="e">
        <f ca="1">($B4+$C4)*(N4*LN(O4)+(1-N4)*LN(1-O4))</f>
        <v>#NAME?</v>
      </c>
      <c r="U4" s="294">
        <f>M4</f>
        <v>50</v>
      </c>
      <c r="V4" s="302">
        <f>N4</f>
        <v>1</v>
      </c>
      <c r="W4" s="331" t="e">
        <f ca="1">1/(1+EXP(-Z$5-Z$6*U4))</f>
        <v>#NAME?</v>
      </c>
      <c r="X4" s="303" t="e">
        <f ca="1">($B4+$C4)*(V4*LN(W4)+(1-V4)*LN(1-W4))</f>
        <v>#NAME?</v>
      </c>
      <c r="AC4" s="294">
        <f>U4</f>
        <v>50</v>
      </c>
      <c r="AD4" s="302">
        <f>V4</f>
        <v>1</v>
      </c>
      <c r="AE4" s="331" t="e">
        <f ca="1">1/(1+EXP(-AH$5-AH$6*AC4))</f>
        <v>#NAME?</v>
      </c>
      <c r="AF4" s="303" t="e">
        <f ca="1">($B4+$C4)*(AD4*LN(AE4)+(1-AD4)*LN(1-AE4))</f>
        <v>#NAME?</v>
      </c>
      <c r="AK4" s="294">
        <f>AC4</f>
        <v>50</v>
      </c>
      <c r="AL4" s="302">
        <f>AD4</f>
        <v>1</v>
      </c>
      <c r="AM4" s="331" t="e">
        <f ca="1">1/(1+EXP(-AP$5-AP$6*AK4))</f>
        <v>#NAME?</v>
      </c>
      <c r="AN4" s="303" t="e">
        <f ca="1">($B4+$C4)*(AL4*LN(AM4)+(1-AL4)*LN(1-AM4))</f>
        <v>#NAME?</v>
      </c>
      <c r="AS4" s="294">
        <f>AK4</f>
        <v>50</v>
      </c>
      <c r="AT4" s="302">
        <f>AL4</f>
        <v>1</v>
      </c>
      <c r="AU4" s="331" t="e">
        <f ca="1">1/(1+EXP(-AX$5-AX$6*AS4))</f>
        <v>#NAME?</v>
      </c>
      <c r="AV4" s="303" t="e">
        <f ca="1">($B4+$C4)*(AT4*LN(AU4)+(1-AT4)*LN(1-AU4))</f>
        <v>#NAME?</v>
      </c>
    </row>
    <row r="5" spans="1:51" x14ac:dyDescent="0.25">
      <c r="A5" s="295">
        <f>A4+100</f>
        <v>150</v>
      </c>
      <c r="B5" s="255">
        <v>29</v>
      </c>
      <c r="C5" s="177">
        <v>1</v>
      </c>
      <c r="E5" s="294">
        <f t="shared" ref="E5:E13" si="0">A5</f>
        <v>150</v>
      </c>
      <c r="F5" s="304">
        <f t="shared" ref="F5:F13" si="1">B5/(B5+C5)</f>
        <v>0.96666666666666667</v>
      </c>
      <c r="G5" s="300">
        <f t="shared" ref="G5:G13" si="2">1/(1+EXP(-J$5-J$6*E5))</f>
        <v>0.5</v>
      </c>
      <c r="H5" s="299">
        <f t="shared" ref="H5:H13" si="3">($B5+$C5)*(F5*LN(G5)+(1-F5)*LN(1-G5))</f>
        <v>-20.794415416798358</v>
      </c>
      <c r="J5" s="264">
        <v>0</v>
      </c>
      <c r="M5" s="294">
        <f t="shared" ref="M5:M13" si="4">E5</f>
        <v>150</v>
      </c>
      <c r="N5" s="304">
        <f t="shared" ref="N5:N13" si="5">F5</f>
        <v>0.96666666666666667</v>
      </c>
      <c r="O5" s="300" t="e">
        <f t="shared" ref="O5:O13" ca="1" si="6">1/(1+EXP(-R$5-R$6*M5))</f>
        <v>#NAME?</v>
      </c>
      <c r="P5" s="299" t="e">
        <f t="shared" ref="P5:P13" ca="1" si="7">($B5+$C5)*(N5*LN(O5)+(1-N5)*LN(1-O5))</f>
        <v>#NAME?</v>
      </c>
      <c r="R5" s="264" t="e">
        <f t="array" ref="R5:R6" ca="1">J5:J6+J13:J14</f>
        <v>#NAME?</v>
      </c>
      <c r="U5" s="294">
        <f t="shared" ref="U5:U13" si="8">M5</f>
        <v>150</v>
      </c>
      <c r="V5" s="304">
        <f t="shared" ref="V5:V13" si="9">N5</f>
        <v>0.96666666666666667</v>
      </c>
      <c r="W5" s="300" t="e">
        <f t="shared" ref="W5:W13" ca="1" si="10">1/(1+EXP(-Z$5-Z$6*U5))</f>
        <v>#NAME?</v>
      </c>
      <c r="X5" s="299" t="e">
        <f t="shared" ref="X5:X13" ca="1" si="11">($B5+$C5)*(V5*LN(W5)+(1-V5)*LN(1-W5))</f>
        <v>#NAME?</v>
      </c>
      <c r="Z5" s="264" t="e">
        <f t="array" ref="Z5:Z6" ca="1">R5:R6+R13:R14</f>
        <v>#NAME?</v>
      </c>
      <c r="AC5" s="294">
        <f t="shared" ref="AC5:AC13" si="12">U5</f>
        <v>150</v>
      </c>
      <c r="AD5" s="304">
        <f t="shared" ref="AD5:AD13" si="13">V5</f>
        <v>0.96666666666666667</v>
      </c>
      <c r="AE5" s="300" t="e">
        <f t="shared" ref="AE5:AE13" ca="1" si="14">1/(1+EXP(-AH$5-AH$6*AC5))</f>
        <v>#NAME?</v>
      </c>
      <c r="AF5" s="299" t="e">
        <f t="shared" ref="AF5:AF13" ca="1" si="15">($B5+$C5)*(AD5*LN(AE5)+(1-AD5)*LN(1-AE5))</f>
        <v>#NAME?</v>
      </c>
      <c r="AH5" s="264" t="e">
        <f t="array" ref="AH5:AH6" ca="1">Z5:Z6+Z13:Z14</f>
        <v>#NAME?</v>
      </c>
      <c r="AK5" s="294">
        <f t="shared" ref="AK5:AK13" si="16">AC5</f>
        <v>150</v>
      </c>
      <c r="AL5" s="304">
        <f t="shared" ref="AL5:AL13" si="17">AD5</f>
        <v>0.96666666666666667</v>
      </c>
      <c r="AM5" s="300" t="e">
        <f t="shared" ref="AM5:AM13" ca="1" si="18">1/(1+EXP(-AP$5-AP$6*AK5))</f>
        <v>#NAME?</v>
      </c>
      <c r="AN5" s="299" t="e">
        <f t="shared" ref="AN5:AN13" ca="1" si="19">($B5+$C5)*(AL5*LN(AM5)+(1-AL5)*LN(1-AM5))</f>
        <v>#NAME?</v>
      </c>
      <c r="AP5" s="264" t="e">
        <f t="array" ref="AP5:AP6" ca="1">AH5:AH6+AH13:AH14</f>
        <v>#NAME?</v>
      </c>
      <c r="AS5" s="294">
        <f t="shared" ref="AS5:AS13" si="20">AK5</f>
        <v>150</v>
      </c>
      <c r="AT5" s="304">
        <f t="shared" ref="AT5:AT13" si="21">AL5</f>
        <v>0.96666666666666667</v>
      </c>
      <c r="AU5" s="300" t="e">
        <f t="shared" ref="AU5:AU13" ca="1" si="22">1/(1+EXP(-AX$5-AX$6*AS5))</f>
        <v>#NAME?</v>
      </c>
      <c r="AV5" s="299" t="e">
        <f t="shared" ref="AV5:AV13" ca="1" si="23">($B5+$C5)*(AT5*LN(AU5)+(1-AT5)*LN(1-AU5))</f>
        <v>#NAME?</v>
      </c>
      <c r="AX5" s="264" t="e">
        <f t="array" ref="AX5:AX6" ca="1">AP5:AP6+AP13:AP14</f>
        <v>#NAME?</v>
      </c>
    </row>
    <row r="6" spans="1:51" x14ac:dyDescent="0.25">
      <c r="A6" s="295">
        <f t="shared" ref="A6:A13" si="24">A5+100</f>
        <v>250</v>
      </c>
      <c r="B6" s="255">
        <v>87</v>
      </c>
      <c r="C6" s="177">
        <v>6</v>
      </c>
      <c r="E6" s="294">
        <f t="shared" si="0"/>
        <v>250</v>
      </c>
      <c r="F6" s="304">
        <f t="shared" si="1"/>
        <v>0.93548387096774188</v>
      </c>
      <c r="G6" s="300">
        <f t="shared" si="2"/>
        <v>0.5</v>
      </c>
      <c r="H6" s="299">
        <f t="shared" si="3"/>
        <v>-64.462687792074917</v>
      </c>
      <c r="J6" s="266">
        <v>0</v>
      </c>
      <c r="M6" s="294">
        <f t="shared" si="4"/>
        <v>250</v>
      </c>
      <c r="N6" s="304">
        <f t="shared" si="5"/>
        <v>0.93548387096774188</v>
      </c>
      <c r="O6" s="300" t="e">
        <f t="shared" ca="1" si="6"/>
        <v>#NAME?</v>
      </c>
      <c r="P6" s="299" t="e">
        <f t="shared" ca="1" si="7"/>
        <v>#NAME?</v>
      </c>
      <c r="R6" s="266" t="e">
        <f ca="1"/>
        <v>#NAME?</v>
      </c>
      <c r="U6" s="294">
        <f t="shared" si="8"/>
        <v>250</v>
      </c>
      <c r="V6" s="304">
        <f t="shared" si="9"/>
        <v>0.93548387096774188</v>
      </c>
      <c r="W6" s="300" t="e">
        <f t="shared" ca="1" si="10"/>
        <v>#NAME?</v>
      </c>
      <c r="X6" s="299" t="e">
        <f t="shared" ca="1" si="11"/>
        <v>#NAME?</v>
      </c>
      <c r="Z6" s="266" t="e">
        <f ca="1"/>
        <v>#NAME?</v>
      </c>
      <c r="AC6" s="294">
        <f t="shared" si="12"/>
        <v>250</v>
      </c>
      <c r="AD6" s="304">
        <f t="shared" si="13"/>
        <v>0.93548387096774188</v>
      </c>
      <c r="AE6" s="300" t="e">
        <f t="shared" ca="1" si="14"/>
        <v>#NAME?</v>
      </c>
      <c r="AF6" s="299" t="e">
        <f t="shared" ca="1" si="15"/>
        <v>#NAME?</v>
      </c>
      <c r="AH6" s="266" t="e">
        <f ca="1"/>
        <v>#NAME?</v>
      </c>
      <c r="AK6" s="294">
        <f t="shared" si="16"/>
        <v>250</v>
      </c>
      <c r="AL6" s="304">
        <f t="shared" si="17"/>
        <v>0.93548387096774188</v>
      </c>
      <c r="AM6" s="300" t="e">
        <f t="shared" ca="1" si="18"/>
        <v>#NAME?</v>
      </c>
      <c r="AN6" s="299" t="e">
        <f t="shared" ca="1" si="19"/>
        <v>#NAME?</v>
      </c>
      <c r="AP6" s="266" t="e">
        <f ca="1"/>
        <v>#NAME?</v>
      </c>
      <c r="AS6" s="294">
        <f t="shared" si="20"/>
        <v>250</v>
      </c>
      <c r="AT6" s="304">
        <f t="shared" si="21"/>
        <v>0.93548387096774188</v>
      </c>
      <c r="AU6" s="300" t="e">
        <f t="shared" ca="1" si="22"/>
        <v>#NAME?</v>
      </c>
      <c r="AV6" s="299" t="e">
        <f t="shared" ca="1" si="23"/>
        <v>#NAME?</v>
      </c>
      <c r="AX6" s="266" t="e">
        <f ca="1"/>
        <v>#NAME?</v>
      </c>
    </row>
    <row r="7" spans="1:51" x14ac:dyDescent="0.25">
      <c r="A7" s="295">
        <f t="shared" si="24"/>
        <v>350</v>
      </c>
      <c r="B7" s="255">
        <v>75</v>
      </c>
      <c r="C7" s="177">
        <v>11</v>
      </c>
      <c r="E7" s="294">
        <f t="shared" si="0"/>
        <v>350</v>
      </c>
      <c r="F7" s="304">
        <f t="shared" si="1"/>
        <v>0.87209302325581395</v>
      </c>
      <c r="G7" s="300">
        <f t="shared" si="2"/>
        <v>0.5</v>
      </c>
      <c r="H7" s="299">
        <f t="shared" si="3"/>
        <v>-59.610657528155294</v>
      </c>
      <c r="M7" s="294">
        <f t="shared" si="4"/>
        <v>350</v>
      </c>
      <c r="N7" s="304">
        <f t="shared" si="5"/>
        <v>0.87209302325581395</v>
      </c>
      <c r="O7" s="300" t="e">
        <f t="shared" ca="1" si="6"/>
        <v>#NAME?</v>
      </c>
      <c r="P7" s="299" t="e">
        <f t="shared" ca="1" si="7"/>
        <v>#NAME?</v>
      </c>
      <c r="U7" s="294">
        <f t="shared" si="8"/>
        <v>350</v>
      </c>
      <c r="V7" s="304">
        <f t="shared" si="9"/>
        <v>0.87209302325581395</v>
      </c>
      <c r="W7" s="300" t="e">
        <f t="shared" ca="1" si="10"/>
        <v>#NAME?</v>
      </c>
      <c r="X7" s="299" t="e">
        <f t="shared" ca="1" si="11"/>
        <v>#NAME?</v>
      </c>
      <c r="AC7" s="294">
        <f t="shared" si="12"/>
        <v>350</v>
      </c>
      <c r="AD7" s="304">
        <f t="shared" si="13"/>
        <v>0.87209302325581395</v>
      </c>
      <c r="AE7" s="300" t="e">
        <f t="shared" ca="1" si="14"/>
        <v>#NAME?</v>
      </c>
      <c r="AF7" s="299" t="e">
        <f t="shared" ca="1" si="15"/>
        <v>#NAME?</v>
      </c>
      <c r="AK7" s="294">
        <f t="shared" si="16"/>
        <v>350</v>
      </c>
      <c r="AL7" s="304">
        <f t="shared" si="17"/>
        <v>0.87209302325581395</v>
      </c>
      <c r="AM7" s="300" t="e">
        <f t="shared" ca="1" si="18"/>
        <v>#NAME?</v>
      </c>
      <c r="AN7" s="299" t="e">
        <f t="shared" ca="1" si="19"/>
        <v>#NAME?</v>
      </c>
      <c r="AS7" s="294">
        <f t="shared" si="20"/>
        <v>350</v>
      </c>
      <c r="AT7" s="304">
        <f t="shared" si="21"/>
        <v>0.87209302325581395</v>
      </c>
      <c r="AU7" s="300" t="e">
        <f t="shared" ca="1" si="22"/>
        <v>#NAME?</v>
      </c>
      <c r="AV7" s="299" t="e">
        <f t="shared" ca="1" si="23"/>
        <v>#NAME?</v>
      </c>
    </row>
    <row r="8" spans="1:51" x14ac:dyDescent="0.25">
      <c r="A8" s="295">
        <f t="shared" si="24"/>
        <v>450</v>
      </c>
      <c r="B8" s="255">
        <v>85</v>
      </c>
      <c r="C8" s="177">
        <v>23</v>
      </c>
      <c r="E8" s="294">
        <f t="shared" si="0"/>
        <v>450</v>
      </c>
      <c r="F8" s="304">
        <f t="shared" si="1"/>
        <v>0.78703703703703709</v>
      </c>
      <c r="G8" s="300">
        <f t="shared" si="2"/>
        <v>0.5</v>
      </c>
      <c r="H8" s="299">
        <f t="shared" si="3"/>
        <v>-74.859895500474096</v>
      </c>
      <c r="J8" s="15" t="s">
        <v>754</v>
      </c>
      <c r="M8" s="294">
        <f t="shared" si="4"/>
        <v>450</v>
      </c>
      <c r="N8" s="304">
        <f t="shared" si="5"/>
        <v>0.78703703703703709</v>
      </c>
      <c r="O8" s="300" t="e">
        <f t="shared" ca="1" si="6"/>
        <v>#NAME?</v>
      </c>
      <c r="P8" s="299" t="e">
        <f t="shared" ca="1" si="7"/>
        <v>#NAME?</v>
      </c>
      <c r="R8" s="15" t="s">
        <v>754</v>
      </c>
      <c r="U8" s="294">
        <f t="shared" si="8"/>
        <v>450</v>
      </c>
      <c r="V8" s="304">
        <f t="shared" si="9"/>
        <v>0.78703703703703709</v>
      </c>
      <c r="W8" s="300" t="e">
        <f t="shared" ca="1" si="10"/>
        <v>#NAME?</v>
      </c>
      <c r="X8" s="299" t="e">
        <f t="shared" ca="1" si="11"/>
        <v>#NAME?</v>
      </c>
      <c r="Z8" s="15" t="s">
        <v>754</v>
      </c>
      <c r="AC8" s="294">
        <f t="shared" si="12"/>
        <v>450</v>
      </c>
      <c r="AD8" s="304">
        <f t="shared" si="13"/>
        <v>0.78703703703703709</v>
      </c>
      <c r="AE8" s="300" t="e">
        <f t="shared" ca="1" si="14"/>
        <v>#NAME?</v>
      </c>
      <c r="AF8" s="299" t="e">
        <f t="shared" ca="1" si="15"/>
        <v>#NAME?</v>
      </c>
      <c r="AH8" s="15" t="s">
        <v>754</v>
      </c>
      <c r="AK8" s="294">
        <f t="shared" si="16"/>
        <v>450</v>
      </c>
      <c r="AL8" s="304">
        <f t="shared" si="17"/>
        <v>0.78703703703703709</v>
      </c>
      <c r="AM8" s="300" t="e">
        <f t="shared" ca="1" si="18"/>
        <v>#NAME?</v>
      </c>
      <c r="AN8" s="299" t="e">
        <f t="shared" ca="1" si="19"/>
        <v>#NAME?</v>
      </c>
      <c r="AP8" s="15" t="s">
        <v>754</v>
      </c>
      <c r="AS8" s="294">
        <f t="shared" si="20"/>
        <v>450</v>
      </c>
      <c r="AT8" s="304">
        <f t="shared" si="21"/>
        <v>0.78703703703703709</v>
      </c>
      <c r="AU8" s="300" t="e">
        <f t="shared" ca="1" si="22"/>
        <v>#NAME?</v>
      </c>
      <c r="AV8" s="299" t="e">
        <f t="shared" ca="1" si="23"/>
        <v>#NAME?</v>
      </c>
      <c r="AX8" s="15" t="s">
        <v>754</v>
      </c>
    </row>
    <row r="9" spans="1:51" x14ac:dyDescent="0.25">
      <c r="A9" s="295">
        <f t="shared" si="24"/>
        <v>550</v>
      </c>
      <c r="B9" s="255">
        <v>64</v>
      </c>
      <c r="C9" s="177">
        <v>38</v>
      </c>
      <c r="E9" s="294">
        <f t="shared" si="0"/>
        <v>550</v>
      </c>
      <c r="F9" s="304">
        <f t="shared" si="1"/>
        <v>0.62745098039215685</v>
      </c>
      <c r="G9" s="300">
        <f t="shared" si="2"/>
        <v>0.5</v>
      </c>
      <c r="H9" s="299">
        <f t="shared" si="3"/>
        <v>-70.701012417114413</v>
      </c>
      <c r="J9" s="313" t="e">
        <f t="array" aca="1" ref="J9:K10" ca="1">MINVERSE(MMULT(TRANSPOSE(DESIGN(E4:E13)),MMULT(DIAGONAL(G4:G13*(1-G4:G13)*($B$4:$B$13+$C$4:$C$13)),DESIGN(E4:E13))))</f>
        <v>#NAME?</v>
      </c>
      <c r="K9" s="314" t="e">
        <f ca="1"/>
        <v>#NAME?</v>
      </c>
      <c r="M9" s="294">
        <f t="shared" si="4"/>
        <v>550</v>
      </c>
      <c r="N9" s="304">
        <f t="shared" si="5"/>
        <v>0.62745098039215685</v>
      </c>
      <c r="O9" s="300" t="e">
        <f t="shared" ca="1" si="6"/>
        <v>#NAME?</v>
      </c>
      <c r="P9" s="299" t="e">
        <f t="shared" ca="1" si="7"/>
        <v>#NAME?</v>
      </c>
      <c r="R9" s="313" t="e">
        <f t="array" aca="1" ref="R9:S10" ca="1">MINVERSE(MMULT(TRANSPOSE(DESIGN(M4:M13)*O4:O13*(1-O4:O13)*($B$4:$B$13+$C$4:$C$13)),DESIGN(M4:M13)))</f>
        <v>#NAME?</v>
      </c>
      <c r="S9" s="314" t="e">
        <f ca="1"/>
        <v>#NAME?</v>
      </c>
      <c r="U9" s="294">
        <f t="shared" si="8"/>
        <v>550</v>
      </c>
      <c r="V9" s="304">
        <f t="shared" si="9"/>
        <v>0.62745098039215685</v>
      </c>
      <c r="W9" s="300" t="e">
        <f t="shared" ca="1" si="10"/>
        <v>#NAME?</v>
      </c>
      <c r="X9" s="299" t="e">
        <f t="shared" ca="1" si="11"/>
        <v>#NAME?</v>
      </c>
      <c r="Z9" s="313" t="e">
        <f t="array" aca="1" ref="Z9:AA10" ca="1">MINVERSE(MMULT(TRANSPOSE(DESIGN(U4:U13)*W4:W13*(1-W4:W13)*($B$4:$B$13+$C$4:$C$13)),DESIGN(U4:U13)))</f>
        <v>#NAME?</v>
      </c>
      <c r="AA9" s="314" t="e">
        <f ca="1"/>
        <v>#NAME?</v>
      </c>
      <c r="AC9" s="294">
        <f t="shared" si="12"/>
        <v>550</v>
      </c>
      <c r="AD9" s="304">
        <f t="shared" si="13"/>
        <v>0.62745098039215685</v>
      </c>
      <c r="AE9" s="300" t="e">
        <f t="shared" ca="1" si="14"/>
        <v>#NAME?</v>
      </c>
      <c r="AF9" s="299" t="e">
        <f t="shared" ca="1" si="15"/>
        <v>#NAME?</v>
      </c>
      <c r="AH9" s="313" t="e">
        <f t="array" aca="1" ref="AH9:AI10" ca="1">MINVERSE(MMULT(TRANSPOSE(DESIGN(AC4:AC13)*AE4:AE13*(1-AE4:AE13)*($B$4:$B$13+$C$4:$C$13)),DESIGN(AC4:AC13)))</f>
        <v>#NAME?</v>
      </c>
      <c r="AI9" s="314" t="e">
        <f ca="1"/>
        <v>#NAME?</v>
      </c>
      <c r="AK9" s="294">
        <f t="shared" si="16"/>
        <v>550</v>
      </c>
      <c r="AL9" s="304">
        <f t="shared" si="17"/>
        <v>0.62745098039215685</v>
      </c>
      <c r="AM9" s="300" t="e">
        <f t="shared" ca="1" si="18"/>
        <v>#NAME?</v>
      </c>
      <c r="AN9" s="299" t="e">
        <f t="shared" ca="1" si="19"/>
        <v>#NAME?</v>
      </c>
      <c r="AP9" s="313" t="e">
        <f t="array" aca="1" ref="AP9:AQ10" ca="1">MINVERSE(MMULT(TRANSPOSE(DESIGN(AK4:AK13)*AM4:AM13*(1-AM4:AM13)*($B$4:$B$13+$C$4:$C$13)),DESIGN(AK4:AK13)))</f>
        <v>#NAME?</v>
      </c>
      <c r="AQ9" s="314" t="e">
        <f ca="1"/>
        <v>#NAME?</v>
      </c>
      <c r="AS9" s="294">
        <f t="shared" si="20"/>
        <v>550</v>
      </c>
      <c r="AT9" s="304">
        <f t="shared" si="21"/>
        <v>0.62745098039215685</v>
      </c>
      <c r="AU9" s="300" t="e">
        <f t="shared" ca="1" si="22"/>
        <v>#NAME?</v>
      </c>
      <c r="AV9" s="299" t="e">
        <f t="shared" ca="1" si="23"/>
        <v>#NAME?</v>
      </c>
      <c r="AX9" s="313" t="e">
        <f t="array" aca="1" ref="AX9:AY10" ca="1">MINVERSE(MMULT(TRANSPOSE(DESIGN(AS4:AS13)*AU4:AU13*(1-AU4:AU13)*($B$4:$B$13+$C$4:$C$13)),DESIGN(AS4:AS13)))</f>
        <v>#NAME?</v>
      </c>
      <c r="AY9" s="314" t="e">
        <f ca="1"/>
        <v>#NAME?</v>
      </c>
    </row>
    <row r="10" spans="1:51" x14ac:dyDescent="0.25">
      <c r="A10" s="295">
        <f t="shared" si="24"/>
        <v>650</v>
      </c>
      <c r="B10" s="255">
        <v>53</v>
      </c>
      <c r="C10" s="177">
        <v>73</v>
      </c>
      <c r="E10" s="294">
        <f t="shared" si="0"/>
        <v>650</v>
      </c>
      <c r="F10" s="304">
        <f t="shared" si="1"/>
        <v>0.42063492063492064</v>
      </c>
      <c r="G10" s="300">
        <f t="shared" si="2"/>
        <v>0.5</v>
      </c>
      <c r="H10" s="299">
        <f t="shared" si="3"/>
        <v>-87.336544750553088</v>
      </c>
      <c r="J10" s="178" t="e">
        <f ca="1"/>
        <v>#NAME?</v>
      </c>
      <c r="K10" s="179" t="e">
        <f ca="1"/>
        <v>#NAME?</v>
      </c>
      <c r="M10" s="294">
        <f t="shared" si="4"/>
        <v>650</v>
      </c>
      <c r="N10" s="304">
        <f t="shared" si="5"/>
        <v>0.42063492063492064</v>
      </c>
      <c r="O10" s="300" t="e">
        <f t="shared" ca="1" si="6"/>
        <v>#NAME?</v>
      </c>
      <c r="P10" s="299" t="e">
        <f t="shared" ca="1" si="7"/>
        <v>#NAME?</v>
      </c>
      <c r="R10" s="178" t="e">
        <f ca="1"/>
        <v>#NAME?</v>
      </c>
      <c r="S10" s="179" t="e">
        <f ca="1"/>
        <v>#NAME?</v>
      </c>
      <c r="U10" s="294">
        <f t="shared" si="8"/>
        <v>650</v>
      </c>
      <c r="V10" s="304">
        <f t="shared" si="9"/>
        <v>0.42063492063492064</v>
      </c>
      <c r="W10" s="300" t="e">
        <f t="shared" ca="1" si="10"/>
        <v>#NAME?</v>
      </c>
      <c r="X10" s="299" t="e">
        <f t="shared" ca="1" si="11"/>
        <v>#NAME?</v>
      </c>
      <c r="Z10" s="178" t="e">
        <f ca="1"/>
        <v>#NAME?</v>
      </c>
      <c r="AA10" s="179" t="e">
        <f ca="1"/>
        <v>#NAME?</v>
      </c>
      <c r="AC10" s="294">
        <f t="shared" si="12"/>
        <v>650</v>
      </c>
      <c r="AD10" s="304">
        <f t="shared" si="13"/>
        <v>0.42063492063492064</v>
      </c>
      <c r="AE10" s="300" t="e">
        <f t="shared" ca="1" si="14"/>
        <v>#NAME?</v>
      </c>
      <c r="AF10" s="299" t="e">
        <f t="shared" ca="1" si="15"/>
        <v>#NAME?</v>
      </c>
      <c r="AH10" s="178" t="e">
        <f ca="1"/>
        <v>#NAME?</v>
      </c>
      <c r="AI10" s="179" t="e">
        <f ca="1"/>
        <v>#NAME?</v>
      </c>
      <c r="AK10" s="294">
        <f t="shared" si="16"/>
        <v>650</v>
      </c>
      <c r="AL10" s="304">
        <f t="shared" si="17"/>
        <v>0.42063492063492064</v>
      </c>
      <c r="AM10" s="300" t="e">
        <f t="shared" ca="1" si="18"/>
        <v>#NAME?</v>
      </c>
      <c r="AN10" s="299" t="e">
        <f t="shared" ca="1" si="19"/>
        <v>#NAME?</v>
      </c>
      <c r="AP10" s="178" t="e">
        <f ca="1"/>
        <v>#NAME?</v>
      </c>
      <c r="AQ10" s="179" t="e">
        <f ca="1"/>
        <v>#NAME?</v>
      </c>
      <c r="AS10" s="294">
        <f t="shared" si="20"/>
        <v>650</v>
      </c>
      <c r="AT10" s="304">
        <f t="shared" si="21"/>
        <v>0.42063492063492064</v>
      </c>
      <c r="AU10" s="300" t="e">
        <f t="shared" ca="1" si="22"/>
        <v>#NAME?</v>
      </c>
      <c r="AV10" s="299" t="e">
        <f t="shared" ca="1" si="23"/>
        <v>#NAME?</v>
      </c>
      <c r="AX10" s="178" t="e">
        <f ca="1"/>
        <v>#NAME?</v>
      </c>
      <c r="AY10" s="179" t="e">
        <f ca="1"/>
        <v>#NAME?</v>
      </c>
    </row>
    <row r="11" spans="1:51" x14ac:dyDescent="0.25">
      <c r="A11" s="295">
        <f t="shared" si="24"/>
        <v>750</v>
      </c>
      <c r="B11" s="255">
        <v>31</v>
      </c>
      <c r="C11" s="177">
        <v>81</v>
      </c>
      <c r="E11" s="294">
        <f t="shared" si="0"/>
        <v>750</v>
      </c>
      <c r="F11" s="304">
        <f t="shared" si="1"/>
        <v>0.2767857142857143</v>
      </c>
      <c r="G11" s="300">
        <f t="shared" si="2"/>
        <v>0.5</v>
      </c>
      <c r="H11" s="299">
        <f t="shared" si="3"/>
        <v>-77.63248422271387</v>
      </c>
      <c r="M11" s="294">
        <f t="shared" si="4"/>
        <v>750</v>
      </c>
      <c r="N11" s="304">
        <f t="shared" si="5"/>
        <v>0.2767857142857143</v>
      </c>
      <c r="O11" s="300" t="e">
        <f t="shared" ca="1" si="6"/>
        <v>#NAME?</v>
      </c>
      <c r="P11" s="299" t="e">
        <f t="shared" ca="1" si="7"/>
        <v>#NAME?</v>
      </c>
      <c r="U11" s="294">
        <f t="shared" si="8"/>
        <v>750</v>
      </c>
      <c r="V11" s="304">
        <f t="shared" si="9"/>
        <v>0.2767857142857143</v>
      </c>
      <c r="W11" s="300" t="e">
        <f t="shared" ca="1" si="10"/>
        <v>#NAME?</v>
      </c>
      <c r="X11" s="299" t="e">
        <f t="shared" ca="1" si="11"/>
        <v>#NAME?</v>
      </c>
      <c r="AC11" s="294">
        <f t="shared" si="12"/>
        <v>750</v>
      </c>
      <c r="AD11" s="304">
        <f t="shared" si="13"/>
        <v>0.2767857142857143</v>
      </c>
      <c r="AE11" s="300" t="e">
        <f t="shared" ca="1" si="14"/>
        <v>#NAME?</v>
      </c>
      <c r="AF11" s="299" t="e">
        <f t="shared" ca="1" si="15"/>
        <v>#NAME?</v>
      </c>
      <c r="AK11" s="294">
        <f t="shared" si="16"/>
        <v>750</v>
      </c>
      <c r="AL11" s="304">
        <f t="shared" si="17"/>
        <v>0.2767857142857143</v>
      </c>
      <c r="AM11" s="300" t="e">
        <f t="shared" ca="1" si="18"/>
        <v>#NAME?</v>
      </c>
      <c r="AN11" s="299" t="e">
        <f t="shared" ca="1" si="19"/>
        <v>#NAME?</v>
      </c>
      <c r="AS11" s="294">
        <f t="shared" si="20"/>
        <v>750</v>
      </c>
      <c r="AT11" s="304">
        <f t="shared" si="21"/>
        <v>0.2767857142857143</v>
      </c>
      <c r="AU11" s="300" t="e">
        <f t="shared" ca="1" si="22"/>
        <v>#NAME?</v>
      </c>
      <c r="AV11" s="299" t="e">
        <f t="shared" ca="1" si="23"/>
        <v>#NAME?</v>
      </c>
    </row>
    <row r="12" spans="1:51" x14ac:dyDescent="0.25">
      <c r="A12" s="295">
        <f t="shared" si="24"/>
        <v>850</v>
      </c>
      <c r="B12" s="255">
        <v>10</v>
      </c>
      <c r="C12" s="177">
        <v>41</v>
      </c>
      <c r="E12" s="294">
        <f t="shared" si="0"/>
        <v>850</v>
      </c>
      <c r="F12" s="304">
        <f t="shared" si="1"/>
        <v>0.19607843137254902</v>
      </c>
      <c r="G12" s="300">
        <f t="shared" si="2"/>
        <v>0.5</v>
      </c>
      <c r="H12" s="299">
        <f t="shared" si="3"/>
        <v>-35.350506208557206</v>
      </c>
      <c r="J12" s="15" t="s">
        <v>764</v>
      </c>
      <c r="M12" s="294">
        <f t="shared" si="4"/>
        <v>850</v>
      </c>
      <c r="N12" s="304">
        <f t="shared" si="5"/>
        <v>0.19607843137254902</v>
      </c>
      <c r="O12" s="300" t="e">
        <f t="shared" ca="1" si="6"/>
        <v>#NAME?</v>
      </c>
      <c r="P12" s="299" t="e">
        <f t="shared" ca="1" si="7"/>
        <v>#NAME?</v>
      </c>
      <c r="R12" s="15" t="s">
        <v>764</v>
      </c>
      <c r="U12" s="294">
        <f t="shared" si="8"/>
        <v>850</v>
      </c>
      <c r="V12" s="304">
        <f t="shared" si="9"/>
        <v>0.19607843137254902</v>
      </c>
      <c r="W12" s="300" t="e">
        <f t="shared" ca="1" si="10"/>
        <v>#NAME?</v>
      </c>
      <c r="X12" s="299" t="e">
        <f t="shared" ca="1" si="11"/>
        <v>#NAME?</v>
      </c>
      <c r="Z12" s="15" t="s">
        <v>764</v>
      </c>
      <c r="AC12" s="294">
        <f t="shared" si="12"/>
        <v>850</v>
      </c>
      <c r="AD12" s="304">
        <f t="shared" si="13"/>
        <v>0.19607843137254902</v>
      </c>
      <c r="AE12" s="300" t="e">
        <f t="shared" ca="1" si="14"/>
        <v>#NAME?</v>
      </c>
      <c r="AF12" s="299" t="e">
        <f t="shared" ca="1" si="15"/>
        <v>#NAME?</v>
      </c>
      <c r="AH12" s="15" t="s">
        <v>764</v>
      </c>
      <c r="AK12" s="294">
        <f t="shared" si="16"/>
        <v>850</v>
      </c>
      <c r="AL12" s="304">
        <f t="shared" si="17"/>
        <v>0.19607843137254902</v>
      </c>
      <c r="AM12" s="300" t="e">
        <f t="shared" ca="1" si="18"/>
        <v>#NAME?</v>
      </c>
      <c r="AN12" s="299" t="e">
        <f t="shared" ca="1" si="19"/>
        <v>#NAME?</v>
      </c>
      <c r="AP12" s="15" t="s">
        <v>764</v>
      </c>
      <c r="AS12" s="294">
        <f t="shared" si="20"/>
        <v>850</v>
      </c>
      <c r="AT12" s="304">
        <f t="shared" si="21"/>
        <v>0.19607843137254902</v>
      </c>
      <c r="AU12" s="300" t="e">
        <f t="shared" ca="1" si="22"/>
        <v>#NAME?</v>
      </c>
      <c r="AV12" s="299" t="e">
        <f t="shared" ca="1" si="23"/>
        <v>#NAME?</v>
      </c>
      <c r="AX12" s="15" t="s">
        <v>764</v>
      </c>
    </row>
    <row r="13" spans="1:51" x14ac:dyDescent="0.25">
      <c r="A13" s="295">
        <f t="shared" si="24"/>
        <v>950</v>
      </c>
      <c r="B13" s="178">
        <v>3</v>
      </c>
      <c r="C13" s="179">
        <v>28</v>
      </c>
      <c r="E13" s="294">
        <f t="shared" si="0"/>
        <v>950</v>
      </c>
      <c r="F13" s="305">
        <f t="shared" si="1"/>
        <v>9.6774193548387094E-2</v>
      </c>
      <c r="G13" s="306">
        <f t="shared" si="2"/>
        <v>0.5</v>
      </c>
      <c r="H13" s="307">
        <f t="shared" si="3"/>
        <v>-21.487562597358306</v>
      </c>
      <c r="J13" s="330" t="e">
        <f t="array" aca="1" ref="J13:J14" ca="1">MMULT(J9:K10,MMULT(TRANSPOSE(DESIGN(E4:E13)),($B$4:$B$13+$C$4:$C$13)*(F4:F13-G4:G13)))</f>
        <v>#NAME?</v>
      </c>
      <c r="M13" s="294">
        <f t="shared" si="4"/>
        <v>950</v>
      </c>
      <c r="N13" s="305">
        <f t="shared" si="5"/>
        <v>9.6774193548387094E-2</v>
      </c>
      <c r="O13" s="306" t="e">
        <f t="shared" ca="1" si="6"/>
        <v>#NAME?</v>
      </c>
      <c r="P13" s="307" t="e">
        <f t="shared" ca="1" si="7"/>
        <v>#NAME?</v>
      </c>
      <c r="R13" s="330" t="e">
        <f t="array" aca="1" ref="R13:R14" ca="1">MMULT(R9:S10,MMULT(TRANSPOSE(DESIGN(M4:M13)),($B$4:$B$13+$C$4:$C$13)*(N4:N13-O4:O13)))</f>
        <v>#NAME?</v>
      </c>
      <c r="U13" s="294">
        <f t="shared" si="8"/>
        <v>950</v>
      </c>
      <c r="V13" s="305">
        <f t="shared" si="9"/>
        <v>9.6774193548387094E-2</v>
      </c>
      <c r="W13" s="306" t="e">
        <f t="shared" ca="1" si="10"/>
        <v>#NAME?</v>
      </c>
      <c r="X13" s="307" t="e">
        <f t="shared" ca="1" si="11"/>
        <v>#NAME?</v>
      </c>
      <c r="Z13" s="330" t="e">
        <f t="array" aca="1" ref="Z13:Z14" ca="1">MMULT(Z9:AA10,MMULT(TRANSPOSE(DESIGN(U4:U13)),($B$4:$B$13+$C$4:$C$13)*(V4:V13-W4:W13)))</f>
        <v>#NAME?</v>
      </c>
      <c r="AC13" s="294">
        <f t="shared" si="12"/>
        <v>950</v>
      </c>
      <c r="AD13" s="305">
        <f t="shared" si="13"/>
        <v>9.6774193548387094E-2</v>
      </c>
      <c r="AE13" s="306" t="e">
        <f t="shared" ca="1" si="14"/>
        <v>#NAME?</v>
      </c>
      <c r="AF13" s="307" t="e">
        <f t="shared" ca="1" si="15"/>
        <v>#NAME?</v>
      </c>
      <c r="AH13" s="330" t="e">
        <f t="array" aca="1" ref="AH13:AH14" ca="1">MMULT(AH9:AI10,MMULT(TRANSPOSE(DESIGN(AC4:AC13)),($B$4:$B$13+$C$4:$C$13)*(AD4:AD13-AE4:AE13)))</f>
        <v>#NAME?</v>
      </c>
      <c r="AK13" s="294">
        <f t="shared" si="16"/>
        <v>950</v>
      </c>
      <c r="AL13" s="305">
        <f t="shared" si="17"/>
        <v>9.6774193548387094E-2</v>
      </c>
      <c r="AM13" s="306" t="e">
        <f t="shared" ca="1" si="18"/>
        <v>#NAME?</v>
      </c>
      <c r="AN13" s="307" t="e">
        <f t="shared" ca="1" si="19"/>
        <v>#NAME?</v>
      </c>
      <c r="AP13" s="330" t="e">
        <f t="array" aca="1" ref="AP13:AP14" ca="1">MMULT(AP9:AQ10,MMULT(TRANSPOSE(DESIGN(AK4:AK13)),($B$4:$B$13+$C$4:$C$13)*(AL4:AL13-AM4:AM13)))</f>
        <v>#NAME?</v>
      </c>
      <c r="AS13" s="294">
        <f t="shared" si="20"/>
        <v>950</v>
      </c>
      <c r="AT13" s="305">
        <f t="shared" si="21"/>
        <v>9.6774193548387094E-2</v>
      </c>
      <c r="AU13" s="306" t="e">
        <f t="shared" ca="1" si="22"/>
        <v>#NAME?</v>
      </c>
      <c r="AV13" s="307" t="e">
        <f t="shared" ca="1" si="23"/>
        <v>#NAME?</v>
      </c>
      <c r="AX13" s="330" t="e">
        <f t="array" aca="1" ref="AX13:AX14" ca="1">MMULT(AX9:AY10,MMULT(TRANSPOSE(DESIGN(AS4:AS13)),AT4:AT13-AU4:AU13))</f>
        <v>#NAME?</v>
      </c>
    </row>
    <row r="14" spans="1:51" x14ac:dyDescent="0.25">
      <c r="B14" s="15">
        <f>SUM(B4:B13)</f>
        <v>458</v>
      </c>
      <c r="C14" s="15">
        <f>SUM(C4:C13)</f>
        <v>302</v>
      </c>
      <c r="E14" s="294"/>
      <c r="F14" s="294"/>
      <c r="G14" s="294"/>
      <c r="H14" s="294">
        <f>SUM(H4:H13)</f>
        <v>-526.79185722555849</v>
      </c>
      <c r="J14" s="266" t="e">
        <f ca="1"/>
        <v>#NAME?</v>
      </c>
      <c r="M14" s="294"/>
      <c r="N14" s="294"/>
      <c r="O14" s="294"/>
      <c r="P14" s="294" t="e">
        <f ca="1">SUM(P4:P13)</f>
        <v>#NAME?</v>
      </c>
      <c r="R14" s="266" t="e">
        <f ca="1"/>
        <v>#NAME?</v>
      </c>
      <c r="U14" s="294"/>
      <c r="V14" s="294"/>
      <c r="W14" s="294"/>
      <c r="X14" s="294" t="e">
        <f ca="1">SUM(X4:X13)</f>
        <v>#NAME?</v>
      </c>
      <c r="Z14" s="266" t="e">
        <f ca="1"/>
        <v>#NAME?</v>
      </c>
      <c r="AC14" s="294"/>
      <c r="AD14" s="294"/>
      <c r="AE14" s="294"/>
      <c r="AF14" s="294" t="e">
        <f ca="1">SUM(AF4:AF13)</f>
        <v>#NAME?</v>
      </c>
      <c r="AH14" s="266" t="e">
        <f ca="1"/>
        <v>#NAME?</v>
      </c>
      <c r="AK14" s="294"/>
      <c r="AL14" s="294"/>
      <c r="AM14" s="294"/>
      <c r="AN14" s="294" t="e">
        <f ca="1">SUM(AN4:AN13)</f>
        <v>#NAME?</v>
      </c>
      <c r="AP14" s="266" t="e">
        <f ca="1"/>
        <v>#NAME?</v>
      </c>
      <c r="AS14" s="294"/>
      <c r="AT14" s="294"/>
      <c r="AU14" s="294"/>
      <c r="AV14" s="294" t="e">
        <f ca="1">SUM(AV4:AV13)</f>
        <v>#NAME?</v>
      </c>
      <c r="AX14" s="266" t="e">
        <f ca="1"/>
        <v>#NAME?</v>
      </c>
    </row>
    <row r="17" spans="13:27" x14ac:dyDescent="0.25">
      <c r="N17" s="15" t="s">
        <v>769</v>
      </c>
      <c r="V17" s="15" t="s">
        <v>770</v>
      </c>
    </row>
    <row r="19" spans="13:27" x14ac:dyDescent="0.25">
      <c r="M19" s="294" t="s">
        <v>4</v>
      </c>
      <c r="N19" s="326" t="s">
        <v>105</v>
      </c>
      <c r="O19" s="326" t="s">
        <v>67</v>
      </c>
      <c r="P19" s="326" t="s">
        <v>626</v>
      </c>
      <c r="Q19" s="294"/>
      <c r="R19" s="59" t="s">
        <v>660</v>
      </c>
      <c r="T19" s="294"/>
      <c r="U19" s="294" t="s">
        <v>4</v>
      </c>
      <c r="V19" s="326" t="s">
        <v>105</v>
      </c>
      <c r="W19" s="326" t="s">
        <v>67</v>
      </c>
      <c r="X19" s="326" t="s">
        <v>626</v>
      </c>
      <c r="Y19" s="294"/>
      <c r="Z19" s="59" t="s">
        <v>660</v>
      </c>
    </row>
    <row r="20" spans="13:27" x14ac:dyDescent="0.25">
      <c r="M20" s="294">
        <f>U4</f>
        <v>50</v>
      </c>
      <c r="N20" s="302">
        <f>V4</f>
        <v>1</v>
      </c>
      <c r="O20" s="331" t="e">
        <f ca="1">1/(1+EXP(-R$21-R$22*M20))</f>
        <v>#NAME?</v>
      </c>
      <c r="P20" s="303" t="e">
        <f ca="1">($B4+$C4)*(N20*LN(O20)+(1-N20)*LN(1-O20))</f>
        <v>#NAME?</v>
      </c>
      <c r="U20" s="294">
        <f>M20</f>
        <v>50</v>
      </c>
      <c r="V20" s="302">
        <f>N20</f>
        <v>1</v>
      </c>
      <c r="W20" s="331" t="e">
        <f ca="1">1/(1+EXP(-Z$21-Z$22*U20))</f>
        <v>#NAME?</v>
      </c>
      <c r="X20" s="303" t="e">
        <f ca="1">($B4+$C4)*(V20*LN(W20)+(1-V20)*LN(1-W20))</f>
        <v>#NAME?</v>
      </c>
    </row>
    <row r="21" spans="13:27" x14ac:dyDescent="0.25">
      <c r="M21" s="294">
        <f t="shared" ref="M21:M29" si="25">U5</f>
        <v>150</v>
      </c>
      <c r="N21" s="304">
        <f t="shared" ref="N21:N29" si="26">V5</f>
        <v>0.96666666666666667</v>
      </c>
      <c r="O21" s="300" t="e">
        <f t="shared" ref="O21:O29" ca="1" si="27">1/(1+EXP(-R$21-R$22*M21))</f>
        <v>#NAME?</v>
      </c>
      <c r="P21" s="299" t="e">
        <f t="shared" ref="P21:P29" ca="1" si="28">($B5+$C5)*(N21*LN(O21)+(1-N21)*LN(1-O21))</f>
        <v>#NAME?</v>
      </c>
      <c r="R21" s="264" t="e">
        <f t="array" ref="R21:R22" ca="1">Z5:Z6+Z13:Z14</f>
        <v>#NAME?</v>
      </c>
      <c r="U21" s="294">
        <f t="shared" ref="U21:U29" si="29">M21</f>
        <v>150</v>
      </c>
      <c r="V21" s="304">
        <f t="shared" ref="V21:V29" si="30">N21</f>
        <v>0.96666666666666667</v>
      </c>
      <c r="W21" s="300" t="e">
        <f t="shared" ref="W21:W29" ca="1" si="31">1/(1+EXP(-Z$21-Z$22*U21))</f>
        <v>#NAME?</v>
      </c>
      <c r="X21" s="299" t="e">
        <f t="shared" ref="X21:X29" ca="1" si="32">($B5+$C5)*(V21*LN(W21)+(1-V21)*LN(1-W21))</f>
        <v>#NAME?</v>
      </c>
      <c r="Z21" s="264" t="e">
        <f t="array" ref="Z21:Z22" ca="1">R21:R22+R29:R30</f>
        <v>#NAME?</v>
      </c>
    </row>
    <row r="22" spans="13:27" x14ac:dyDescent="0.25">
      <c r="M22" s="294">
        <f t="shared" si="25"/>
        <v>250</v>
      </c>
      <c r="N22" s="304">
        <f t="shared" si="26"/>
        <v>0.93548387096774188</v>
      </c>
      <c r="O22" s="300" t="e">
        <f t="shared" ca="1" si="27"/>
        <v>#NAME?</v>
      </c>
      <c r="P22" s="299" t="e">
        <f t="shared" ca="1" si="28"/>
        <v>#NAME?</v>
      </c>
      <c r="R22" s="266" t="e">
        <f ca="1"/>
        <v>#NAME?</v>
      </c>
      <c r="U22" s="294">
        <f t="shared" si="29"/>
        <v>250</v>
      </c>
      <c r="V22" s="304">
        <f t="shared" si="30"/>
        <v>0.93548387096774188</v>
      </c>
      <c r="W22" s="300" t="e">
        <f t="shared" ca="1" si="31"/>
        <v>#NAME?</v>
      </c>
      <c r="X22" s="299" t="e">
        <f t="shared" ca="1" si="32"/>
        <v>#NAME?</v>
      </c>
      <c r="Z22" s="266" t="e">
        <f ca="1"/>
        <v>#NAME?</v>
      </c>
    </row>
    <row r="23" spans="13:27" x14ac:dyDescent="0.25">
      <c r="M23" s="294">
        <f t="shared" si="25"/>
        <v>350</v>
      </c>
      <c r="N23" s="304">
        <f t="shared" si="26"/>
        <v>0.87209302325581395</v>
      </c>
      <c r="O23" s="300" t="e">
        <f t="shared" ca="1" si="27"/>
        <v>#NAME?</v>
      </c>
      <c r="P23" s="299" t="e">
        <f t="shared" ca="1" si="28"/>
        <v>#NAME?</v>
      </c>
      <c r="U23" s="294">
        <f t="shared" si="29"/>
        <v>350</v>
      </c>
      <c r="V23" s="304">
        <f t="shared" si="30"/>
        <v>0.87209302325581395</v>
      </c>
      <c r="W23" s="300" t="e">
        <f t="shared" ca="1" si="31"/>
        <v>#NAME?</v>
      </c>
      <c r="X23" s="299" t="e">
        <f t="shared" ca="1" si="32"/>
        <v>#NAME?</v>
      </c>
    </row>
    <row r="24" spans="13:27" x14ac:dyDescent="0.25">
      <c r="M24" s="294">
        <f t="shared" si="25"/>
        <v>450</v>
      </c>
      <c r="N24" s="304">
        <f t="shared" si="26"/>
        <v>0.78703703703703709</v>
      </c>
      <c r="O24" s="300" t="e">
        <f t="shared" ca="1" si="27"/>
        <v>#NAME?</v>
      </c>
      <c r="P24" s="299" t="e">
        <f t="shared" ca="1" si="28"/>
        <v>#NAME?</v>
      </c>
      <c r="R24" s="15" t="s">
        <v>754</v>
      </c>
      <c r="U24" s="294">
        <f t="shared" si="29"/>
        <v>450</v>
      </c>
      <c r="V24" s="304">
        <f t="shared" si="30"/>
        <v>0.78703703703703709</v>
      </c>
      <c r="W24" s="300" t="e">
        <f t="shared" ca="1" si="31"/>
        <v>#NAME?</v>
      </c>
      <c r="X24" s="299" t="e">
        <f t="shared" ca="1" si="32"/>
        <v>#NAME?</v>
      </c>
      <c r="Z24" s="15" t="s">
        <v>754</v>
      </c>
    </row>
    <row r="25" spans="13:27" x14ac:dyDescent="0.25">
      <c r="M25" s="294">
        <f t="shared" si="25"/>
        <v>550</v>
      </c>
      <c r="N25" s="304">
        <f t="shared" si="26"/>
        <v>0.62745098039215685</v>
      </c>
      <c r="O25" s="300" t="e">
        <f t="shared" ca="1" si="27"/>
        <v>#NAME?</v>
      </c>
      <c r="P25" s="299" t="e">
        <f t="shared" ca="1" si="28"/>
        <v>#NAME?</v>
      </c>
      <c r="R25" s="313" t="e">
        <f t="array" aca="1" ref="R25:S26" ca="1">MINVERSE(MMULT(TRANSPOSE(DESIGN(M20:M29)*O20:O29*(1-O20:O29)*($B$4:$B$13+$C$4:$C$13)),DESIGN(M20:M29)))</f>
        <v>#NAME?</v>
      </c>
      <c r="S25" s="314" t="e">
        <f ca="1"/>
        <v>#NAME?</v>
      </c>
      <c r="U25" s="294">
        <f t="shared" si="29"/>
        <v>550</v>
      </c>
      <c r="V25" s="304">
        <f t="shared" si="30"/>
        <v>0.62745098039215685</v>
      </c>
      <c r="W25" s="300" t="e">
        <f t="shared" ca="1" si="31"/>
        <v>#NAME?</v>
      </c>
      <c r="X25" s="299" t="e">
        <f t="shared" ca="1" si="32"/>
        <v>#NAME?</v>
      </c>
      <c r="Z25" s="313" t="e">
        <f t="array" aca="1" ref="Z25:AA26" ca="1">MINVERSE(MMULT(TRANSPOSE(DESIGN(U20:U29)*W20:W29*(1-W20:W29)*($B$4:$B$13+$C$4:$C$13)),DESIGN(U20:U29)))</f>
        <v>#NAME?</v>
      </c>
      <c r="AA25" s="314" t="e">
        <f ca="1"/>
        <v>#NAME?</v>
      </c>
    </row>
    <row r="26" spans="13:27" x14ac:dyDescent="0.25">
      <c r="M26" s="294">
        <f t="shared" si="25"/>
        <v>650</v>
      </c>
      <c r="N26" s="304">
        <f t="shared" si="26"/>
        <v>0.42063492063492064</v>
      </c>
      <c r="O26" s="300" t="e">
        <f t="shared" ca="1" si="27"/>
        <v>#NAME?</v>
      </c>
      <c r="P26" s="299" t="e">
        <f t="shared" ca="1" si="28"/>
        <v>#NAME?</v>
      </c>
      <c r="R26" s="178" t="e">
        <f ca="1"/>
        <v>#NAME?</v>
      </c>
      <c r="S26" s="179" t="e">
        <f ca="1"/>
        <v>#NAME?</v>
      </c>
      <c r="U26" s="294">
        <f t="shared" si="29"/>
        <v>650</v>
      </c>
      <c r="V26" s="304">
        <f t="shared" si="30"/>
        <v>0.42063492063492064</v>
      </c>
      <c r="W26" s="300" t="e">
        <f t="shared" ca="1" si="31"/>
        <v>#NAME?</v>
      </c>
      <c r="X26" s="299" t="e">
        <f t="shared" ca="1" si="32"/>
        <v>#NAME?</v>
      </c>
      <c r="Z26" s="178" t="e">
        <f ca="1"/>
        <v>#NAME?</v>
      </c>
      <c r="AA26" s="179" t="e">
        <f ca="1"/>
        <v>#NAME?</v>
      </c>
    </row>
    <row r="27" spans="13:27" x14ac:dyDescent="0.25">
      <c r="M27" s="294">
        <f t="shared" si="25"/>
        <v>750</v>
      </c>
      <c r="N27" s="304">
        <f t="shared" si="26"/>
        <v>0.2767857142857143</v>
      </c>
      <c r="O27" s="300" t="e">
        <f t="shared" ca="1" si="27"/>
        <v>#NAME?</v>
      </c>
      <c r="P27" s="299" t="e">
        <f t="shared" ca="1" si="28"/>
        <v>#NAME?</v>
      </c>
      <c r="U27" s="294">
        <f t="shared" si="29"/>
        <v>750</v>
      </c>
      <c r="V27" s="304">
        <f t="shared" si="30"/>
        <v>0.2767857142857143</v>
      </c>
      <c r="W27" s="300" t="e">
        <f t="shared" ca="1" si="31"/>
        <v>#NAME?</v>
      </c>
      <c r="X27" s="299" t="e">
        <f t="shared" ca="1" si="32"/>
        <v>#NAME?</v>
      </c>
    </row>
    <row r="28" spans="13:27" x14ac:dyDescent="0.25">
      <c r="M28" s="294">
        <f t="shared" si="25"/>
        <v>850</v>
      </c>
      <c r="N28" s="304">
        <f t="shared" si="26"/>
        <v>0.19607843137254902</v>
      </c>
      <c r="O28" s="300" t="e">
        <f t="shared" ca="1" si="27"/>
        <v>#NAME?</v>
      </c>
      <c r="P28" s="299" t="e">
        <f t="shared" ca="1" si="28"/>
        <v>#NAME?</v>
      </c>
      <c r="R28" s="15" t="s">
        <v>764</v>
      </c>
      <c r="U28" s="294">
        <f t="shared" si="29"/>
        <v>850</v>
      </c>
      <c r="V28" s="304">
        <f t="shared" si="30"/>
        <v>0.19607843137254902</v>
      </c>
      <c r="W28" s="300" t="e">
        <f t="shared" ca="1" si="31"/>
        <v>#NAME?</v>
      </c>
      <c r="X28" s="299" t="e">
        <f t="shared" ca="1" si="32"/>
        <v>#NAME?</v>
      </c>
      <c r="Z28" s="15" t="s">
        <v>764</v>
      </c>
    </row>
    <row r="29" spans="13:27" x14ac:dyDescent="0.25">
      <c r="M29" s="294">
        <f t="shared" si="25"/>
        <v>950</v>
      </c>
      <c r="N29" s="305">
        <f t="shared" si="26"/>
        <v>9.6774193548387094E-2</v>
      </c>
      <c r="O29" s="306" t="e">
        <f t="shared" ca="1" si="27"/>
        <v>#NAME?</v>
      </c>
      <c r="P29" s="307" t="e">
        <f t="shared" ca="1" si="28"/>
        <v>#NAME?</v>
      </c>
      <c r="R29" s="330" t="e">
        <f t="array" aca="1" ref="R29:R30" ca="1">MMULT(R25:S26,MMULT(TRANSPOSE(DESIGN(M20:M29)),($B$4:$B$13+$C$4:$C$13)*(N20:N29-O20:O29)))</f>
        <v>#NAME?</v>
      </c>
      <c r="U29" s="294">
        <f t="shared" si="29"/>
        <v>950</v>
      </c>
      <c r="V29" s="305">
        <f t="shared" si="30"/>
        <v>9.6774193548387094E-2</v>
      </c>
      <c r="W29" s="306" t="e">
        <f t="shared" ca="1" si="31"/>
        <v>#NAME?</v>
      </c>
      <c r="X29" s="307" t="e">
        <f t="shared" ca="1" si="32"/>
        <v>#NAME?</v>
      </c>
      <c r="Z29" s="330" t="e">
        <f t="array" aca="1" ref="Z29:Z30" ca="1">MMULT(Z25:AA26,MMULT(TRANSPOSE(DESIGN(U20:U29)),($B$4:$B$13+$C$4:$C$13)*(V20:V29-W20:W29)))</f>
        <v>#NAME?</v>
      </c>
    </row>
    <row r="30" spans="13:27" x14ac:dyDescent="0.25">
      <c r="M30" s="294"/>
      <c r="N30" s="294"/>
      <c r="O30" s="294"/>
      <c r="P30" s="294" t="e">
        <f ca="1">SUM(P20:P29)</f>
        <v>#NAME?</v>
      </c>
      <c r="R30" s="266" t="e">
        <f ca="1"/>
        <v>#NAME?</v>
      </c>
      <c r="U30" s="294"/>
      <c r="V30" s="294"/>
      <c r="W30" s="294"/>
      <c r="X30" s="294" t="e">
        <f ca="1">SUM(X20:X29)</f>
        <v>#NAME?</v>
      </c>
      <c r="Z30" s="266" t="e">
        <f ca="1"/>
        <v>#NAME?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AM33"/>
  <sheetViews>
    <sheetView zoomScale="105" workbookViewId="0"/>
  </sheetViews>
  <sheetFormatPr defaultRowHeight="15" x14ac:dyDescent="0.25"/>
  <cols>
    <col min="1" max="3" width="9.28515625" bestFit="1" customWidth="1"/>
    <col min="4" max="4" width="5" customWidth="1"/>
    <col min="5" max="5" width="9.42578125" bestFit="1" customWidth="1"/>
    <col min="6" max="7" width="9.5703125" bestFit="1" customWidth="1"/>
    <col min="8" max="8" width="11.28515625" bestFit="1" customWidth="1"/>
    <col min="9" max="9" width="12" bestFit="1" customWidth="1"/>
    <col min="10" max="12" width="9.5703125" bestFit="1" customWidth="1"/>
    <col min="13" max="14" width="9.28515625" bestFit="1" customWidth="1"/>
    <col min="15" max="15" width="12" bestFit="1" customWidth="1"/>
    <col min="16" max="16" width="4.5703125" customWidth="1"/>
    <col min="17" max="17" width="9.28515625" customWidth="1"/>
    <col min="18" max="18" width="4.28515625" customWidth="1"/>
    <col min="20" max="20" width="12" bestFit="1" customWidth="1"/>
    <col min="21" max="21" width="5" customWidth="1"/>
    <col min="22" max="22" width="9.28515625" bestFit="1" customWidth="1"/>
    <col min="24" max="24" width="4.7109375" customWidth="1"/>
  </cols>
  <sheetData>
    <row r="1" spans="1:39" x14ac:dyDescent="0.25">
      <c r="A1" s="1" t="s">
        <v>763</v>
      </c>
    </row>
    <row r="3" spans="1:39" x14ac:dyDescent="0.25">
      <c r="A3" s="12" t="s">
        <v>651</v>
      </c>
      <c r="B3" s="12" t="s">
        <v>619</v>
      </c>
      <c r="C3" s="12" t="s">
        <v>620</v>
      </c>
      <c r="E3" t="s">
        <v>618</v>
      </c>
      <c r="AA3" t="s">
        <v>827</v>
      </c>
      <c r="AF3" t="s">
        <v>831</v>
      </c>
    </row>
    <row r="4" spans="1:39" ht="15.75" thickBot="1" x14ac:dyDescent="0.3">
      <c r="A4" s="22">
        <v>50</v>
      </c>
      <c r="B4" s="278">
        <v>21</v>
      </c>
      <c r="C4" s="280">
        <v>0</v>
      </c>
    </row>
    <row r="5" spans="1:39" ht="15.75" thickTop="1" x14ac:dyDescent="0.25">
      <c r="A5" s="22">
        <f>A4+100</f>
        <v>150</v>
      </c>
      <c r="B5" s="214">
        <v>29</v>
      </c>
      <c r="C5" s="215">
        <v>1</v>
      </c>
      <c r="E5" s="360" t="str">
        <f>A3</f>
        <v>Rems</v>
      </c>
      <c r="F5" s="360" t="str">
        <f>B3</f>
        <v>Survived</v>
      </c>
      <c r="G5" s="360" t="str">
        <f>C3</f>
        <v>Died</v>
      </c>
      <c r="H5" s="360" t="s">
        <v>1</v>
      </c>
      <c r="I5" s="360" t="s">
        <v>658</v>
      </c>
      <c r="J5" s="360" t="s">
        <v>659</v>
      </c>
      <c r="K5" s="360" t="s">
        <v>825</v>
      </c>
      <c r="L5" s="360" t="s">
        <v>826</v>
      </c>
      <c r="M5" s="360" t="s">
        <v>626</v>
      </c>
      <c r="N5" s="360" t="s">
        <v>753</v>
      </c>
      <c r="O5" s="360" t="s">
        <v>809</v>
      </c>
      <c r="Q5" t="s">
        <v>660</v>
      </c>
      <c r="S5" t="s">
        <v>625</v>
      </c>
      <c r="T5" s="362">
        <f>F16*LN(F16/H16)+G16*LN(G16/H16)</f>
        <v>-510.66696372157895</v>
      </c>
      <c r="V5" t="s">
        <v>754</v>
      </c>
      <c r="Y5" t="s">
        <v>837</v>
      </c>
      <c r="AB5" s="356" t="s">
        <v>828</v>
      </c>
      <c r="AC5" s="356" t="s">
        <v>829</v>
      </c>
      <c r="AF5" s="346" t="s">
        <v>659</v>
      </c>
      <c r="AG5" s="346" t="s">
        <v>816</v>
      </c>
      <c r="AH5" s="346" t="s">
        <v>815</v>
      </c>
      <c r="AI5" s="346" t="s">
        <v>832</v>
      </c>
      <c r="AJ5" s="346" t="s">
        <v>833</v>
      </c>
      <c r="AK5" s="346" t="s">
        <v>834</v>
      </c>
      <c r="AL5" s="346" t="s">
        <v>835</v>
      </c>
      <c r="AM5" s="346" t="s">
        <v>836</v>
      </c>
    </row>
    <row r="6" spans="1:39" x14ac:dyDescent="0.25">
      <c r="A6" s="22">
        <f t="shared" ref="A6:A13" si="0">A5+100</f>
        <v>250</v>
      </c>
      <c r="B6" s="214">
        <v>87</v>
      </c>
      <c r="C6" s="215">
        <v>6</v>
      </c>
      <c r="E6">
        <f t="shared" ref="E6:E15" si="1">A4</f>
        <v>50</v>
      </c>
      <c r="F6" s="183">
        <f t="shared" ref="F6:F15" si="2">B4</f>
        <v>21</v>
      </c>
      <c r="G6" s="7">
        <f t="shared" ref="G6:G15" si="3">C4</f>
        <v>0</v>
      </c>
      <c r="H6" s="43">
        <f>F6+G6</f>
        <v>21</v>
      </c>
      <c r="I6">
        <f>F6/H6</f>
        <v>1</v>
      </c>
      <c r="J6" t="e">
        <f ca="1">1/(1+EXP(-$Q$7-$Q$8*E6))</f>
        <v>#NAME?</v>
      </c>
      <c r="K6" s="357" t="e">
        <f ca="1">H6*J6</f>
        <v>#NAME?</v>
      </c>
      <c r="L6" s="359" t="e">
        <f ca="1">H6-K6</f>
        <v>#NAME?</v>
      </c>
      <c r="M6" t="e">
        <f ca="1">H6*(I6*LN(J6)+(1-I6)*LN(1-J6))</f>
        <v>#NAME?</v>
      </c>
      <c r="N6" t="e">
        <f ca="1">100*IF(J6&gt;=$AB$12,F6/H6,G6/H6)</f>
        <v>#NAME?</v>
      </c>
      <c r="O6" t="e">
        <f ca="1">(F6-K6)^2/K6+(G6-L6)^2/L6</f>
        <v>#NAME?</v>
      </c>
      <c r="S6" t="s">
        <v>653</v>
      </c>
      <c r="T6" s="349" t="e">
        <f ca="1">M16</f>
        <v>#NAME?</v>
      </c>
      <c r="V6" s="357" t="e">
        <f t="array" aca="1" ref="V6:W7" ca="1">MINVERSE(MMULT(TRANSPOSE(DESIGN(E6:E15)),J6:J15*(1-J6:J15)*H6:H15*DESIGN(E6:E15)))</f>
        <v>#NAME?</v>
      </c>
      <c r="W6" s="359" t="e">
        <f ca="1"/>
        <v>#NAME?</v>
      </c>
      <c r="Y6" s="362" t="e">
        <f t="array" aca="1" ref="Y6:Y7" ca="1">MMULT(V6:W7,MMULT(TRANSPOSE(DESIGN(E6:E15)),H6:H15*(I6:I15-J6:J15)))</f>
        <v>#NAME?</v>
      </c>
      <c r="AA6" t="s">
        <v>825</v>
      </c>
      <c r="AB6" s="357">
        <f ca="1">SUMIF(J6:J15,"&gt;="&amp;AB12,F6:F15)</f>
        <v>0</v>
      </c>
      <c r="AC6" s="359">
        <f ca="1">SUMIF(J6:J15,"&gt;="&amp;AB12,G6:G15)</f>
        <v>0</v>
      </c>
      <c r="AD6">
        <f ca="1">AB6+AC6</f>
        <v>0</v>
      </c>
      <c r="AI6">
        <v>0</v>
      </c>
      <c r="AJ6">
        <v>0</v>
      </c>
      <c r="AK6" t="e">
        <f ca="1">1-AI6/AI$16</f>
        <v>#NAME?</v>
      </c>
      <c r="AL6" t="e">
        <f ca="1">1-AJ6/AJ$16</f>
        <v>#NAME?</v>
      </c>
      <c r="AM6" t="e">
        <f ca="1">(AK6-AK7)*AL6</f>
        <v>#NAME?</v>
      </c>
    </row>
    <row r="7" spans="1:39" x14ac:dyDescent="0.25">
      <c r="A7" s="22">
        <f t="shared" si="0"/>
        <v>350</v>
      </c>
      <c r="B7" s="214">
        <v>75</v>
      </c>
      <c r="C7" s="215">
        <v>11</v>
      </c>
      <c r="E7">
        <f t="shared" si="1"/>
        <v>150</v>
      </c>
      <c r="F7" s="183">
        <f t="shared" si="2"/>
        <v>29</v>
      </c>
      <c r="G7" s="7">
        <f t="shared" si="3"/>
        <v>1</v>
      </c>
      <c r="H7" s="43">
        <f t="shared" ref="H7:H15" si="4">F7+G7</f>
        <v>30</v>
      </c>
      <c r="I7">
        <f t="shared" ref="I7:I15" si="5">F7/H7</f>
        <v>0.96666666666666667</v>
      </c>
      <c r="J7" t="e">
        <f t="shared" ref="J7:J15" ca="1" si="6">1/(1+EXP(-$Q$7-$Q$8*E7))</f>
        <v>#NAME?</v>
      </c>
      <c r="K7" s="183" t="e">
        <f t="shared" ref="K7:K15" ca="1" si="7">H7*J7</f>
        <v>#NAME?</v>
      </c>
      <c r="L7" s="43" t="e">
        <f t="shared" ref="L7:L15" ca="1" si="8">H7-K7</f>
        <v>#NAME?</v>
      </c>
      <c r="M7" t="e">
        <f t="shared" ref="M7:M15" ca="1" si="9">H7*(I7*LN(J7)+(1-I7)*LN(1-J7))</f>
        <v>#NAME?</v>
      </c>
      <c r="N7" t="e">
        <f t="shared" ref="N7:N15" ca="1" si="10">100*IF(J7&gt;=$AB$12,F7/H7,G7/H7)</f>
        <v>#NAME?</v>
      </c>
      <c r="O7" t="e">
        <f t="shared" ref="O7:O15" ca="1" si="11">(F7-K7)^2/K7+(G7-L7)^2/L7</f>
        <v>#NAME?</v>
      </c>
      <c r="Q7" s="362" t="e">
        <f t="array" aca="1" ref="Q7:Q8" ca="1">LogitCoeff(E6:G15,,,,,20)</f>
        <v>#NAME?</v>
      </c>
      <c r="V7" s="351" t="e">
        <f ca="1"/>
        <v>#NAME?</v>
      </c>
      <c r="W7" s="353" t="e">
        <f ca="1"/>
        <v>#NAME?</v>
      </c>
      <c r="Y7" s="349" t="e">
        <f ca="1"/>
        <v>#NAME?</v>
      </c>
      <c r="AA7" t="s">
        <v>826</v>
      </c>
      <c r="AB7" s="351">
        <f ca="1">AB8-AB6</f>
        <v>458</v>
      </c>
      <c r="AC7" s="353">
        <f ca="1">AC8-AC6</f>
        <v>302</v>
      </c>
      <c r="AD7">
        <f ca="1">AB7+AC7</f>
        <v>760</v>
      </c>
      <c r="AF7" t="e">
        <f t="array" aca="1" ref="AF7:AH16" ca="1">SelectCols(F6:J15,"5,2,1",1)</f>
        <v>#NAME?</v>
      </c>
      <c r="AG7" t="e">
        <f ca="1"/>
        <v>#NAME?</v>
      </c>
      <c r="AH7" t="e">
        <f ca="1"/>
        <v>#NAME?</v>
      </c>
      <c r="AI7" t="e">
        <f ca="1">AI6+AG7</f>
        <v>#NAME?</v>
      </c>
      <c r="AJ7" t="e">
        <f ca="1">AJ6+AH7</f>
        <v>#NAME?</v>
      </c>
      <c r="AK7" t="e">
        <f t="shared" ref="AK7:AK16" ca="1" si="12">1-AI7/AI$16</f>
        <v>#NAME?</v>
      </c>
      <c r="AL7" t="e">
        <f t="shared" ref="AL7:AL16" ca="1" si="13">1-AJ7/AJ$16</f>
        <v>#NAME?</v>
      </c>
      <c r="AM7" t="e">
        <f t="shared" ref="AM7:AM16" ca="1" si="14">(AK7-AK8)*AL7</f>
        <v>#NAME?</v>
      </c>
    </row>
    <row r="8" spans="1:39" x14ac:dyDescent="0.25">
      <c r="A8" s="22">
        <f t="shared" si="0"/>
        <v>450</v>
      </c>
      <c r="B8" s="214">
        <v>85</v>
      </c>
      <c r="C8" s="215">
        <v>23</v>
      </c>
      <c r="E8">
        <f t="shared" si="1"/>
        <v>250</v>
      </c>
      <c r="F8" s="183">
        <f t="shared" si="2"/>
        <v>87</v>
      </c>
      <c r="G8" s="7">
        <f t="shared" si="3"/>
        <v>6</v>
      </c>
      <c r="H8" s="43">
        <f t="shared" si="4"/>
        <v>93</v>
      </c>
      <c r="I8">
        <f t="shared" si="5"/>
        <v>0.93548387096774188</v>
      </c>
      <c r="J8" t="e">
        <f t="shared" ca="1" si="6"/>
        <v>#NAME?</v>
      </c>
      <c r="K8" s="183" t="e">
        <f t="shared" ca="1" si="7"/>
        <v>#NAME?</v>
      </c>
      <c r="L8" s="43" t="e">
        <f t="shared" ca="1" si="8"/>
        <v>#NAME?</v>
      </c>
      <c r="M8" t="e">
        <f t="shared" ca="1" si="9"/>
        <v>#NAME?</v>
      </c>
      <c r="N8" t="e">
        <f t="shared" ca="1" si="10"/>
        <v>#NAME?</v>
      </c>
      <c r="O8" t="e">
        <f t="shared" ca="1" si="11"/>
        <v>#NAME?</v>
      </c>
      <c r="Q8" s="349" t="e">
        <f ca="1"/>
        <v>#NAME?</v>
      </c>
      <c r="S8" t="s">
        <v>664</v>
      </c>
      <c r="T8" s="362" t="e">
        <f ca="1">2*(T6-T5)</f>
        <v>#NAME?</v>
      </c>
      <c r="AB8">
        <f>F16</f>
        <v>458</v>
      </c>
      <c r="AC8">
        <f>G16</f>
        <v>302</v>
      </c>
      <c r="AD8">
        <f>AB8+AC8</f>
        <v>760</v>
      </c>
      <c r="AF8" t="e">
        <f ca="1"/>
        <v>#NAME?</v>
      </c>
      <c r="AG8" t="e">
        <f ca="1"/>
        <v>#NAME?</v>
      </c>
      <c r="AH8" t="e">
        <f ca="1"/>
        <v>#NAME?</v>
      </c>
      <c r="AI8" t="e">
        <f t="shared" ref="AI8:AI16" ca="1" si="15">AI7+AG8</f>
        <v>#NAME?</v>
      </c>
      <c r="AJ8" t="e">
        <f t="shared" ref="AJ8:AJ16" ca="1" si="16">AJ7+AH8</f>
        <v>#NAME?</v>
      </c>
      <c r="AK8" t="e">
        <f t="shared" ca="1" si="12"/>
        <v>#NAME?</v>
      </c>
      <c r="AL8" t="e">
        <f t="shared" ca="1" si="13"/>
        <v>#NAME?</v>
      </c>
      <c r="AM8" t="e">
        <f t="shared" ca="1" si="14"/>
        <v>#NAME?</v>
      </c>
    </row>
    <row r="9" spans="1:39" x14ac:dyDescent="0.25">
      <c r="A9" s="22">
        <f t="shared" si="0"/>
        <v>550</v>
      </c>
      <c r="B9" s="214">
        <v>64</v>
      </c>
      <c r="C9" s="215">
        <v>38</v>
      </c>
      <c r="E9">
        <f t="shared" si="1"/>
        <v>350</v>
      </c>
      <c r="F9" s="183">
        <f t="shared" si="2"/>
        <v>75</v>
      </c>
      <c r="G9" s="7">
        <f t="shared" si="3"/>
        <v>11</v>
      </c>
      <c r="H9" s="43">
        <f t="shared" si="4"/>
        <v>86</v>
      </c>
      <c r="I9">
        <f t="shared" si="5"/>
        <v>0.87209302325581395</v>
      </c>
      <c r="J9" t="e">
        <f t="shared" ca="1" si="6"/>
        <v>#NAME?</v>
      </c>
      <c r="K9" s="183" t="e">
        <f t="shared" ca="1" si="7"/>
        <v>#NAME?</v>
      </c>
      <c r="L9" s="43" t="e">
        <f t="shared" ca="1" si="8"/>
        <v>#NAME?</v>
      </c>
      <c r="M9" t="e">
        <f t="shared" ca="1" si="9"/>
        <v>#NAME?</v>
      </c>
      <c r="N9" t="e">
        <f t="shared" ca="1" si="10"/>
        <v>#NAME?</v>
      </c>
      <c r="O9" t="e">
        <f t="shared" ca="1" si="11"/>
        <v>#NAME?</v>
      </c>
      <c r="S9" t="s">
        <v>41</v>
      </c>
      <c r="T9" s="322">
        <f>COUNT(E6)</f>
        <v>1</v>
      </c>
      <c r="AF9" t="e">
        <f ca="1"/>
        <v>#NAME?</v>
      </c>
      <c r="AG9" t="e">
        <f ca="1"/>
        <v>#NAME?</v>
      </c>
      <c r="AH9" t="e">
        <f ca="1"/>
        <v>#NAME?</v>
      </c>
      <c r="AI9" t="e">
        <f t="shared" ca="1" si="15"/>
        <v>#NAME?</v>
      </c>
      <c r="AJ9" t="e">
        <f t="shared" ca="1" si="16"/>
        <v>#NAME?</v>
      </c>
      <c r="AK9" t="e">
        <f t="shared" ca="1" si="12"/>
        <v>#NAME?</v>
      </c>
      <c r="AL9" t="e">
        <f t="shared" ca="1" si="13"/>
        <v>#NAME?</v>
      </c>
      <c r="AM9" t="e">
        <f t="shared" ca="1" si="14"/>
        <v>#NAME?</v>
      </c>
    </row>
    <row r="10" spans="1:39" x14ac:dyDescent="0.25">
      <c r="A10" s="22">
        <f t="shared" si="0"/>
        <v>650</v>
      </c>
      <c r="B10" s="214">
        <v>53</v>
      </c>
      <c r="C10" s="215">
        <v>73</v>
      </c>
      <c r="E10">
        <f t="shared" si="1"/>
        <v>450</v>
      </c>
      <c r="F10" s="183">
        <f t="shared" si="2"/>
        <v>85</v>
      </c>
      <c r="G10" s="7">
        <f t="shared" si="3"/>
        <v>23</v>
      </c>
      <c r="H10" s="43">
        <f t="shared" si="4"/>
        <v>108</v>
      </c>
      <c r="I10">
        <f t="shared" si="5"/>
        <v>0.78703703703703709</v>
      </c>
      <c r="J10" t="e">
        <f t="shared" ca="1" si="6"/>
        <v>#NAME?</v>
      </c>
      <c r="K10" s="183" t="e">
        <f t="shared" ca="1" si="7"/>
        <v>#NAME?</v>
      </c>
      <c r="L10" s="43" t="e">
        <f t="shared" ca="1" si="8"/>
        <v>#NAME?</v>
      </c>
      <c r="M10" t="e">
        <f t="shared" ca="1" si="9"/>
        <v>#NAME?</v>
      </c>
      <c r="N10" t="e">
        <f t="shared" ca="1" si="10"/>
        <v>#NAME?</v>
      </c>
      <c r="O10" t="e">
        <f t="shared" ca="1" si="11"/>
        <v>#NAME?</v>
      </c>
      <c r="S10" t="s">
        <v>48</v>
      </c>
      <c r="T10" s="322" t="e">
        <f ca="1">CHIDIST(T8,T9)</f>
        <v>#NAME?</v>
      </c>
      <c r="AA10" t="s">
        <v>853</v>
      </c>
      <c r="AB10" s="363">
        <f ca="1">AB6/AB8</f>
        <v>0</v>
      </c>
      <c r="AC10" s="364">
        <f ca="1">AC7/AC8</f>
        <v>1</v>
      </c>
      <c r="AD10">
        <f ca="1">(AB6+AC7)/AD8</f>
        <v>0.39736842105263159</v>
      </c>
      <c r="AF10" t="e">
        <f ca="1"/>
        <v>#NAME?</v>
      </c>
      <c r="AG10" t="e">
        <f ca="1"/>
        <v>#NAME?</v>
      </c>
      <c r="AH10" t="e">
        <f ca="1"/>
        <v>#NAME?</v>
      </c>
      <c r="AI10" t="e">
        <f t="shared" ca="1" si="15"/>
        <v>#NAME?</v>
      </c>
      <c r="AJ10" t="e">
        <f t="shared" ca="1" si="16"/>
        <v>#NAME?</v>
      </c>
      <c r="AK10" t="e">
        <f t="shared" ca="1" si="12"/>
        <v>#NAME?</v>
      </c>
      <c r="AL10" t="e">
        <f t="shared" ca="1" si="13"/>
        <v>#NAME?</v>
      </c>
      <c r="AM10" t="e">
        <f t="shared" ca="1" si="14"/>
        <v>#NAME?</v>
      </c>
    </row>
    <row r="11" spans="1:39" x14ac:dyDescent="0.25">
      <c r="A11" s="22">
        <f t="shared" si="0"/>
        <v>750</v>
      </c>
      <c r="B11" s="214">
        <v>31</v>
      </c>
      <c r="C11" s="215">
        <v>81</v>
      </c>
      <c r="E11">
        <f t="shared" si="1"/>
        <v>550</v>
      </c>
      <c r="F11" s="183">
        <f t="shared" si="2"/>
        <v>64</v>
      </c>
      <c r="G11" s="7">
        <f t="shared" si="3"/>
        <v>38</v>
      </c>
      <c r="H11" s="43">
        <f t="shared" si="4"/>
        <v>102</v>
      </c>
      <c r="I11">
        <f t="shared" si="5"/>
        <v>0.62745098039215685</v>
      </c>
      <c r="J11" t="e">
        <f t="shared" ca="1" si="6"/>
        <v>#NAME?</v>
      </c>
      <c r="K11" s="183" t="e">
        <f t="shared" ca="1" si="7"/>
        <v>#NAME?</v>
      </c>
      <c r="L11" s="43" t="e">
        <f t="shared" ca="1" si="8"/>
        <v>#NAME?</v>
      </c>
      <c r="M11" t="e">
        <f t="shared" ca="1" si="9"/>
        <v>#NAME?</v>
      </c>
      <c r="N11" t="e">
        <f t="shared" ca="1" si="10"/>
        <v>#NAME?</v>
      </c>
      <c r="O11" t="e">
        <f t="shared" ca="1" si="11"/>
        <v>#NAME?</v>
      </c>
      <c r="S11" t="s">
        <v>70</v>
      </c>
      <c r="T11" s="322">
        <v>0.05</v>
      </c>
      <c r="AF11" t="e">
        <f ca="1"/>
        <v>#NAME?</v>
      </c>
      <c r="AG11" t="e">
        <f ca="1"/>
        <v>#NAME?</v>
      </c>
      <c r="AH11" t="e">
        <f ca="1"/>
        <v>#NAME?</v>
      </c>
      <c r="AI11" t="e">
        <f t="shared" ca="1" si="15"/>
        <v>#NAME?</v>
      </c>
      <c r="AJ11" t="e">
        <f t="shared" ca="1" si="16"/>
        <v>#NAME?</v>
      </c>
      <c r="AK11" t="e">
        <f t="shared" ca="1" si="12"/>
        <v>#NAME?</v>
      </c>
      <c r="AL11" t="e">
        <f t="shared" ca="1" si="13"/>
        <v>#NAME?</v>
      </c>
      <c r="AM11" t="e">
        <f t="shared" ca="1" si="14"/>
        <v>#NAME?</v>
      </c>
    </row>
    <row r="12" spans="1:39" x14ac:dyDescent="0.25">
      <c r="A12" s="22">
        <f t="shared" si="0"/>
        <v>850</v>
      </c>
      <c r="B12" s="214">
        <v>10</v>
      </c>
      <c r="C12" s="215">
        <v>41</v>
      </c>
      <c r="E12">
        <f t="shared" si="1"/>
        <v>650</v>
      </c>
      <c r="F12" s="183">
        <f t="shared" si="2"/>
        <v>53</v>
      </c>
      <c r="G12" s="7">
        <f t="shared" si="3"/>
        <v>73</v>
      </c>
      <c r="H12" s="43">
        <f t="shared" si="4"/>
        <v>126</v>
      </c>
      <c r="I12">
        <f t="shared" si="5"/>
        <v>0.42063492063492064</v>
      </c>
      <c r="J12" t="e">
        <f t="shared" ca="1" si="6"/>
        <v>#NAME?</v>
      </c>
      <c r="K12" s="183" t="e">
        <f t="shared" ca="1" si="7"/>
        <v>#NAME?</v>
      </c>
      <c r="L12" s="43" t="e">
        <f t="shared" ca="1" si="8"/>
        <v>#NAME?</v>
      </c>
      <c r="M12" t="e">
        <f t="shared" ca="1" si="9"/>
        <v>#NAME?</v>
      </c>
      <c r="N12" t="e">
        <f t="shared" ca="1" si="10"/>
        <v>#NAME?</v>
      </c>
      <c r="O12" t="e">
        <f t="shared" ca="1" si="11"/>
        <v>#NAME?</v>
      </c>
      <c r="S12" t="s">
        <v>164</v>
      </c>
      <c r="T12" s="350" t="e">
        <f ca="1">IF(T10&lt;T11,"yes","no")</f>
        <v>#NAME?</v>
      </c>
      <c r="AA12" t="s">
        <v>830</v>
      </c>
      <c r="AB12" s="365">
        <v>0.5</v>
      </c>
      <c r="AF12" t="e">
        <f ca="1"/>
        <v>#NAME?</v>
      </c>
      <c r="AG12" t="e">
        <f ca="1"/>
        <v>#NAME?</v>
      </c>
      <c r="AH12" t="e">
        <f ca="1"/>
        <v>#NAME?</v>
      </c>
      <c r="AI12" t="e">
        <f t="shared" ca="1" si="15"/>
        <v>#NAME?</v>
      </c>
      <c r="AJ12" t="e">
        <f t="shared" ca="1" si="16"/>
        <v>#NAME?</v>
      </c>
      <c r="AK12" t="e">
        <f t="shared" ca="1" si="12"/>
        <v>#NAME?</v>
      </c>
      <c r="AL12" t="e">
        <f t="shared" ca="1" si="13"/>
        <v>#NAME?</v>
      </c>
      <c r="AM12" t="e">
        <f t="shared" ca="1" si="14"/>
        <v>#NAME?</v>
      </c>
    </row>
    <row r="13" spans="1:39" x14ac:dyDescent="0.25">
      <c r="A13" s="22">
        <f t="shared" si="0"/>
        <v>950</v>
      </c>
      <c r="B13" s="112">
        <v>3</v>
      </c>
      <c r="C13" s="120">
        <v>28</v>
      </c>
      <c r="E13">
        <f t="shared" si="1"/>
        <v>750</v>
      </c>
      <c r="F13" s="183">
        <f t="shared" si="2"/>
        <v>31</v>
      </c>
      <c r="G13" s="7">
        <f t="shared" si="3"/>
        <v>81</v>
      </c>
      <c r="H13" s="43">
        <f t="shared" si="4"/>
        <v>112</v>
      </c>
      <c r="I13">
        <f t="shared" si="5"/>
        <v>0.2767857142857143</v>
      </c>
      <c r="J13" t="e">
        <f t="shared" ca="1" si="6"/>
        <v>#NAME?</v>
      </c>
      <c r="K13" s="183" t="e">
        <f t="shared" ca="1" si="7"/>
        <v>#NAME?</v>
      </c>
      <c r="L13" s="43" t="e">
        <f t="shared" ca="1" si="8"/>
        <v>#NAME?</v>
      </c>
      <c r="M13" t="e">
        <f t="shared" ca="1" si="9"/>
        <v>#NAME?</v>
      </c>
      <c r="N13" t="e">
        <f t="shared" ca="1" si="10"/>
        <v>#NAME?</v>
      </c>
      <c r="O13" t="e">
        <f t="shared" ca="1" si="11"/>
        <v>#NAME?</v>
      </c>
      <c r="AF13" t="e">
        <f ca="1"/>
        <v>#NAME?</v>
      </c>
      <c r="AG13" t="e">
        <f ca="1"/>
        <v>#NAME?</v>
      </c>
      <c r="AH13" t="e">
        <f ca="1"/>
        <v>#NAME?</v>
      </c>
      <c r="AI13" t="e">
        <f t="shared" ca="1" si="15"/>
        <v>#NAME?</v>
      </c>
      <c r="AJ13" t="e">
        <f t="shared" ca="1" si="16"/>
        <v>#NAME?</v>
      </c>
      <c r="AK13" t="e">
        <f t="shared" ca="1" si="12"/>
        <v>#NAME?</v>
      </c>
      <c r="AL13" t="e">
        <f t="shared" ca="1" si="13"/>
        <v>#NAME?</v>
      </c>
      <c r="AM13" t="e">
        <f t="shared" ca="1" si="14"/>
        <v>#NAME?</v>
      </c>
    </row>
    <row r="14" spans="1:39" x14ac:dyDescent="0.25">
      <c r="B14">
        <f>SUM(B4:B13)</f>
        <v>458</v>
      </c>
      <c r="C14">
        <f>SUM(C4:C13)</f>
        <v>302</v>
      </c>
      <c r="E14">
        <f t="shared" si="1"/>
        <v>850</v>
      </c>
      <c r="F14" s="183">
        <f t="shared" si="2"/>
        <v>10</v>
      </c>
      <c r="G14" s="7">
        <f t="shared" si="3"/>
        <v>41</v>
      </c>
      <c r="H14" s="43">
        <f t="shared" si="4"/>
        <v>51</v>
      </c>
      <c r="I14">
        <f t="shared" si="5"/>
        <v>0.19607843137254902</v>
      </c>
      <c r="J14" t="e">
        <f t="shared" ca="1" si="6"/>
        <v>#NAME?</v>
      </c>
      <c r="K14" s="183" t="e">
        <f t="shared" ca="1" si="7"/>
        <v>#NAME?</v>
      </c>
      <c r="L14" s="43" t="e">
        <f t="shared" ca="1" si="8"/>
        <v>#NAME?</v>
      </c>
      <c r="M14" t="e">
        <f t="shared" ca="1" si="9"/>
        <v>#NAME?</v>
      </c>
      <c r="N14" t="e">
        <f t="shared" ca="1" si="10"/>
        <v>#NAME?</v>
      </c>
      <c r="O14" t="e">
        <f t="shared" ca="1" si="11"/>
        <v>#NAME?</v>
      </c>
      <c r="S14" t="s">
        <v>661</v>
      </c>
      <c r="T14" s="362" t="e">
        <f ca="1">1-T6/T5</f>
        <v>#NAME?</v>
      </c>
      <c r="AF14" t="e">
        <f ca="1"/>
        <v>#NAME?</v>
      </c>
      <c r="AG14" t="e">
        <f ca="1"/>
        <v>#NAME?</v>
      </c>
      <c r="AH14" t="e">
        <f ca="1"/>
        <v>#NAME?</v>
      </c>
      <c r="AI14" t="e">
        <f t="shared" ca="1" si="15"/>
        <v>#NAME?</v>
      </c>
      <c r="AJ14" t="e">
        <f t="shared" ca="1" si="16"/>
        <v>#NAME?</v>
      </c>
      <c r="AK14" t="e">
        <f t="shared" ca="1" si="12"/>
        <v>#NAME?</v>
      </c>
      <c r="AL14" t="e">
        <f t="shared" ca="1" si="13"/>
        <v>#NAME?</v>
      </c>
      <c r="AM14" t="e">
        <f t="shared" ca="1" si="14"/>
        <v>#NAME?</v>
      </c>
    </row>
    <row r="15" spans="1:39" x14ac:dyDescent="0.25">
      <c r="E15">
        <f t="shared" si="1"/>
        <v>950</v>
      </c>
      <c r="F15" s="351">
        <f t="shared" si="2"/>
        <v>3</v>
      </c>
      <c r="G15" s="352">
        <f t="shared" si="3"/>
        <v>28</v>
      </c>
      <c r="H15" s="43">
        <f t="shared" si="4"/>
        <v>31</v>
      </c>
      <c r="I15">
        <f t="shared" si="5"/>
        <v>9.6774193548387094E-2</v>
      </c>
      <c r="J15" t="e">
        <f t="shared" ca="1" si="6"/>
        <v>#NAME?</v>
      </c>
      <c r="K15" s="183" t="e">
        <f t="shared" ca="1" si="7"/>
        <v>#NAME?</v>
      </c>
      <c r="L15" s="43" t="e">
        <f t="shared" ca="1" si="8"/>
        <v>#NAME?</v>
      </c>
      <c r="M15" t="e">
        <f t="shared" ca="1" si="9"/>
        <v>#NAME?</v>
      </c>
      <c r="N15" t="e">
        <f t="shared" ca="1" si="10"/>
        <v>#NAME?</v>
      </c>
      <c r="O15" t="e">
        <f t="shared" ca="1" si="11"/>
        <v>#NAME?</v>
      </c>
      <c r="S15" t="s">
        <v>662</v>
      </c>
      <c r="T15" s="322" t="e">
        <f ca="1">1-EXP((-2/H16)*(T6-T5))</f>
        <v>#NAME?</v>
      </c>
      <c r="AF15" t="e">
        <f ca="1"/>
        <v>#NAME?</v>
      </c>
      <c r="AG15" t="e">
        <f ca="1"/>
        <v>#NAME?</v>
      </c>
      <c r="AH15" t="e">
        <f ca="1"/>
        <v>#NAME?</v>
      </c>
      <c r="AI15" t="e">
        <f t="shared" ca="1" si="15"/>
        <v>#NAME?</v>
      </c>
      <c r="AJ15" t="e">
        <f t="shared" ca="1" si="16"/>
        <v>#NAME?</v>
      </c>
      <c r="AK15" t="e">
        <f t="shared" ca="1" si="12"/>
        <v>#NAME?</v>
      </c>
      <c r="AL15" t="e">
        <f t="shared" ca="1" si="13"/>
        <v>#NAME?</v>
      </c>
      <c r="AM15" t="e">
        <f t="shared" ca="1" si="14"/>
        <v>#NAME?</v>
      </c>
    </row>
    <row r="16" spans="1:39" x14ac:dyDescent="0.25">
      <c r="E16" s="4"/>
      <c r="F16" s="4">
        <f>SUM(F6:F15)</f>
        <v>458</v>
      </c>
      <c r="G16" s="4">
        <f>SUM(G6:G15)</f>
        <v>302</v>
      </c>
      <c r="H16" s="361">
        <f>SUM(H6:H15)</f>
        <v>760</v>
      </c>
      <c r="I16" s="361"/>
      <c r="J16" s="361"/>
      <c r="K16" s="4" t="e">
        <f ca="1">SUM(K6:K15)</f>
        <v>#NAME?</v>
      </c>
      <c r="L16" s="4" t="e">
        <f ca="1">SUM(L6:L15)</f>
        <v>#NAME?</v>
      </c>
      <c r="M16" s="361" t="e">
        <f ca="1">SUM(M6:M15)</f>
        <v>#NAME?</v>
      </c>
      <c r="N16" s="361" t="e">
        <f ca="1">SUMPRODUCT(N6:N15,H6:H15)/H16</f>
        <v>#NAME?</v>
      </c>
      <c r="O16" s="361" t="e">
        <f ca="1">SUM(O6:O15)</f>
        <v>#NAME?</v>
      </c>
      <c r="S16" t="s">
        <v>663</v>
      </c>
      <c r="T16" s="349" t="e">
        <f ca="1">T15/(1-EXP(2*T5/H16))</f>
        <v>#NAME?</v>
      </c>
      <c r="AF16" s="354" t="e">
        <f ca="1"/>
        <v>#NAME?</v>
      </c>
      <c r="AG16" s="354" t="e">
        <f ca="1"/>
        <v>#NAME?</v>
      </c>
      <c r="AH16" s="354" t="e">
        <f ca="1"/>
        <v>#NAME?</v>
      </c>
      <c r="AI16" s="354" t="e">
        <f t="shared" ca="1" si="15"/>
        <v>#NAME?</v>
      </c>
      <c r="AJ16" s="354" t="e">
        <f t="shared" ca="1" si="16"/>
        <v>#NAME?</v>
      </c>
      <c r="AK16" s="354" t="e">
        <f t="shared" ca="1" si="12"/>
        <v>#NAME?</v>
      </c>
      <c r="AL16" s="354" t="e">
        <f t="shared" ca="1" si="13"/>
        <v>#NAME?</v>
      </c>
      <c r="AM16" s="354" t="e">
        <f t="shared" ca="1" si="14"/>
        <v>#NAME?</v>
      </c>
    </row>
    <row r="17" spans="1:39" ht="15.75" thickBot="1" x14ac:dyDescent="0.3">
      <c r="AM17" t="e">
        <f ca="1">SUM(AM6:AM16)</f>
        <v>#NAME?</v>
      </c>
    </row>
    <row r="18" spans="1:39" ht="15.75" thickTop="1" x14ac:dyDescent="0.25">
      <c r="E18" s="346"/>
      <c r="F18" s="346" t="s">
        <v>755</v>
      </c>
      <c r="G18" s="346" t="s">
        <v>148</v>
      </c>
      <c r="H18" s="346" t="s">
        <v>756</v>
      </c>
      <c r="I18" s="346" t="s">
        <v>48</v>
      </c>
      <c r="J18" s="346" t="s">
        <v>757</v>
      </c>
      <c r="K18" s="346" t="s">
        <v>15</v>
      </c>
      <c r="L18" s="346" t="s">
        <v>16</v>
      </c>
      <c r="S18" t="s">
        <v>814</v>
      </c>
      <c r="T18" s="362" t="e">
        <f ca="1">O16</f>
        <v>#NAME?</v>
      </c>
    </row>
    <row r="19" spans="1:39" x14ac:dyDescent="0.25">
      <c r="E19" t="s">
        <v>127</v>
      </c>
      <c r="F19" t="e">
        <f t="array" ref="F19:F20" ca="1">Q7:Q8</f>
        <v>#NAME?</v>
      </c>
      <c r="G19" t="e">
        <f t="array" aca="1" ref="G19:G20" ca="1">SQRT(DIAG(V6:W7))</f>
        <v>#NAME?</v>
      </c>
      <c r="H19" t="e">
        <f ca="1">(F19/G19)^2</f>
        <v>#NAME?</v>
      </c>
      <c r="I19" t="e">
        <f ca="1">CHIDIST(H19,1)</f>
        <v>#NAME?</v>
      </c>
      <c r="J19" t="e">
        <f ca="1">EXP(F19)</f>
        <v>#NAME?</v>
      </c>
      <c r="S19" t="s">
        <v>41</v>
      </c>
      <c r="T19" s="322">
        <f>COUNT(H6:H15)-2</f>
        <v>8</v>
      </c>
      <c r="AB19" s="374" t="s">
        <v>828</v>
      </c>
      <c r="AC19" s="374" t="s">
        <v>829</v>
      </c>
    </row>
    <row r="20" spans="1:39" x14ac:dyDescent="0.25">
      <c r="E20" s="354" t="str">
        <f t="array" ref="E20">TRANSPOSE(E5)</f>
        <v>Rems</v>
      </c>
      <c r="F20" s="354" t="e">
        <f ca="1"/>
        <v>#NAME?</v>
      </c>
      <c r="G20" s="354" t="e">
        <f ca="1"/>
        <v>#NAME?</v>
      </c>
      <c r="H20" s="354" t="e">
        <f ca="1">(F20/G20)^2</f>
        <v>#NAME?</v>
      </c>
      <c r="I20" s="354" t="e">
        <f ca="1">CHIDIST(H20,1)</f>
        <v>#NAME?</v>
      </c>
      <c r="J20" s="354" t="e">
        <f ca="1">EXP(F20)</f>
        <v>#NAME?</v>
      </c>
      <c r="K20" s="354" t="e">
        <f ca="1">EXP(F20-G20*NORMSINV(1-$T$11/2))</f>
        <v>#NAME?</v>
      </c>
      <c r="L20" s="354" t="e">
        <f ca="1">EXP(F20+G20*NORMSINV(1-$T$11/2))</f>
        <v>#NAME?</v>
      </c>
      <c r="S20" t="s">
        <v>48</v>
      </c>
      <c r="T20" s="322" t="e">
        <f ca="1">CHIDIST(T18,T19)</f>
        <v>#NAME?</v>
      </c>
      <c r="AA20" t="s">
        <v>825</v>
      </c>
      <c r="AB20" s="375" t="s">
        <v>844</v>
      </c>
      <c r="AC20" s="376" t="s">
        <v>845</v>
      </c>
      <c r="AD20" s="374" t="s">
        <v>848</v>
      </c>
    </row>
    <row r="21" spans="1:39" x14ac:dyDescent="0.25">
      <c r="S21" t="s">
        <v>70</v>
      </c>
      <c r="T21" s="322">
        <f>T11</f>
        <v>0.05</v>
      </c>
      <c r="AA21" t="s">
        <v>826</v>
      </c>
      <c r="AB21" s="377" t="s">
        <v>846</v>
      </c>
      <c r="AC21" s="378" t="s">
        <v>847</v>
      </c>
      <c r="AD21" s="374" t="s">
        <v>849</v>
      </c>
    </row>
    <row r="22" spans="1:39" x14ac:dyDescent="0.25">
      <c r="S22" t="s">
        <v>164</v>
      </c>
      <c r="T22" s="350" t="e">
        <f ca="1">IF(T20&lt;T21,"yes","no")</f>
        <v>#NAME?</v>
      </c>
      <c r="AB22" s="374" t="s">
        <v>850</v>
      </c>
      <c r="AC22" s="374" t="s">
        <v>851</v>
      </c>
      <c r="AD22" s="374" t="s">
        <v>852</v>
      </c>
    </row>
    <row r="24" spans="1:39" x14ac:dyDescent="0.25">
      <c r="A24" t="s">
        <v>1220</v>
      </c>
    </row>
    <row r="25" spans="1:39" x14ac:dyDescent="0.25">
      <c r="E25" t="e">
        <f t="array" aca="1" ref="E25:L27" ca="1">LogitCoeff(A4:C13,TRUE)</f>
        <v>#NAME?</v>
      </c>
      <c r="F25" t="e">
        <f ca="1"/>
        <v>#NAME?</v>
      </c>
      <c r="G25" t="e">
        <f ca="1"/>
        <v>#NAME?</v>
      </c>
      <c r="H25" t="e">
        <f ca="1"/>
        <v>#NAME?</v>
      </c>
      <c r="I25" t="e">
        <f ca="1"/>
        <v>#NAME?</v>
      </c>
      <c r="J25" t="e">
        <f ca="1"/>
        <v>#NAME?</v>
      </c>
      <c r="K25" t="e">
        <f ca="1"/>
        <v>#NAME?</v>
      </c>
      <c r="L25" t="e">
        <f ca="1"/>
        <v>#NAME?</v>
      </c>
      <c r="N25" t="e">
        <f t="array" aca="1" ref="N25:O31" ca="1">LogitRSquare(A4:C13,1)</f>
        <v>#NAME?</v>
      </c>
      <c r="O25" s="391" t="e">
        <f ca="1"/>
        <v>#NAME?</v>
      </c>
      <c r="S25" t="e">
        <f t="array" aca="1" ref="S25:T29" ca="1">LogitTest(A4:C13,1)</f>
        <v>#NAME?</v>
      </c>
      <c r="T25" s="391" t="e">
        <f ca="1"/>
        <v>#NAME?</v>
      </c>
    </row>
    <row r="26" spans="1:39" x14ac:dyDescent="0.25">
      <c r="E26" t="e">
        <f ca="1"/>
        <v>#NAME?</v>
      </c>
      <c r="F26" s="344" t="e">
        <f ca="1"/>
        <v>#NAME?</v>
      </c>
      <c r="G26" s="345" t="e">
        <f ca="1"/>
        <v>#NAME?</v>
      </c>
      <c r="H26" s="345" t="e">
        <f ca="1"/>
        <v>#NAME?</v>
      </c>
      <c r="I26" s="345" t="e">
        <f ca="1"/>
        <v>#NAME?</v>
      </c>
      <c r="J26" s="345" t="e">
        <f ca="1"/>
        <v>#NAME?</v>
      </c>
      <c r="K26" s="345" t="e">
        <f ca="1"/>
        <v>#NAME?</v>
      </c>
      <c r="L26" s="347" t="e">
        <f ca="1"/>
        <v>#NAME?</v>
      </c>
      <c r="N26" t="e">
        <f ca="1"/>
        <v>#NAME?</v>
      </c>
      <c r="O26" s="185" t="e">
        <f ca="1"/>
        <v>#NAME?</v>
      </c>
      <c r="S26" t="e">
        <f ca="1"/>
        <v>#NAME?</v>
      </c>
      <c r="T26" s="185" t="e">
        <f ca="1"/>
        <v>#NAME?</v>
      </c>
    </row>
    <row r="27" spans="1:39" x14ac:dyDescent="0.25">
      <c r="E27" t="e">
        <f ca="1"/>
        <v>#NAME?</v>
      </c>
      <c r="F27" s="112" t="e">
        <f ca="1"/>
        <v>#NAME?</v>
      </c>
      <c r="G27" s="354" t="e">
        <f ca="1"/>
        <v>#NAME?</v>
      </c>
      <c r="H27" s="354" t="e">
        <f ca="1"/>
        <v>#NAME?</v>
      </c>
      <c r="I27" s="354" t="e">
        <f ca="1"/>
        <v>#NAME?</v>
      </c>
      <c r="J27" s="354" t="e">
        <f ca="1"/>
        <v>#NAME?</v>
      </c>
      <c r="K27" s="354" t="e">
        <f ca="1"/>
        <v>#NAME?</v>
      </c>
      <c r="L27" s="120" t="e">
        <f ca="1"/>
        <v>#NAME?</v>
      </c>
      <c r="N27" t="e">
        <f ca="1"/>
        <v>#NAME?</v>
      </c>
      <c r="O27" s="185" t="e">
        <f ca="1"/>
        <v>#NAME?</v>
      </c>
      <c r="S27" t="e">
        <f ca="1"/>
        <v>#NAME?</v>
      </c>
      <c r="T27" s="185" t="e">
        <f ca="1"/>
        <v>#NAME?</v>
      </c>
    </row>
    <row r="28" spans="1:39" x14ac:dyDescent="0.25">
      <c r="N28" t="e">
        <f ca="1"/>
        <v>#NAME?</v>
      </c>
      <c r="O28" s="185" t="e">
        <f ca="1"/>
        <v>#NAME?</v>
      </c>
      <c r="S28" t="e">
        <f ca="1"/>
        <v>#NAME?</v>
      </c>
      <c r="T28" s="185" t="e">
        <f ca="1"/>
        <v>#NAME?</v>
      </c>
    </row>
    <row r="29" spans="1:39" x14ac:dyDescent="0.25">
      <c r="E29" t="s">
        <v>114</v>
      </c>
      <c r="N29" t="e">
        <f ca="1"/>
        <v>#NAME?</v>
      </c>
      <c r="O29" s="185" t="e">
        <f ca="1"/>
        <v>#NAME?</v>
      </c>
      <c r="S29" t="e">
        <f ca="1"/>
        <v>#NAME?</v>
      </c>
      <c r="T29" s="123" t="e">
        <f ca="1"/>
        <v>#NAME?</v>
      </c>
    </row>
    <row r="30" spans="1:39" x14ac:dyDescent="0.25">
      <c r="N30" t="e">
        <f ca="1"/>
        <v>#NAME?</v>
      </c>
      <c r="O30" s="185" t="e">
        <f ca="1"/>
        <v>#NAME?</v>
      </c>
    </row>
    <row r="31" spans="1:39" x14ac:dyDescent="0.25">
      <c r="E31" s="12" t="s">
        <v>856</v>
      </c>
      <c r="F31" s="388" t="s">
        <v>857</v>
      </c>
      <c r="N31" t="e">
        <f ca="1"/>
        <v>#NAME?</v>
      </c>
      <c r="O31" s="123" t="e">
        <f ca="1"/>
        <v>#NAME?</v>
      </c>
    </row>
    <row r="32" spans="1:39" x14ac:dyDescent="0.25">
      <c r="E32">
        <v>250</v>
      </c>
      <c r="F32" s="391" t="e">
        <f ca="1">LogitPred(E32:E32,$A$4:$C$13)</f>
        <v>#NAME?</v>
      </c>
    </row>
    <row r="33" spans="5:6" x14ac:dyDescent="0.25">
      <c r="E33">
        <v>300</v>
      </c>
      <c r="F33" s="123" t="e">
        <f ca="1">LogitPred(E33:E33,$A$4:$C$13)</f>
        <v>#NAME?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AZ67"/>
  <sheetViews>
    <sheetView zoomScaleNormal="100" workbookViewId="0"/>
  </sheetViews>
  <sheetFormatPr defaultRowHeight="15" x14ac:dyDescent="0.25"/>
  <cols>
    <col min="1" max="3" width="7" customWidth="1"/>
    <col min="4" max="4" width="3" customWidth="1"/>
    <col min="7" max="8" width="9.140625" customWidth="1"/>
    <col min="9" max="9" width="8.7109375" customWidth="1"/>
    <col min="14" max="14" width="8.7109375" customWidth="1"/>
    <col min="15" max="15" width="9.140625" customWidth="1"/>
    <col min="17" max="17" width="8" customWidth="1"/>
    <col min="18" max="18" width="8.85546875" customWidth="1"/>
    <col min="19" max="19" width="3.140625" customWidth="1"/>
    <col min="20" max="20" width="9.140625" customWidth="1"/>
    <col min="22" max="22" width="3.140625" customWidth="1"/>
    <col min="24" max="24" width="9.140625" customWidth="1"/>
    <col min="26" max="26" width="3.85546875" customWidth="1"/>
  </cols>
  <sheetData>
    <row r="1" spans="1:52" x14ac:dyDescent="0.25">
      <c r="A1" s="1" t="s">
        <v>773</v>
      </c>
    </row>
    <row r="3" spans="1:52" x14ac:dyDescent="0.25">
      <c r="A3" s="294" t="s">
        <v>656</v>
      </c>
      <c r="B3" s="294" t="s">
        <v>657</v>
      </c>
      <c r="C3" s="12" t="s">
        <v>94</v>
      </c>
      <c r="E3" t="s">
        <v>618</v>
      </c>
      <c r="AC3" t="s">
        <v>827</v>
      </c>
      <c r="AH3" t="s">
        <v>831</v>
      </c>
      <c r="AR3" t="s">
        <v>838</v>
      </c>
    </row>
    <row r="4" spans="1:52" ht="15.75" thickBot="1" x14ac:dyDescent="0.3">
      <c r="A4" s="315">
        <v>20</v>
      </c>
      <c r="B4" s="334">
        <v>0</v>
      </c>
      <c r="C4" s="309">
        <v>1</v>
      </c>
    </row>
    <row r="5" spans="1:52" ht="15.75" thickTop="1" x14ac:dyDescent="0.25">
      <c r="A5" s="317">
        <v>22</v>
      </c>
      <c r="B5" s="332">
        <v>1</v>
      </c>
      <c r="C5" s="185">
        <v>1</v>
      </c>
      <c r="E5" s="360" t="str">
        <f>A3</f>
        <v>Temp</v>
      </c>
      <c r="F5" s="360" t="str">
        <f>B3</f>
        <v>Water</v>
      </c>
      <c r="G5" s="360" t="s">
        <v>815</v>
      </c>
      <c r="H5" s="360" t="s">
        <v>816</v>
      </c>
      <c r="I5" s="360" t="s">
        <v>1</v>
      </c>
      <c r="J5" s="360" t="s">
        <v>658</v>
      </c>
      <c r="K5" s="360" t="s">
        <v>659</v>
      </c>
      <c r="L5" s="360" t="s">
        <v>825</v>
      </c>
      <c r="M5" s="360" t="s">
        <v>826</v>
      </c>
      <c r="N5" s="360" t="s">
        <v>626</v>
      </c>
      <c r="O5" s="360" t="s">
        <v>753</v>
      </c>
      <c r="P5" s="360" t="s">
        <v>809</v>
      </c>
      <c r="R5" t="s">
        <v>660</v>
      </c>
      <c r="T5" t="s">
        <v>625</v>
      </c>
      <c r="U5" s="362" t="e">
        <f ca="1">G12*LN(G12/I12)+H12*LN(H12/I12)</f>
        <v>#NAME?</v>
      </c>
      <c r="W5" t="s">
        <v>754</v>
      </c>
      <c r="AA5" t="s">
        <v>837</v>
      </c>
      <c r="AD5" s="356" t="s">
        <v>828</v>
      </c>
      <c r="AE5" s="356" t="s">
        <v>829</v>
      </c>
      <c r="AH5" s="346" t="s">
        <v>659</v>
      </c>
      <c r="AI5" s="346" t="s">
        <v>816</v>
      </c>
      <c r="AJ5" s="346" t="s">
        <v>815</v>
      </c>
      <c r="AK5" s="346" t="s">
        <v>832</v>
      </c>
      <c r="AL5" s="346" t="s">
        <v>833</v>
      </c>
      <c r="AM5" s="346" t="s">
        <v>834</v>
      </c>
      <c r="AN5" s="346" t="s">
        <v>835</v>
      </c>
      <c r="AO5" s="346" t="s">
        <v>836</v>
      </c>
      <c r="AR5" s="12" t="s">
        <v>39</v>
      </c>
      <c r="AS5" s="294" t="s">
        <v>656</v>
      </c>
      <c r="AT5" s="294" t="s">
        <v>657</v>
      </c>
      <c r="AU5" s="12" t="s">
        <v>94</v>
      </c>
      <c r="AV5" s="12"/>
      <c r="AW5" s="12" t="s">
        <v>39</v>
      </c>
      <c r="AX5" s="294" t="s">
        <v>656</v>
      </c>
      <c r="AY5" s="294" t="s">
        <v>657</v>
      </c>
      <c r="AZ5" s="12" t="s">
        <v>94</v>
      </c>
    </row>
    <row r="6" spans="1:52" x14ac:dyDescent="0.25">
      <c r="A6" s="317">
        <v>22</v>
      </c>
      <c r="B6" s="332">
        <v>1</v>
      </c>
      <c r="C6" s="185">
        <v>0</v>
      </c>
      <c r="E6" t="e">
        <f t="array" aca="1" ref="E6:H11" ca="1">LogitSummary(A4:C52)</f>
        <v>#NAME?</v>
      </c>
      <c r="F6" t="e">
        <f ca="1"/>
        <v>#NAME?</v>
      </c>
      <c r="G6" s="183" t="e">
        <f ca="1"/>
        <v>#NAME?</v>
      </c>
      <c r="H6" s="7" t="e">
        <f ca="1"/>
        <v>#NAME?</v>
      </c>
      <c r="I6" s="43" t="e">
        <f t="shared" ref="I6:I11" ca="1" si="0">G6+H6</f>
        <v>#NAME?</v>
      </c>
      <c r="J6" t="e">
        <f t="shared" ref="J6:J11" ca="1" si="1">G6/I6</f>
        <v>#NAME?</v>
      </c>
      <c r="K6" t="e">
        <f t="shared" ref="K6:K11" ca="1" si="2">1/(1+EXP(-$R$7-MMULT(E6:F6,$R$8:$R$9)))</f>
        <v>#NAME?</v>
      </c>
      <c r="L6" s="357" t="e">
        <f t="shared" ref="L6:L11" ca="1" si="3">I6*K6</f>
        <v>#NAME?</v>
      </c>
      <c r="M6" s="359" t="e">
        <f t="shared" ref="M6:M11" ca="1" si="4">I6-L6</f>
        <v>#NAME?</v>
      </c>
      <c r="N6" t="e">
        <f t="shared" ref="N6:N11" ca="1" si="5">I6*(J6*LN(K6)+(1-J6)*LN(1-K6))</f>
        <v>#NAME?</v>
      </c>
      <c r="O6" t="e">
        <f t="shared" ref="O6:O11" ca="1" si="6">100*IF(K6&gt;=$AD$12,G6/I6,H6/I6)</f>
        <v>#NAME?</v>
      </c>
      <c r="P6" t="e">
        <f t="shared" ref="P6:P11" ca="1" si="7">(G6-L6)^2/L6+(H6-M6)^2/M6</f>
        <v>#NAME?</v>
      </c>
      <c r="T6" t="s">
        <v>653</v>
      </c>
      <c r="U6" s="349" t="e">
        <f ca="1">N12</f>
        <v>#NAME?</v>
      </c>
      <c r="W6" s="357" t="e">
        <f t="array" aca="1" ref="W6:Y8" ca="1">MINVERSE(MMULT(TRANSPOSE(DESIGN(E6:F11)),K6:K11*(1-K6:K11)*I6:I11*DESIGN(E6:F11)))</f>
        <v>#NAME?</v>
      </c>
      <c r="X6" s="358" t="e">
        <f ca="1"/>
        <v>#NAME?</v>
      </c>
      <c r="Y6" s="359" t="e">
        <f ca="1"/>
        <v>#NAME?</v>
      </c>
      <c r="AA6" s="362" t="e">
        <f t="array" aca="1" ref="AA6:AA8" ca="1">MMULT(W6:Y8,MMULT(TRANSPOSE(DESIGN(E6:F11)),I6:I11*(J6:J11-K6:K11)))</f>
        <v>#NAME?</v>
      </c>
      <c r="AC6" t="s">
        <v>825</v>
      </c>
      <c r="AD6" s="357">
        <f ca="1">SUMIF(K6:K11,"&gt;="&amp;AD12,G6:G11)</f>
        <v>0</v>
      </c>
      <c r="AE6" s="359">
        <f ca="1">SUMIF(K6:K11,"&gt;="&amp;AD12,H6:H11)</f>
        <v>0</v>
      </c>
      <c r="AF6">
        <f ca="1">AD6+AE6</f>
        <v>0</v>
      </c>
      <c r="AK6">
        <v>0</v>
      </c>
      <c r="AL6">
        <v>0</v>
      </c>
      <c r="AM6" t="e">
        <f ca="1">1-AK6/AK$12</f>
        <v>#NAME?</v>
      </c>
      <c r="AN6" t="e">
        <f ca="1">1-AL6/AL$12</f>
        <v>#NAME?</v>
      </c>
      <c r="AO6" t="e">
        <f ca="1">(AM6-AM7)*AN6</f>
        <v>#NAME?</v>
      </c>
      <c r="AR6" s="309">
        <v>1</v>
      </c>
      <c r="AS6" s="315">
        <v>20</v>
      </c>
      <c r="AT6" s="334">
        <v>0</v>
      </c>
      <c r="AU6" s="309">
        <v>1</v>
      </c>
      <c r="AV6" s="7"/>
      <c r="AW6" s="308">
        <v>26</v>
      </c>
      <c r="AX6" s="315">
        <v>24</v>
      </c>
      <c r="AY6" s="334">
        <v>0</v>
      </c>
      <c r="AZ6" s="309">
        <v>0</v>
      </c>
    </row>
    <row r="7" spans="1:52" x14ac:dyDescent="0.25">
      <c r="A7" s="317">
        <v>24</v>
      </c>
      <c r="B7" s="333">
        <v>0</v>
      </c>
      <c r="C7" s="185">
        <v>0</v>
      </c>
      <c r="E7" t="e">
        <f ca="1"/>
        <v>#NAME?</v>
      </c>
      <c r="F7" t="e">
        <f ca="1"/>
        <v>#NAME?</v>
      </c>
      <c r="G7" s="183" t="e">
        <f ca="1"/>
        <v>#NAME?</v>
      </c>
      <c r="H7" s="7" t="e">
        <f ca="1"/>
        <v>#NAME?</v>
      </c>
      <c r="I7" s="43" t="e">
        <f t="shared" ca="1" si="0"/>
        <v>#NAME?</v>
      </c>
      <c r="J7" t="e">
        <f t="shared" ca="1" si="1"/>
        <v>#NAME?</v>
      </c>
      <c r="K7" t="e">
        <f t="shared" ca="1" si="2"/>
        <v>#NAME?</v>
      </c>
      <c r="L7" s="183" t="e">
        <f t="shared" ca="1" si="3"/>
        <v>#NAME?</v>
      </c>
      <c r="M7" s="43" t="e">
        <f t="shared" ca="1" si="4"/>
        <v>#NAME?</v>
      </c>
      <c r="N7" t="e">
        <f t="shared" ca="1" si="5"/>
        <v>#NAME?</v>
      </c>
      <c r="O7" t="e">
        <f t="shared" ca="1" si="6"/>
        <v>#NAME?</v>
      </c>
      <c r="P7" t="e">
        <f t="shared" ca="1" si="7"/>
        <v>#NAME?</v>
      </c>
      <c r="R7" s="362" t="e">
        <f t="array" aca="1" ref="R7:R9" ca="1">LogitCoeff(E6:H11,,,,,20)</f>
        <v>#NAME?</v>
      </c>
      <c r="W7" s="183" t="e">
        <f ca="1"/>
        <v>#NAME?</v>
      </c>
      <c r="X7" s="7" t="e">
        <f ca="1"/>
        <v>#NAME?</v>
      </c>
      <c r="Y7" s="43" t="e">
        <f ca="1"/>
        <v>#NAME?</v>
      </c>
      <c r="AA7" s="322" t="e">
        <f ca="1"/>
        <v>#NAME?</v>
      </c>
      <c r="AC7" t="s">
        <v>826</v>
      </c>
      <c r="AD7" s="351" t="e">
        <f ca="1">AD8-AD6</f>
        <v>#NAME?</v>
      </c>
      <c r="AE7" s="353" t="e">
        <f ca="1">AE8-AE6</f>
        <v>#NAME?</v>
      </c>
      <c r="AF7" t="e">
        <f ca="1">AD7+AE7</f>
        <v>#NAME?</v>
      </c>
      <c r="AH7" t="e">
        <f t="array" aca="1" ref="AH7:AJ12" ca="1">SelectCols(G6:K11,"5,2,1",1)</f>
        <v>#NAME?</v>
      </c>
      <c r="AI7" t="e">
        <f ca="1"/>
        <v>#NAME?</v>
      </c>
      <c r="AJ7" t="e">
        <f ca="1"/>
        <v>#NAME?</v>
      </c>
      <c r="AK7" t="e">
        <f t="shared" ref="AK7:AL12" ca="1" si="8">AK6+AI7</f>
        <v>#NAME?</v>
      </c>
      <c r="AL7" t="e">
        <f t="shared" ca="1" si="8"/>
        <v>#NAME?</v>
      </c>
      <c r="AM7" t="e">
        <f t="shared" ref="AM7:AM12" ca="1" si="9">1-AK7/AK$12</f>
        <v>#NAME?</v>
      </c>
      <c r="AN7" t="e">
        <f t="shared" ref="AN7:AN12" ca="1" si="10">1-AL7/AL$12</f>
        <v>#NAME?</v>
      </c>
      <c r="AO7" t="e">
        <f t="shared" ref="AO7:AO12" ca="1" si="11">(AM7-AM8)*AN7</f>
        <v>#NAME?</v>
      </c>
      <c r="AR7" s="185">
        <f>AR6+1</f>
        <v>2</v>
      </c>
      <c r="AS7" s="317">
        <v>22</v>
      </c>
      <c r="AT7" s="332">
        <v>1</v>
      </c>
      <c r="AU7" s="185">
        <v>1</v>
      </c>
      <c r="AV7" s="7"/>
      <c r="AW7" s="214">
        <f>AW6+1</f>
        <v>27</v>
      </c>
      <c r="AX7" s="317">
        <v>22</v>
      </c>
      <c r="AY7" s="333">
        <v>0</v>
      </c>
      <c r="AZ7" s="185">
        <v>1</v>
      </c>
    </row>
    <row r="8" spans="1:52" x14ac:dyDescent="0.25">
      <c r="A8" s="317">
        <v>22</v>
      </c>
      <c r="B8" s="332">
        <v>0</v>
      </c>
      <c r="C8" s="185">
        <v>1</v>
      </c>
      <c r="E8" t="e">
        <f ca="1"/>
        <v>#NAME?</v>
      </c>
      <c r="F8" t="e">
        <f ca="1"/>
        <v>#NAME?</v>
      </c>
      <c r="G8" s="183" t="e">
        <f ca="1"/>
        <v>#NAME?</v>
      </c>
      <c r="H8" s="7" t="e">
        <f ca="1"/>
        <v>#NAME?</v>
      </c>
      <c r="I8" s="43" t="e">
        <f t="shared" ca="1" si="0"/>
        <v>#NAME?</v>
      </c>
      <c r="J8" t="e">
        <f t="shared" ca="1" si="1"/>
        <v>#NAME?</v>
      </c>
      <c r="K8" t="e">
        <f t="shared" ca="1" si="2"/>
        <v>#NAME?</v>
      </c>
      <c r="L8" s="183" t="e">
        <f t="shared" ca="1" si="3"/>
        <v>#NAME?</v>
      </c>
      <c r="M8" s="43" t="e">
        <f t="shared" ca="1" si="4"/>
        <v>#NAME?</v>
      </c>
      <c r="N8" t="e">
        <f t="shared" ca="1" si="5"/>
        <v>#NAME?</v>
      </c>
      <c r="O8" t="e">
        <f t="shared" ca="1" si="6"/>
        <v>#NAME?</v>
      </c>
      <c r="P8" t="e">
        <f t="shared" ca="1" si="7"/>
        <v>#NAME?</v>
      </c>
      <c r="R8" s="322" t="e">
        <f ca="1"/>
        <v>#NAME?</v>
      </c>
      <c r="T8" t="s">
        <v>664</v>
      </c>
      <c r="U8" s="362" t="e">
        <f ca="1">2*(U6-U5)</f>
        <v>#NAME?</v>
      </c>
      <c r="W8" s="351" t="e">
        <f ca="1"/>
        <v>#NAME?</v>
      </c>
      <c r="X8" s="352" t="e">
        <f ca="1"/>
        <v>#NAME?</v>
      </c>
      <c r="Y8" s="353" t="e">
        <f ca="1"/>
        <v>#NAME?</v>
      </c>
      <c r="AA8" s="349" t="e">
        <f ca="1"/>
        <v>#NAME?</v>
      </c>
      <c r="AD8" t="e">
        <f ca="1">G12</f>
        <v>#NAME?</v>
      </c>
      <c r="AE8" t="e">
        <f ca="1">H12</f>
        <v>#NAME?</v>
      </c>
      <c r="AF8" t="e">
        <f ca="1">AD8+AE8</f>
        <v>#NAME?</v>
      </c>
      <c r="AH8" t="e">
        <f ca="1"/>
        <v>#NAME?</v>
      </c>
      <c r="AI8" t="e">
        <f ca="1"/>
        <v>#NAME?</v>
      </c>
      <c r="AJ8" t="e">
        <f ca="1"/>
        <v>#NAME?</v>
      </c>
      <c r="AK8" t="e">
        <f t="shared" ca="1" si="8"/>
        <v>#NAME?</v>
      </c>
      <c r="AL8" t="e">
        <f t="shared" ca="1" si="8"/>
        <v>#NAME?</v>
      </c>
      <c r="AM8" t="e">
        <f t="shared" ca="1" si="9"/>
        <v>#NAME?</v>
      </c>
      <c r="AN8" t="e">
        <f t="shared" ca="1" si="10"/>
        <v>#NAME?</v>
      </c>
      <c r="AO8" t="e">
        <f t="shared" ca="1" si="11"/>
        <v>#NAME?</v>
      </c>
      <c r="AR8" s="185">
        <f t="shared" ref="AR8:AR30" si="12">AR7+1</f>
        <v>3</v>
      </c>
      <c r="AS8" s="317">
        <v>22</v>
      </c>
      <c r="AT8" s="332">
        <v>1</v>
      </c>
      <c r="AU8" s="185">
        <v>0</v>
      </c>
      <c r="AV8" s="7"/>
      <c r="AW8" s="214">
        <f t="shared" ref="AW8:AW29" si="13">AW7+1</f>
        <v>28</v>
      </c>
      <c r="AX8" s="317">
        <v>24</v>
      </c>
      <c r="AY8" s="332">
        <v>1</v>
      </c>
      <c r="AZ8" s="185">
        <v>1</v>
      </c>
    </row>
    <row r="9" spans="1:52" x14ac:dyDescent="0.25">
      <c r="A9" s="317">
        <v>22</v>
      </c>
      <c r="B9" s="332">
        <v>1</v>
      </c>
      <c r="C9" s="185">
        <v>0</v>
      </c>
      <c r="E9" t="e">
        <f ca="1"/>
        <v>#NAME?</v>
      </c>
      <c r="F9" t="e">
        <f ca="1"/>
        <v>#NAME?</v>
      </c>
      <c r="G9" s="183" t="e">
        <f ca="1"/>
        <v>#NAME?</v>
      </c>
      <c r="H9" s="7" t="e">
        <f ca="1"/>
        <v>#NAME?</v>
      </c>
      <c r="I9" s="43" t="e">
        <f t="shared" ca="1" si="0"/>
        <v>#NAME?</v>
      </c>
      <c r="J9" t="e">
        <f t="shared" ca="1" si="1"/>
        <v>#NAME?</v>
      </c>
      <c r="K9" t="e">
        <f t="shared" ca="1" si="2"/>
        <v>#NAME?</v>
      </c>
      <c r="L9" s="183" t="e">
        <f t="shared" ca="1" si="3"/>
        <v>#NAME?</v>
      </c>
      <c r="M9" s="43" t="e">
        <f t="shared" ca="1" si="4"/>
        <v>#NAME?</v>
      </c>
      <c r="N9" t="e">
        <f t="shared" ca="1" si="5"/>
        <v>#NAME?</v>
      </c>
      <c r="O9" t="e">
        <f t="shared" ca="1" si="6"/>
        <v>#NAME?</v>
      </c>
      <c r="P9" t="e">
        <f t="shared" ca="1" si="7"/>
        <v>#NAME?</v>
      </c>
      <c r="R9" s="349" t="e">
        <f ca="1"/>
        <v>#NAME?</v>
      </c>
      <c r="T9" t="s">
        <v>41</v>
      </c>
      <c r="U9" s="322">
        <f ca="1">COUNT(E6:F6)</f>
        <v>0</v>
      </c>
      <c r="AH9" t="e">
        <f ca="1"/>
        <v>#NAME?</v>
      </c>
      <c r="AI9" t="e">
        <f ca="1"/>
        <v>#NAME?</v>
      </c>
      <c r="AJ9" t="e">
        <f ca="1"/>
        <v>#NAME?</v>
      </c>
      <c r="AK9" t="e">
        <f t="shared" ca="1" si="8"/>
        <v>#NAME?</v>
      </c>
      <c r="AL9" t="e">
        <f t="shared" ca="1" si="8"/>
        <v>#NAME?</v>
      </c>
      <c r="AM9" t="e">
        <f t="shared" ca="1" si="9"/>
        <v>#NAME?</v>
      </c>
      <c r="AN9" t="e">
        <f t="shared" ca="1" si="10"/>
        <v>#NAME?</v>
      </c>
      <c r="AO9" t="e">
        <f t="shared" ca="1" si="11"/>
        <v>#NAME?</v>
      </c>
      <c r="AR9" s="185">
        <f t="shared" si="12"/>
        <v>4</v>
      </c>
      <c r="AS9" s="317">
        <v>24</v>
      </c>
      <c r="AT9" s="333">
        <v>0</v>
      </c>
      <c r="AU9" s="185">
        <v>0</v>
      </c>
      <c r="AV9" s="7"/>
      <c r="AW9" s="214">
        <f t="shared" si="13"/>
        <v>29</v>
      </c>
      <c r="AX9" s="317">
        <v>24</v>
      </c>
      <c r="AY9" s="333">
        <v>0</v>
      </c>
      <c r="AZ9" s="185">
        <v>1</v>
      </c>
    </row>
    <row r="10" spans="1:52" x14ac:dyDescent="0.25">
      <c r="A10" s="317">
        <v>20</v>
      </c>
      <c r="B10" s="332">
        <v>1</v>
      </c>
      <c r="C10" s="185">
        <v>0</v>
      </c>
      <c r="E10" t="e">
        <f ca="1"/>
        <v>#NAME?</v>
      </c>
      <c r="F10" t="e">
        <f ca="1"/>
        <v>#NAME?</v>
      </c>
      <c r="G10" s="183" t="e">
        <f ca="1"/>
        <v>#NAME?</v>
      </c>
      <c r="H10" s="7" t="e">
        <f ca="1"/>
        <v>#NAME?</v>
      </c>
      <c r="I10" s="43" t="e">
        <f t="shared" ca="1" si="0"/>
        <v>#NAME?</v>
      </c>
      <c r="J10" t="e">
        <f t="shared" ca="1" si="1"/>
        <v>#NAME?</v>
      </c>
      <c r="K10" t="e">
        <f t="shared" ca="1" si="2"/>
        <v>#NAME?</v>
      </c>
      <c r="L10" s="183" t="e">
        <f t="shared" ca="1" si="3"/>
        <v>#NAME?</v>
      </c>
      <c r="M10" s="43" t="e">
        <f t="shared" ca="1" si="4"/>
        <v>#NAME?</v>
      </c>
      <c r="N10" t="e">
        <f t="shared" ca="1" si="5"/>
        <v>#NAME?</v>
      </c>
      <c r="O10" t="e">
        <f t="shared" ca="1" si="6"/>
        <v>#NAME?</v>
      </c>
      <c r="P10" t="e">
        <f t="shared" ca="1" si="7"/>
        <v>#NAME?</v>
      </c>
      <c r="T10" t="s">
        <v>48</v>
      </c>
      <c r="U10" s="322" t="e">
        <f ca="1">CHIDIST(U8,U9)</f>
        <v>#NAME?</v>
      </c>
      <c r="AC10" t="s">
        <v>853</v>
      </c>
      <c r="AD10" s="363" t="e">
        <f ca="1">AD6/AD8</f>
        <v>#NAME?</v>
      </c>
      <c r="AE10" s="364" t="e">
        <f ca="1">AE7/AE8</f>
        <v>#NAME?</v>
      </c>
      <c r="AF10" t="e">
        <f ca="1">(AD6+AE7)/AF8</f>
        <v>#NAME?</v>
      </c>
      <c r="AH10" t="e">
        <f ca="1"/>
        <v>#NAME?</v>
      </c>
      <c r="AI10" t="e">
        <f ca="1"/>
        <v>#NAME?</v>
      </c>
      <c r="AJ10" t="e">
        <f ca="1"/>
        <v>#NAME?</v>
      </c>
      <c r="AK10" t="e">
        <f t="shared" ca="1" si="8"/>
        <v>#NAME?</v>
      </c>
      <c r="AL10" t="e">
        <f t="shared" ca="1" si="8"/>
        <v>#NAME?</v>
      </c>
      <c r="AM10" t="e">
        <f t="shared" ca="1" si="9"/>
        <v>#NAME?</v>
      </c>
      <c r="AN10" t="e">
        <f t="shared" ca="1" si="10"/>
        <v>#NAME?</v>
      </c>
      <c r="AO10" t="e">
        <f t="shared" ca="1" si="11"/>
        <v>#NAME?</v>
      </c>
      <c r="AR10" s="185">
        <f t="shared" si="12"/>
        <v>5</v>
      </c>
      <c r="AS10" s="317">
        <v>22</v>
      </c>
      <c r="AT10" s="332">
        <v>0</v>
      </c>
      <c r="AU10" s="185">
        <v>1</v>
      </c>
      <c r="AV10" s="7"/>
      <c r="AW10" s="214">
        <f t="shared" si="13"/>
        <v>30</v>
      </c>
      <c r="AX10" s="317">
        <v>22</v>
      </c>
      <c r="AY10" s="332">
        <v>1</v>
      </c>
      <c r="AZ10" s="185">
        <v>1</v>
      </c>
    </row>
    <row r="11" spans="1:52" x14ac:dyDescent="0.25">
      <c r="A11" s="317">
        <v>24</v>
      </c>
      <c r="B11" s="332">
        <v>1</v>
      </c>
      <c r="C11" s="185">
        <v>0</v>
      </c>
      <c r="E11" t="e">
        <f ca="1"/>
        <v>#NAME?</v>
      </c>
      <c r="F11" t="e">
        <f ca="1"/>
        <v>#NAME?</v>
      </c>
      <c r="G11" s="351" t="e">
        <f ca="1"/>
        <v>#NAME?</v>
      </c>
      <c r="H11" s="352" t="e">
        <f ca="1"/>
        <v>#NAME?</v>
      </c>
      <c r="I11" s="43" t="e">
        <f t="shared" ca="1" si="0"/>
        <v>#NAME?</v>
      </c>
      <c r="J11" t="e">
        <f t="shared" ca="1" si="1"/>
        <v>#NAME?</v>
      </c>
      <c r="K11" t="e">
        <f t="shared" ca="1" si="2"/>
        <v>#NAME?</v>
      </c>
      <c r="L11" s="183" t="e">
        <f t="shared" ca="1" si="3"/>
        <v>#NAME?</v>
      </c>
      <c r="M11" s="43" t="e">
        <f t="shared" ca="1" si="4"/>
        <v>#NAME?</v>
      </c>
      <c r="N11" t="e">
        <f t="shared" ca="1" si="5"/>
        <v>#NAME?</v>
      </c>
      <c r="O11" t="e">
        <f t="shared" ca="1" si="6"/>
        <v>#NAME?</v>
      </c>
      <c r="P11" t="e">
        <f t="shared" ca="1" si="7"/>
        <v>#NAME?</v>
      </c>
      <c r="T11" t="s">
        <v>70</v>
      </c>
      <c r="U11" s="322">
        <v>0.05</v>
      </c>
      <c r="AH11" t="e">
        <f ca="1"/>
        <v>#NAME?</v>
      </c>
      <c r="AI11" t="e">
        <f ca="1"/>
        <v>#NAME?</v>
      </c>
      <c r="AJ11" t="e">
        <f ca="1"/>
        <v>#NAME?</v>
      </c>
      <c r="AK11" t="e">
        <f t="shared" ca="1" si="8"/>
        <v>#NAME?</v>
      </c>
      <c r="AL11" t="e">
        <f t="shared" ca="1" si="8"/>
        <v>#NAME?</v>
      </c>
      <c r="AM11" t="e">
        <f t="shared" ca="1" si="9"/>
        <v>#NAME?</v>
      </c>
      <c r="AN11" t="e">
        <f t="shared" ca="1" si="10"/>
        <v>#NAME?</v>
      </c>
      <c r="AO11" t="e">
        <f t="shared" ca="1" si="11"/>
        <v>#NAME?</v>
      </c>
      <c r="AR11" s="185">
        <f t="shared" si="12"/>
        <v>6</v>
      </c>
      <c r="AS11" s="317">
        <v>22</v>
      </c>
      <c r="AT11" s="332">
        <v>1</v>
      </c>
      <c r="AU11" s="185">
        <v>0</v>
      </c>
      <c r="AV11" s="7"/>
      <c r="AW11" s="214">
        <f t="shared" si="13"/>
        <v>31</v>
      </c>
      <c r="AX11" s="317">
        <v>22</v>
      </c>
      <c r="AY11" s="333">
        <v>0</v>
      </c>
      <c r="AZ11" s="185">
        <v>0</v>
      </c>
    </row>
    <row r="12" spans="1:52" x14ac:dyDescent="0.25">
      <c r="A12" s="317">
        <v>24</v>
      </c>
      <c r="B12" s="333">
        <v>0</v>
      </c>
      <c r="C12" s="185">
        <v>0</v>
      </c>
      <c r="E12" s="4"/>
      <c r="F12" s="4"/>
      <c r="G12" s="4" t="e">
        <f ca="1">SUM(G6:G11)</f>
        <v>#NAME?</v>
      </c>
      <c r="H12" s="4" t="e">
        <f ca="1">SUM(H6:H11)</f>
        <v>#NAME?</v>
      </c>
      <c r="I12" s="361" t="e">
        <f ca="1">SUM(I6:I11)</f>
        <v>#NAME?</v>
      </c>
      <c r="J12" s="361"/>
      <c r="K12" s="361"/>
      <c r="L12" s="4" t="e">
        <f ca="1">SUM(L6:L11)</f>
        <v>#NAME?</v>
      </c>
      <c r="M12" s="4" t="e">
        <f ca="1">SUM(M6:M11)</f>
        <v>#NAME?</v>
      </c>
      <c r="N12" s="361" t="e">
        <f ca="1">SUM(N6:N11)</f>
        <v>#NAME?</v>
      </c>
      <c r="O12" s="361" t="e">
        <f ca="1">SUMPRODUCT(O6:O11,I6:I11)/I12</f>
        <v>#NAME?</v>
      </c>
      <c r="P12" s="361" t="e">
        <f ca="1">SUM(P6:P11)</f>
        <v>#NAME?</v>
      </c>
      <c r="T12" t="s">
        <v>164</v>
      </c>
      <c r="U12" s="350" t="e">
        <f ca="1">IF(U10&lt;U11,"yes","no")</f>
        <v>#NAME?</v>
      </c>
      <c r="AC12" t="s">
        <v>830</v>
      </c>
      <c r="AD12" s="365">
        <v>0.5</v>
      </c>
      <c r="AH12" s="354" t="e">
        <f ca="1"/>
        <v>#NAME?</v>
      </c>
      <c r="AI12" s="354" t="e">
        <f ca="1"/>
        <v>#NAME?</v>
      </c>
      <c r="AJ12" s="354" t="e">
        <f ca="1"/>
        <v>#NAME?</v>
      </c>
      <c r="AK12" s="354" t="e">
        <f t="shared" ca="1" si="8"/>
        <v>#NAME?</v>
      </c>
      <c r="AL12" s="354" t="e">
        <f t="shared" ca="1" si="8"/>
        <v>#NAME?</v>
      </c>
      <c r="AM12" s="354" t="e">
        <f t="shared" ca="1" si="9"/>
        <v>#NAME?</v>
      </c>
      <c r="AN12" s="354" t="e">
        <f t="shared" ca="1" si="10"/>
        <v>#NAME?</v>
      </c>
      <c r="AO12" s="354" t="e">
        <f t="shared" ca="1" si="11"/>
        <v>#NAME?</v>
      </c>
      <c r="AR12" s="185">
        <f t="shared" si="12"/>
        <v>7</v>
      </c>
      <c r="AS12" s="317">
        <v>20</v>
      </c>
      <c r="AT12" s="332">
        <v>1</v>
      </c>
      <c r="AU12" s="185">
        <v>0</v>
      </c>
      <c r="AV12" s="7"/>
      <c r="AW12" s="214">
        <f t="shared" si="13"/>
        <v>32</v>
      </c>
      <c r="AX12" s="317">
        <v>22</v>
      </c>
      <c r="AY12" s="333">
        <v>0</v>
      </c>
      <c r="AZ12" s="185">
        <v>1</v>
      </c>
    </row>
    <row r="13" spans="1:52" ht="15.75" thickBot="1" x14ac:dyDescent="0.3">
      <c r="A13" s="317">
        <v>20</v>
      </c>
      <c r="B13" s="332">
        <v>0</v>
      </c>
      <c r="C13" s="185">
        <v>1</v>
      </c>
      <c r="AO13" t="e">
        <f ca="1">SUM(AO6:AO12)</f>
        <v>#NAME?</v>
      </c>
      <c r="AR13" s="185">
        <f t="shared" si="12"/>
        <v>8</v>
      </c>
      <c r="AS13" s="317">
        <v>24</v>
      </c>
      <c r="AT13" s="332">
        <v>1</v>
      </c>
      <c r="AU13" s="185">
        <v>0</v>
      </c>
      <c r="AV13" s="7"/>
      <c r="AW13" s="214">
        <f t="shared" si="13"/>
        <v>33</v>
      </c>
      <c r="AX13" s="317">
        <v>20</v>
      </c>
      <c r="AY13" s="332">
        <v>1</v>
      </c>
      <c r="AZ13" s="185">
        <v>0</v>
      </c>
    </row>
    <row r="14" spans="1:52" ht="15.75" thickTop="1" x14ac:dyDescent="0.25">
      <c r="A14" s="317">
        <v>20</v>
      </c>
      <c r="B14" s="332">
        <v>0</v>
      </c>
      <c r="C14" s="185">
        <v>1</v>
      </c>
      <c r="E14" s="346"/>
      <c r="F14" s="346" t="s">
        <v>755</v>
      </c>
      <c r="G14" s="346" t="s">
        <v>148</v>
      </c>
      <c r="H14" s="346" t="s">
        <v>756</v>
      </c>
      <c r="I14" s="346" t="s">
        <v>48</v>
      </c>
      <c r="J14" s="346" t="s">
        <v>757</v>
      </c>
      <c r="K14" s="346" t="s">
        <v>15</v>
      </c>
      <c r="L14" s="346" t="s">
        <v>16</v>
      </c>
      <c r="T14" t="s">
        <v>661</v>
      </c>
      <c r="U14" s="362" t="e">
        <f ca="1">1-U6/U5</f>
        <v>#NAME?</v>
      </c>
      <c r="AR14" s="185">
        <f t="shared" si="12"/>
        <v>9</v>
      </c>
      <c r="AS14" s="317">
        <v>24</v>
      </c>
      <c r="AT14" s="333">
        <v>0</v>
      </c>
      <c r="AU14" s="185">
        <v>0</v>
      </c>
      <c r="AV14" s="7"/>
      <c r="AW14" s="214">
        <f t="shared" si="13"/>
        <v>34</v>
      </c>
      <c r="AX14" s="317">
        <v>24</v>
      </c>
      <c r="AY14" s="332">
        <v>1</v>
      </c>
      <c r="AZ14" s="185">
        <v>0</v>
      </c>
    </row>
    <row r="15" spans="1:52" x14ac:dyDescent="0.25">
      <c r="A15" s="317">
        <v>22</v>
      </c>
      <c r="B15" s="332">
        <v>1</v>
      </c>
      <c r="C15" s="185">
        <v>0</v>
      </c>
      <c r="E15" t="s">
        <v>127</v>
      </c>
      <c r="F15" t="e">
        <f t="array" ref="F15:F17" ca="1">R7:R9</f>
        <v>#NAME?</v>
      </c>
      <c r="G15" t="e">
        <f t="array" aca="1" ref="G15:G17" ca="1">SQRT(DIAG(W6:Y8))</f>
        <v>#NAME?</v>
      </c>
      <c r="H15" t="e">
        <f ca="1">(F15/G15)^2</f>
        <v>#NAME?</v>
      </c>
      <c r="I15" t="e">
        <f ca="1">CHIDIST(H15,1)</f>
        <v>#NAME?</v>
      </c>
      <c r="J15" t="e">
        <f ca="1">EXP(F15)</f>
        <v>#NAME?</v>
      </c>
      <c r="T15" t="s">
        <v>662</v>
      </c>
      <c r="U15" s="322" t="e">
        <f ca="1">1-EXP((-2/I12)*(U6-U5))</f>
        <v>#NAME?</v>
      </c>
      <c r="AR15" s="185">
        <f t="shared" si="12"/>
        <v>10</v>
      </c>
      <c r="AS15" s="317">
        <v>20</v>
      </c>
      <c r="AT15" s="332">
        <v>0</v>
      </c>
      <c r="AU15" s="185">
        <v>1</v>
      </c>
      <c r="AV15" s="7"/>
      <c r="AW15" s="214">
        <f t="shared" si="13"/>
        <v>35</v>
      </c>
      <c r="AX15" s="317">
        <v>24</v>
      </c>
      <c r="AY15" s="333">
        <v>0</v>
      </c>
      <c r="AZ15" s="185">
        <v>0</v>
      </c>
    </row>
    <row r="16" spans="1:52" x14ac:dyDescent="0.25">
      <c r="A16" s="317">
        <v>20</v>
      </c>
      <c r="B16" s="332">
        <v>1</v>
      </c>
      <c r="C16" s="185">
        <v>1</v>
      </c>
      <c r="E16" t="str">
        <f t="array" ref="E16:E17">TRANSPOSE(E5:F5)</f>
        <v>Temp</v>
      </c>
      <c r="F16" t="e">
        <f ca="1"/>
        <v>#NAME?</v>
      </c>
      <c r="G16" t="e">
        <f ca="1"/>
        <v>#NAME?</v>
      </c>
      <c r="H16" t="e">
        <f ca="1">(F16/G16)^2</f>
        <v>#NAME?</v>
      </c>
      <c r="I16" t="e">
        <f ca="1">CHIDIST(H16,1)</f>
        <v>#NAME?</v>
      </c>
      <c r="J16" t="e">
        <f ca="1">EXP(F16)</f>
        <v>#NAME?</v>
      </c>
      <c r="K16" t="e">
        <f ca="1">EXP(F16-G16*NORMSINV(1-$U$11/2))</f>
        <v>#NAME?</v>
      </c>
      <c r="L16" t="e">
        <f ca="1">EXP(F16+G16*NORMSINV(1-$U$11/2))</f>
        <v>#NAME?</v>
      </c>
      <c r="T16" t="s">
        <v>663</v>
      </c>
      <c r="U16" s="349" t="e">
        <f ca="1">U15/(1-EXP(2*U5/I12))</f>
        <v>#NAME?</v>
      </c>
      <c r="AR16" s="185">
        <f t="shared" si="12"/>
        <v>11</v>
      </c>
      <c r="AS16" s="317">
        <v>20</v>
      </c>
      <c r="AT16" s="332">
        <v>0</v>
      </c>
      <c r="AU16" s="185">
        <v>1</v>
      </c>
      <c r="AV16" s="7"/>
      <c r="AW16" s="214">
        <f t="shared" si="13"/>
        <v>36</v>
      </c>
      <c r="AX16" s="317">
        <v>22</v>
      </c>
      <c r="AY16" s="332">
        <v>1</v>
      </c>
      <c r="AZ16" s="185">
        <v>1</v>
      </c>
    </row>
    <row r="17" spans="1:52" x14ac:dyDescent="0.25">
      <c r="A17" s="317">
        <v>22</v>
      </c>
      <c r="B17" s="333">
        <v>0</v>
      </c>
      <c r="C17" s="185">
        <v>0</v>
      </c>
      <c r="E17" s="354" t="str">
        <v>Water</v>
      </c>
      <c r="F17" s="354" t="e">
        <f ca="1"/>
        <v>#NAME?</v>
      </c>
      <c r="G17" s="354" t="e">
        <f ca="1"/>
        <v>#NAME?</v>
      </c>
      <c r="H17" s="354" t="e">
        <f ca="1">(F17/G17)^2</f>
        <v>#NAME?</v>
      </c>
      <c r="I17" s="354" t="e">
        <f ca="1">CHIDIST(H17,1)</f>
        <v>#NAME?</v>
      </c>
      <c r="J17" s="354" t="e">
        <f ca="1">EXP(F17)</f>
        <v>#NAME?</v>
      </c>
      <c r="K17" s="354" t="e">
        <f ca="1">EXP(F17-G17*NORMSINV(1-$U$11/2))</f>
        <v>#NAME?</v>
      </c>
      <c r="L17" s="354" t="e">
        <f ca="1">EXP(F17+G17*NORMSINV(1-$U$11/2))</f>
        <v>#NAME?</v>
      </c>
      <c r="AR17" s="185">
        <f t="shared" si="12"/>
        <v>12</v>
      </c>
      <c r="AS17" s="317">
        <v>22</v>
      </c>
      <c r="AT17" s="332">
        <v>1</v>
      </c>
      <c r="AU17" s="185">
        <v>0</v>
      </c>
      <c r="AV17" s="7"/>
      <c r="AW17" s="214">
        <f t="shared" si="13"/>
        <v>37</v>
      </c>
      <c r="AX17" s="317">
        <v>20</v>
      </c>
      <c r="AY17" s="333">
        <v>0</v>
      </c>
      <c r="AZ17" s="185">
        <v>1</v>
      </c>
    </row>
    <row r="18" spans="1:52" x14ac:dyDescent="0.25">
      <c r="A18" s="317">
        <v>22</v>
      </c>
      <c r="B18" s="332">
        <v>0</v>
      </c>
      <c r="C18" s="185">
        <v>1</v>
      </c>
      <c r="T18" t="s">
        <v>814</v>
      </c>
      <c r="U18" s="362" t="e">
        <f ca="1">P12</f>
        <v>#NAME?</v>
      </c>
      <c r="AR18" s="185">
        <f t="shared" si="12"/>
        <v>13</v>
      </c>
      <c r="AS18" s="317">
        <v>20</v>
      </c>
      <c r="AT18" s="332">
        <v>1</v>
      </c>
      <c r="AU18" s="185">
        <v>1</v>
      </c>
      <c r="AV18" s="7"/>
      <c r="AW18" s="214">
        <f t="shared" si="13"/>
        <v>38</v>
      </c>
      <c r="AX18" s="317">
        <v>22</v>
      </c>
      <c r="AY18" s="332">
        <v>0</v>
      </c>
      <c r="AZ18" s="185">
        <v>0</v>
      </c>
    </row>
    <row r="19" spans="1:52" x14ac:dyDescent="0.25">
      <c r="A19" s="317">
        <v>24</v>
      </c>
      <c r="B19" s="332">
        <v>1</v>
      </c>
      <c r="C19" s="185">
        <v>1</v>
      </c>
      <c r="T19" t="s">
        <v>41</v>
      </c>
      <c r="U19" s="322">
        <f ca="1">COUNT(I6:I11)-2</f>
        <v>-2</v>
      </c>
      <c r="AR19" s="185">
        <f t="shared" si="12"/>
        <v>14</v>
      </c>
      <c r="AS19" s="317">
        <v>22</v>
      </c>
      <c r="AT19" s="333">
        <v>0</v>
      </c>
      <c r="AU19" s="185">
        <v>0</v>
      </c>
      <c r="AV19" s="7"/>
      <c r="AW19" s="214">
        <f t="shared" si="13"/>
        <v>39</v>
      </c>
      <c r="AX19" s="317">
        <v>22</v>
      </c>
      <c r="AY19" s="332">
        <v>1</v>
      </c>
      <c r="AZ19" s="185">
        <v>0</v>
      </c>
    </row>
    <row r="20" spans="1:52" x14ac:dyDescent="0.25">
      <c r="A20" s="317">
        <v>24</v>
      </c>
      <c r="B20" s="333">
        <v>0</v>
      </c>
      <c r="C20" s="185">
        <v>0</v>
      </c>
      <c r="E20" t="s">
        <v>114</v>
      </c>
      <c r="T20" t="s">
        <v>48</v>
      </c>
      <c r="U20" s="322" t="e">
        <f ca="1">CHIDIST(U18,U19)</f>
        <v>#NAME?</v>
      </c>
      <c r="AR20" s="185">
        <f t="shared" si="12"/>
        <v>15</v>
      </c>
      <c r="AS20" s="317">
        <v>22</v>
      </c>
      <c r="AT20" s="332">
        <v>0</v>
      </c>
      <c r="AU20" s="185">
        <v>1</v>
      </c>
      <c r="AV20" s="7"/>
      <c r="AW20" s="214">
        <f t="shared" si="13"/>
        <v>40</v>
      </c>
      <c r="AX20" s="317">
        <v>20</v>
      </c>
      <c r="AY20" s="332">
        <v>1</v>
      </c>
      <c r="AZ20" s="185">
        <v>1</v>
      </c>
    </row>
    <row r="21" spans="1:52" ht="15.75" thickBot="1" x14ac:dyDescent="0.3">
      <c r="A21" s="317">
        <v>22</v>
      </c>
      <c r="B21" s="332">
        <v>1</v>
      </c>
      <c r="C21" s="185">
        <v>0</v>
      </c>
      <c r="T21" t="s">
        <v>70</v>
      </c>
      <c r="U21" s="322">
        <f>U11</f>
        <v>0.05</v>
      </c>
      <c r="AR21" s="185">
        <f t="shared" si="12"/>
        <v>16</v>
      </c>
      <c r="AS21" s="317">
        <v>24</v>
      </c>
      <c r="AT21" s="332">
        <v>1</v>
      </c>
      <c r="AU21" s="185">
        <v>1</v>
      </c>
      <c r="AV21" s="7"/>
      <c r="AW21" s="214">
        <f t="shared" si="13"/>
        <v>41</v>
      </c>
      <c r="AX21" s="317">
        <v>20</v>
      </c>
      <c r="AY21" s="332">
        <v>1</v>
      </c>
      <c r="AZ21" s="185">
        <v>0</v>
      </c>
    </row>
    <row r="22" spans="1:52" ht="15.75" thickTop="1" x14ac:dyDescent="0.25">
      <c r="A22" s="317">
        <v>24</v>
      </c>
      <c r="B22" s="332">
        <v>1</v>
      </c>
      <c r="C22" s="185">
        <v>0</v>
      </c>
      <c r="E22" s="329" t="s">
        <v>656</v>
      </c>
      <c r="F22" s="329" t="s">
        <v>657</v>
      </c>
      <c r="G22" s="329" t="s">
        <v>94</v>
      </c>
      <c r="H22" s="329" t="s">
        <v>72</v>
      </c>
      <c r="I22" s="327" t="s">
        <v>1</v>
      </c>
      <c r="J22" s="327" t="s">
        <v>658</v>
      </c>
      <c r="K22" s="327" t="s">
        <v>659</v>
      </c>
      <c r="T22" t="s">
        <v>164</v>
      </c>
      <c r="U22" s="350" t="e">
        <f ca="1">IF(U20&lt;U21,"yes","no")</f>
        <v>#NAME?</v>
      </c>
      <c r="AR22" s="185">
        <f t="shared" si="12"/>
        <v>17</v>
      </c>
      <c r="AS22" s="317">
        <v>24</v>
      </c>
      <c r="AT22" s="333">
        <v>0</v>
      </c>
      <c r="AU22" s="185">
        <v>0</v>
      </c>
      <c r="AV22" s="7"/>
      <c r="AW22" s="214">
        <f t="shared" si="13"/>
        <v>42</v>
      </c>
      <c r="AX22" s="317">
        <v>22</v>
      </c>
      <c r="AY22" s="332">
        <v>1</v>
      </c>
      <c r="AZ22" s="185">
        <v>1</v>
      </c>
    </row>
    <row r="23" spans="1:52" x14ac:dyDescent="0.25">
      <c r="A23" s="317">
        <v>20</v>
      </c>
      <c r="B23" s="333">
        <v>0</v>
      </c>
      <c r="C23" s="185">
        <v>0</v>
      </c>
      <c r="E23">
        <v>22</v>
      </c>
      <c r="F23">
        <v>0</v>
      </c>
      <c r="K23" t="e">
        <f ca="1">1/(1+EXP(-$R$7-MMULT(E23:F23,$R$8:$R$9)))</f>
        <v>#NAME?</v>
      </c>
      <c r="AR23" s="185">
        <f t="shared" si="12"/>
        <v>18</v>
      </c>
      <c r="AS23" s="317">
        <v>22</v>
      </c>
      <c r="AT23" s="332">
        <v>1</v>
      </c>
      <c r="AU23" s="185">
        <v>0</v>
      </c>
      <c r="AV23" s="7"/>
      <c r="AW23" s="214">
        <f t="shared" si="13"/>
        <v>43</v>
      </c>
      <c r="AX23" s="317">
        <v>24</v>
      </c>
      <c r="AY23" s="333">
        <v>0</v>
      </c>
      <c r="AZ23" s="185">
        <v>1</v>
      </c>
    </row>
    <row r="24" spans="1:52" x14ac:dyDescent="0.25">
      <c r="A24" s="317">
        <v>20</v>
      </c>
      <c r="B24" s="332">
        <v>1</v>
      </c>
      <c r="C24" s="185">
        <v>0</v>
      </c>
      <c r="E24" s="113">
        <v>22</v>
      </c>
      <c r="F24" s="113">
        <v>1</v>
      </c>
      <c r="G24" s="113"/>
      <c r="H24" s="113"/>
      <c r="I24" s="113"/>
      <c r="J24" s="113"/>
      <c r="K24" s="113" t="e">
        <f ca="1">1/(1+EXP(-$R$7-MMULT(E24:F24,$R$8:$R$9)))</f>
        <v>#NAME?</v>
      </c>
      <c r="AR24" s="185">
        <f t="shared" si="12"/>
        <v>19</v>
      </c>
      <c r="AS24" s="317">
        <v>24</v>
      </c>
      <c r="AT24" s="332">
        <v>1</v>
      </c>
      <c r="AU24" s="185">
        <v>0</v>
      </c>
      <c r="AV24" s="7"/>
      <c r="AW24" s="214">
        <f t="shared" si="13"/>
        <v>44</v>
      </c>
      <c r="AX24" s="317">
        <v>20</v>
      </c>
      <c r="AY24" s="332">
        <v>1</v>
      </c>
      <c r="AZ24" s="185">
        <v>1</v>
      </c>
    </row>
    <row r="25" spans="1:52" x14ac:dyDescent="0.25">
      <c r="A25" s="317">
        <v>20</v>
      </c>
      <c r="B25" s="332">
        <v>0</v>
      </c>
      <c r="C25" s="185">
        <v>1</v>
      </c>
      <c r="AR25" s="185">
        <f t="shared" si="12"/>
        <v>20</v>
      </c>
      <c r="AS25" s="317">
        <v>20</v>
      </c>
      <c r="AT25" s="333">
        <v>0</v>
      </c>
      <c r="AU25" s="185">
        <v>0</v>
      </c>
      <c r="AV25" s="7"/>
      <c r="AW25" s="214">
        <f t="shared" si="13"/>
        <v>45</v>
      </c>
      <c r="AX25" s="317">
        <v>20</v>
      </c>
      <c r="AY25" s="332">
        <v>0</v>
      </c>
      <c r="AZ25" s="185">
        <v>1</v>
      </c>
    </row>
    <row r="26" spans="1:52" x14ac:dyDescent="0.25">
      <c r="A26" s="317">
        <v>20</v>
      </c>
      <c r="B26" s="332">
        <v>1</v>
      </c>
      <c r="C26" s="185">
        <v>1</v>
      </c>
      <c r="E26" t="s">
        <v>114</v>
      </c>
      <c r="AR26" s="185">
        <f t="shared" si="12"/>
        <v>21</v>
      </c>
      <c r="AS26" s="317">
        <v>20</v>
      </c>
      <c r="AT26" s="332">
        <v>1</v>
      </c>
      <c r="AU26" s="185">
        <v>0</v>
      </c>
      <c r="AV26" s="7"/>
      <c r="AW26" s="214">
        <f t="shared" si="13"/>
        <v>46</v>
      </c>
      <c r="AX26" s="317">
        <v>24</v>
      </c>
      <c r="AY26" s="332">
        <v>1</v>
      </c>
      <c r="AZ26" s="185">
        <v>0</v>
      </c>
    </row>
    <row r="27" spans="1:52" ht="15.75" thickBot="1" x14ac:dyDescent="0.3">
      <c r="A27" s="317">
        <v>20</v>
      </c>
      <c r="B27" s="332">
        <v>1</v>
      </c>
      <c r="C27" s="185">
        <v>1</v>
      </c>
      <c r="AR27" s="185">
        <f t="shared" si="12"/>
        <v>22</v>
      </c>
      <c r="AS27" s="317">
        <v>20</v>
      </c>
      <c r="AT27" s="332">
        <v>0</v>
      </c>
      <c r="AU27" s="185">
        <v>1</v>
      </c>
      <c r="AV27" s="7"/>
      <c r="AW27" s="214">
        <f t="shared" si="13"/>
        <v>47</v>
      </c>
      <c r="AX27" s="317">
        <v>24</v>
      </c>
      <c r="AY27" s="332">
        <v>1</v>
      </c>
      <c r="AZ27" s="185">
        <v>0</v>
      </c>
    </row>
    <row r="28" spans="1:52" ht="15.75" thickTop="1" x14ac:dyDescent="0.25">
      <c r="A28" s="317">
        <v>20</v>
      </c>
      <c r="B28" s="333">
        <v>0</v>
      </c>
      <c r="C28" s="185">
        <v>1</v>
      </c>
      <c r="E28" s="329" t="s">
        <v>656</v>
      </c>
      <c r="F28" s="329" t="s">
        <v>657</v>
      </c>
      <c r="G28" s="329" t="s">
        <v>659</v>
      </c>
      <c r="AR28" s="185">
        <f t="shared" si="12"/>
        <v>23</v>
      </c>
      <c r="AS28" s="317">
        <v>20</v>
      </c>
      <c r="AT28" s="332">
        <v>1</v>
      </c>
      <c r="AU28" s="185">
        <v>1</v>
      </c>
      <c r="AV28" s="7"/>
      <c r="AW28" s="214">
        <f t="shared" si="13"/>
        <v>48</v>
      </c>
      <c r="AX28" s="317">
        <v>22</v>
      </c>
      <c r="AY28" s="332">
        <v>0</v>
      </c>
      <c r="AZ28" s="185">
        <v>1</v>
      </c>
    </row>
    <row r="29" spans="1:52" x14ac:dyDescent="0.25">
      <c r="A29" s="317">
        <v>24</v>
      </c>
      <c r="B29" s="333">
        <v>0</v>
      </c>
      <c r="C29" s="185">
        <v>0</v>
      </c>
      <c r="E29">
        <v>23</v>
      </c>
      <c r="F29">
        <v>0</v>
      </c>
      <c r="G29" t="e">
        <f ca="1">1/(1+EXP(-$P$7-MMULT(A29:B29,$P$8:$P$9)))</f>
        <v>#NAME?</v>
      </c>
      <c r="AR29" s="185">
        <f t="shared" si="12"/>
        <v>24</v>
      </c>
      <c r="AS29" s="317">
        <v>20</v>
      </c>
      <c r="AT29" s="332">
        <v>1</v>
      </c>
      <c r="AU29" s="185">
        <v>1</v>
      </c>
      <c r="AV29" s="7"/>
      <c r="AW29" s="112">
        <f t="shared" si="13"/>
        <v>49</v>
      </c>
      <c r="AX29" s="320">
        <v>24</v>
      </c>
      <c r="AY29" s="335">
        <v>1</v>
      </c>
      <c r="AZ29" s="123">
        <v>0</v>
      </c>
    </row>
    <row r="30" spans="1:52" x14ac:dyDescent="0.25">
      <c r="A30" s="317">
        <v>22</v>
      </c>
      <c r="B30" s="333">
        <v>0</v>
      </c>
      <c r="C30" s="185">
        <v>1</v>
      </c>
      <c r="E30" s="113">
        <v>23</v>
      </c>
      <c r="F30" s="113">
        <v>1</v>
      </c>
      <c r="G30" s="113" t="e">
        <f ca="1">1/(1+EXP(-$P$7-MMULT(E30:F30,$P$8:$P$9)))</f>
        <v>#NAME?</v>
      </c>
      <c r="AR30" s="123">
        <f t="shared" si="12"/>
        <v>25</v>
      </c>
      <c r="AS30" s="320">
        <v>20</v>
      </c>
      <c r="AT30" s="336">
        <v>0</v>
      </c>
      <c r="AU30" s="123">
        <v>1</v>
      </c>
      <c r="AV30" s="7"/>
    </row>
    <row r="31" spans="1:52" x14ac:dyDescent="0.25">
      <c r="A31" s="317">
        <v>24</v>
      </c>
      <c r="B31" s="332">
        <v>1</v>
      </c>
      <c r="C31" s="185">
        <v>1</v>
      </c>
    </row>
    <row r="32" spans="1:52" x14ac:dyDescent="0.25">
      <c r="A32" s="317">
        <v>24</v>
      </c>
      <c r="B32" s="333">
        <v>0</v>
      </c>
      <c r="C32" s="185">
        <v>1</v>
      </c>
      <c r="E32" t="s">
        <v>1220</v>
      </c>
    </row>
    <row r="33" spans="1:16" x14ac:dyDescent="0.25">
      <c r="A33" s="317">
        <v>22</v>
      </c>
      <c r="B33" s="332">
        <v>1</v>
      </c>
      <c r="C33" s="185">
        <v>1</v>
      </c>
    </row>
    <row r="34" spans="1:16" x14ac:dyDescent="0.25">
      <c r="A34" s="317">
        <v>22</v>
      </c>
      <c r="B34" s="333">
        <v>0</v>
      </c>
      <c r="C34" s="185">
        <v>0</v>
      </c>
      <c r="E34" s="14" t="s">
        <v>927</v>
      </c>
      <c r="N34" s="14" t="s">
        <v>886</v>
      </c>
    </row>
    <row r="35" spans="1:16" x14ac:dyDescent="0.25">
      <c r="A35" s="317">
        <v>22</v>
      </c>
      <c r="B35" s="333">
        <v>0</v>
      </c>
      <c r="C35" s="185">
        <v>1</v>
      </c>
    </row>
    <row r="36" spans="1:16" x14ac:dyDescent="0.25">
      <c r="A36" s="317">
        <v>20</v>
      </c>
      <c r="B36" s="332">
        <v>1</v>
      </c>
      <c r="C36" s="185">
        <v>0</v>
      </c>
      <c r="E36" t="e">
        <f t="array" aca="1" ref="E36:L39" ca="1">LogitCoeff(A3:C52,TRUE,TRUE,TRUE)</f>
        <v>#NAME?</v>
      </c>
      <c r="F36" t="e">
        <f ca="1"/>
        <v>#NAME?</v>
      </c>
      <c r="G36" t="e">
        <f ca="1"/>
        <v>#NAME?</v>
      </c>
      <c r="H36" t="e">
        <f ca="1"/>
        <v>#NAME?</v>
      </c>
      <c r="I36" t="e">
        <f ca="1"/>
        <v>#NAME?</v>
      </c>
      <c r="J36" t="e">
        <f ca="1"/>
        <v>#NAME?</v>
      </c>
      <c r="K36" t="e">
        <f ca="1"/>
        <v>#NAME?</v>
      </c>
      <c r="L36" t="e">
        <f ca="1"/>
        <v>#NAME?</v>
      </c>
      <c r="N36" t="s">
        <v>656</v>
      </c>
      <c r="O36" t="s">
        <v>657</v>
      </c>
      <c r="P36" t="s">
        <v>659</v>
      </c>
    </row>
    <row r="37" spans="1:16" x14ac:dyDescent="0.25">
      <c r="A37" s="317">
        <v>24</v>
      </c>
      <c r="B37" s="332">
        <v>1</v>
      </c>
      <c r="C37" s="185">
        <v>0</v>
      </c>
      <c r="E37" t="e">
        <f ca="1"/>
        <v>#NAME?</v>
      </c>
      <c r="F37" s="344" t="e">
        <f ca="1"/>
        <v>#NAME?</v>
      </c>
      <c r="G37" s="345" t="e">
        <f ca="1"/>
        <v>#NAME?</v>
      </c>
      <c r="H37" s="345" t="e">
        <f ca="1"/>
        <v>#NAME?</v>
      </c>
      <c r="I37" s="345" t="e">
        <f ca="1"/>
        <v>#NAME?</v>
      </c>
      <c r="J37" s="345" t="e">
        <f ca="1"/>
        <v>#NAME?</v>
      </c>
      <c r="K37" s="345" t="e">
        <f ca="1"/>
        <v>#NAME?</v>
      </c>
      <c r="L37" s="347" t="e">
        <f ca="1"/>
        <v>#NAME?</v>
      </c>
      <c r="N37" s="344">
        <v>22</v>
      </c>
      <c r="O37" s="345">
        <v>0</v>
      </c>
      <c r="P37" s="347" t="e">
        <f ca="1">LogitPred(N37:O37,$A$4:$C$52,TRUE)</f>
        <v>#NAME?</v>
      </c>
    </row>
    <row r="38" spans="1:16" x14ac:dyDescent="0.25">
      <c r="A38" s="317">
        <v>24</v>
      </c>
      <c r="B38" s="333">
        <v>0</v>
      </c>
      <c r="C38" s="185">
        <v>0</v>
      </c>
      <c r="E38" t="e">
        <f ca="1"/>
        <v>#NAME?</v>
      </c>
      <c r="F38" s="214" t="e">
        <f ca="1"/>
        <v>#NAME?</v>
      </c>
      <c r="G38" s="7" t="e">
        <f ca="1"/>
        <v>#NAME?</v>
      </c>
      <c r="H38" s="7" t="e">
        <f ca="1"/>
        <v>#NAME?</v>
      </c>
      <c r="I38" s="7" t="e">
        <f ca="1"/>
        <v>#NAME?</v>
      </c>
      <c r="J38" s="7" t="e">
        <f ca="1"/>
        <v>#NAME?</v>
      </c>
      <c r="K38" s="7" t="e">
        <f ca="1"/>
        <v>#NAME?</v>
      </c>
      <c r="L38" s="215" t="e">
        <f ca="1"/>
        <v>#NAME?</v>
      </c>
      <c r="N38" s="112">
        <v>23</v>
      </c>
      <c r="O38" s="354">
        <v>1</v>
      </c>
      <c r="P38" s="120" t="e">
        <f ca="1">LogitPred(N38:O38,$A$4:$C$52,TRUE)</f>
        <v>#NAME?</v>
      </c>
    </row>
    <row r="39" spans="1:16" x14ac:dyDescent="0.25">
      <c r="A39" s="317">
        <v>22</v>
      </c>
      <c r="B39" s="332">
        <v>1</v>
      </c>
      <c r="C39" s="185">
        <v>1</v>
      </c>
      <c r="E39" t="e">
        <f ca="1"/>
        <v>#NAME?</v>
      </c>
      <c r="F39" s="112" t="e">
        <f ca="1"/>
        <v>#NAME?</v>
      </c>
      <c r="G39" s="354" t="e">
        <f ca="1"/>
        <v>#NAME?</v>
      </c>
      <c r="H39" s="354" t="e">
        <f ca="1"/>
        <v>#NAME?</v>
      </c>
      <c r="I39" s="354" t="e">
        <f ca="1"/>
        <v>#NAME?</v>
      </c>
      <c r="J39" s="354" t="e">
        <f ca="1"/>
        <v>#NAME?</v>
      </c>
      <c r="K39" s="354" t="e">
        <f ca="1"/>
        <v>#NAME?</v>
      </c>
      <c r="L39" s="120" t="e">
        <f ca="1"/>
        <v>#NAME?</v>
      </c>
    </row>
    <row r="40" spans="1:16" x14ac:dyDescent="0.25">
      <c r="A40" s="317">
        <v>20</v>
      </c>
      <c r="B40" s="333">
        <v>0</v>
      </c>
      <c r="C40" s="185">
        <v>1</v>
      </c>
      <c r="N40" s="14" t="s">
        <v>887</v>
      </c>
    </row>
    <row r="41" spans="1:16" x14ac:dyDescent="0.25">
      <c r="A41" s="317">
        <v>22</v>
      </c>
      <c r="B41" s="332">
        <v>0</v>
      </c>
      <c r="C41" s="185">
        <v>0</v>
      </c>
      <c r="E41" s="14" t="s">
        <v>889</v>
      </c>
      <c r="I41" s="14" t="s">
        <v>890</v>
      </c>
    </row>
    <row r="42" spans="1:16" x14ac:dyDescent="0.25">
      <c r="A42" s="317">
        <v>22</v>
      </c>
      <c r="B42" s="332">
        <v>1</v>
      </c>
      <c r="C42" s="185">
        <v>0</v>
      </c>
      <c r="N42" t="s">
        <v>656</v>
      </c>
      <c r="O42" t="s">
        <v>657</v>
      </c>
      <c r="P42" t="s">
        <v>659</v>
      </c>
    </row>
    <row r="43" spans="1:16" x14ac:dyDescent="0.25">
      <c r="A43" s="317">
        <v>20</v>
      </c>
      <c r="B43" s="332">
        <v>1</v>
      </c>
      <c r="C43" s="185">
        <v>1</v>
      </c>
      <c r="E43" t="e">
        <f t="array" aca="1" ref="E43:F47" ca="1">LogitTest(A4:C52,TRUE,TRUE)</f>
        <v>#NAME?</v>
      </c>
      <c r="F43" s="391" t="e">
        <f ca="1"/>
        <v>#NAME?</v>
      </c>
      <c r="I43" s="12" t="s">
        <v>656</v>
      </c>
      <c r="J43" s="12" t="s">
        <v>657</v>
      </c>
      <c r="K43" s="12" t="s">
        <v>94</v>
      </c>
      <c r="L43" s="12" t="s">
        <v>72</v>
      </c>
      <c r="N43" s="344">
        <v>22</v>
      </c>
      <c r="O43" s="345">
        <v>0</v>
      </c>
      <c r="P43" s="347" t="e">
        <f ca="1">LogitPredC(N43:O43,$F$37:$F$39)</f>
        <v>#NAME?</v>
      </c>
    </row>
    <row r="44" spans="1:16" x14ac:dyDescent="0.25">
      <c r="A44" s="317">
        <v>20</v>
      </c>
      <c r="B44" s="332">
        <v>1</v>
      </c>
      <c r="C44" s="185">
        <v>0</v>
      </c>
      <c r="E44" t="e">
        <f ca="1"/>
        <v>#NAME?</v>
      </c>
      <c r="F44" s="185" t="e">
        <f ca="1"/>
        <v>#NAME?</v>
      </c>
      <c r="I44" s="344" t="e">
        <f t="array" aca="1" ref="I44:L49" ca="1">LogitSummary(A4:C52)</f>
        <v>#NAME?</v>
      </c>
      <c r="J44" s="345" t="e">
        <f ca="1"/>
        <v>#NAME?</v>
      </c>
      <c r="K44" s="345" t="e">
        <f ca="1"/>
        <v>#NAME?</v>
      </c>
      <c r="L44" s="347" t="e">
        <f ca="1"/>
        <v>#NAME?</v>
      </c>
      <c r="N44" s="112">
        <v>23</v>
      </c>
      <c r="O44" s="354">
        <v>1</v>
      </c>
      <c r="P44" s="120" t="e">
        <f ca="1">LogitPredC(N44:O44,$F$37:$F$39)</f>
        <v>#NAME?</v>
      </c>
    </row>
    <row r="45" spans="1:16" x14ac:dyDescent="0.25">
      <c r="A45" s="317">
        <v>22</v>
      </c>
      <c r="B45" s="332">
        <v>1</v>
      </c>
      <c r="C45" s="185">
        <v>1</v>
      </c>
      <c r="E45" t="e">
        <f ca="1"/>
        <v>#NAME?</v>
      </c>
      <c r="F45" s="185" t="e">
        <f ca="1"/>
        <v>#NAME?</v>
      </c>
      <c r="I45" s="214" t="e">
        <f ca="1"/>
        <v>#NAME?</v>
      </c>
      <c r="J45" s="7" t="e">
        <f ca="1"/>
        <v>#NAME?</v>
      </c>
      <c r="K45" s="7" t="e">
        <f ca="1"/>
        <v>#NAME?</v>
      </c>
      <c r="L45" s="215" t="e">
        <f ca="1"/>
        <v>#NAME?</v>
      </c>
    </row>
    <row r="46" spans="1:16" x14ac:dyDescent="0.25">
      <c r="A46" s="317">
        <v>24</v>
      </c>
      <c r="B46" s="333">
        <v>0</v>
      </c>
      <c r="C46" s="185">
        <v>1</v>
      </c>
      <c r="E46" t="e">
        <f ca="1"/>
        <v>#NAME?</v>
      </c>
      <c r="F46" s="185" t="e">
        <f ca="1"/>
        <v>#NAME?</v>
      </c>
      <c r="I46" s="214" t="e">
        <f ca="1"/>
        <v>#NAME?</v>
      </c>
      <c r="J46" s="7" t="e">
        <f ca="1"/>
        <v>#NAME?</v>
      </c>
      <c r="K46" s="7" t="e">
        <f ca="1"/>
        <v>#NAME?</v>
      </c>
      <c r="L46" s="215" t="e">
        <f ca="1"/>
        <v>#NAME?</v>
      </c>
      <c r="N46" s="14" t="s">
        <v>888</v>
      </c>
    </row>
    <row r="47" spans="1:16" x14ac:dyDescent="0.25">
      <c r="A47" s="317">
        <v>20</v>
      </c>
      <c r="B47" s="332">
        <v>1</v>
      </c>
      <c r="C47" s="185">
        <v>1</v>
      </c>
      <c r="E47" t="e">
        <f ca="1"/>
        <v>#NAME?</v>
      </c>
      <c r="F47" s="123" t="e">
        <f ca="1"/>
        <v>#NAME?</v>
      </c>
      <c r="I47" s="214" t="e">
        <f ca="1"/>
        <v>#NAME?</v>
      </c>
      <c r="J47" s="7" t="e">
        <f ca="1"/>
        <v>#NAME?</v>
      </c>
      <c r="K47" s="7" t="e">
        <f ca="1"/>
        <v>#NAME?</v>
      </c>
      <c r="L47" s="215" t="e">
        <f ca="1"/>
        <v>#NAME?</v>
      </c>
    </row>
    <row r="48" spans="1:16" x14ac:dyDescent="0.25">
      <c r="A48" s="317">
        <v>20</v>
      </c>
      <c r="B48" s="332">
        <v>0</v>
      </c>
      <c r="C48" s="185">
        <v>1</v>
      </c>
      <c r="I48" s="214" t="e">
        <f ca="1"/>
        <v>#NAME?</v>
      </c>
      <c r="J48" s="7" t="e">
        <f ca="1"/>
        <v>#NAME?</v>
      </c>
      <c r="K48" s="7" t="e">
        <f ca="1"/>
        <v>#NAME?</v>
      </c>
      <c r="L48" s="215" t="e">
        <f ca="1"/>
        <v>#NAME?</v>
      </c>
      <c r="N48" t="s">
        <v>656</v>
      </c>
      <c r="O48" t="s">
        <v>657</v>
      </c>
      <c r="P48" t="s">
        <v>659</v>
      </c>
    </row>
    <row r="49" spans="1:16" x14ac:dyDescent="0.25">
      <c r="A49" s="317">
        <v>24</v>
      </c>
      <c r="B49" s="332">
        <v>1</v>
      </c>
      <c r="C49" s="185">
        <v>0</v>
      </c>
      <c r="I49" s="112" t="e">
        <f ca="1"/>
        <v>#NAME?</v>
      </c>
      <c r="J49" s="354" t="e">
        <f ca="1"/>
        <v>#NAME?</v>
      </c>
      <c r="K49" s="354" t="e">
        <f ca="1"/>
        <v>#NAME?</v>
      </c>
      <c r="L49" s="120" t="e">
        <f ca="1"/>
        <v>#NAME?</v>
      </c>
      <c r="N49" s="344">
        <v>22</v>
      </c>
      <c r="O49" s="345">
        <v>0</v>
      </c>
      <c r="P49" s="347" t="e">
        <f ca="1">LogitPred(N49:O49,$E$6:$H$11)</f>
        <v>#NAME?</v>
      </c>
    </row>
    <row r="50" spans="1:16" x14ac:dyDescent="0.25">
      <c r="A50" s="317">
        <v>24</v>
      </c>
      <c r="B50" s="332">
        <v>1</v>
      </c>
      <c r="C50" s="185">
        <v>0</v>
      </c>
      <c r="N50" s="112">
        <v>23</v>
      </c>
      <c r="O50" s="354">
        <v>1</v>
      </c>
      <c r="P50" s="120" t="e">
        <f ca="1">LogitPred(N50:O50,$E$6:$H$11)</f>
        <v>#NAME?</v>
      </c>
    </row>
    <row r="51" spans="1:16" x14ac:dyDescent="0.25">
      <c r="A51" s="317">
        <v>22</v>
      </c>
      <c r="B51" s="332">
        <v>0</v>
      </c>
      <c r="C51" s="185">
        <v>1</v>
      </c>
    </row>
    <row r="52" spans="1:16" x14ac:dyDescent="0.25">
      <c r="A52" s="320">
        <v>24</v>
      </c>
      <c r="B52" s="335">
        <v>1</v>
      </c>
      <c r="C52" s="123">
        <v>0</v>
      </c>
      <c r="I52" s="14" t="s">
        <v>926</v>
      </c>
    </row>
    <row r="54" spans="1:16" x14ac:dyDescent="0.25">
      <c r="I54" t="e">
        <f t="array" aca="1" ref="I54:L60" ca="1">LogitSummary(A3:C52,TRUE)</f>
        <v>#NAME?</v>
      </c>
      <c r="J54" t="e">
        <f ca="1"/>
        <v>#NAME?</v>
      </c>
      <c r="K54" t="e">
        <f ca="1"/>
        <v>#NAME?</v>
      </c>
      <c r="L54" t="e">
        <f ca="1"/>
        <v>#NAME?</v>
      </c>
    </row>
    <row r="55" spans="1:16" x14ac:dyDescent="0.25">
      <c r="I55" s="3" t="e">
        <f ca="1"/>
        <v>#NAME?</v>
      </c>
      <c r="J55" s="387" t="e">
        <f ca="1"/>
        <v>#NAME?</v>
      </c>
      <c r="K55" s="387" t="e">
        <f ca="1"/>
        <v>#NAME?</v>
      </c>
      <c r="L55" s="5" t="e">
        <f ca="1"/>
        <v>#NAME?</v>
      </c>
    </row>
    <row r="56" spans="1:16" x14ac:dyDescent="0.25">
      <c r="I56" s="214" t="e">
        <f ca="1"/>
        <v>#NAME?</v>
      </c>
      <c r="J56" s="7" t="e">
        <f ca="1"/>
        <v>#NAME?</v>
      </c>
      <c r="K56" s="7" t="e">
        <f ca="1"/>
        <v>#NAME?</v>
      </c>
      <c r="L56" s="215" t="e">
        <f ca="1"/>
        <v>#NAME?</v>
      </c>
    </row>
    <row r="57" spans="1:16" x14ac:dyDescent="0.25">
      <c r="I57" s="214" t="e">
        <f ca="1"/>
        <v>#NAME?</v>
      </c>
      <c r="J57" s="7" t="e">
        <f ca="1"/>
        <v>#NAME?</v>
      </c>
      <c r="K57" s="7" t="e">
        <f ca="1"/>
        <v>#NAME?</v>
      </c>
      <c r="L57" s="215" t="e">
        <f ca="1"/>
        <v>#NAME?</v>
      </c>
    </row>
    <row r="58" spans="1:16" x14ac:dyDescent="0.25">
      <c r="I58" s="214" t="e">
        <f ca="1"/>
        <v>#NAME?</v>
      </c>
      <c r="J58" s="7" t="e">
        <f ca="1"/>
        <v>#NAME?</v>
      </c>
      <c r="K58" s="7" t="e">
        <f ca="1"/>
        <v>#NAME?</v>
      </c>
      <c r="L58" s="215" t="e">
        <f ca="1"/>
        <v>#NAME?</v>
      </c>
    </row>
    <row r="59" spans="1:16" x14ac:dyDescent="0.25">
      <c r="I59" s="214" t="e">
        <f ca="1"/>
        <v>#NAME?</v>
      </c>
      <c r="J59" s="7" t="e">
        <f ca="1"/>
        <v>#NAME?</v>
      </c>
      <c r="K59" s="7" t="e">
        <f ca="1"/>
        <v>#NAME?</v>
      </c>
      <c r="L59" s="215" t="e">
        <f ca="1"/>
        <v>#NAME?</v>
      </c>
    </row>
    <row r="60" spans="1:16" x14ac:dyDescent="0.25">
      <c r="I60" s="112" t="e">
        <f ca="1"/>
        <v>#NAME?</v>
      </c>
      <c r="J60" s="354" t="e">
        <f ca="1"/>
        <v>#NAME?</v>
      </c>
      <c r="K60" s="354" t="e">
        <f ca="1"/>
        <v>#NAME?</v>
      </c>
      <c r="L60" s="120" t="e">
        <f ca="1"/>
        <v>#NAME?</v>
      </c>
    </row>
    <row r="62" spans="1:16" x14ac:dyDescent="0.25">
      <c r="E62" s="14" t="s">
        <v>885</v>
      </c>
    </row>
    <row r="64" spans="1:16" x14ac:dyDescent="0.25">
      <c r="E64" t="e">
        <f t="array" aca="1" ref="E64:L67" ca="1">LogitCoeff(A4:C52,TRUE,TRUE)</f>
        <v>#NAME?</v>
      </c>
      <c r="F64" t="e">
        <f ca="1"/>
        <v>#NAME?</v>
      </c>
      <c r="G64" t="e">
        <f ca="1"/>
        <v>#NAME?</v>
      </c>
      <c r="H64" t="e">
        <f ca="1"/>
        <v>#NAME?</v>
      </c>
      <c r="I64" t="e">
        <f ca="1"/>
        <v>#NAME?</v>
      </c>
      <c r="J64" t="e">
        <f ca="1"/>
        <v>#NAME?</v>
      </c>
      <c r="K64" t="e">
        <f ca="1"/>
        <v>#NAME?</v>
      </c>
      <c r="L64" t="e">
        <f ca="1"/>
        <v>#NAME?</v>
      </c>
    </row>
    <row r="65" spans="5:12" x14ac:dyDescent="0.25">
      <c r="E65" t="e">
        <f ca="1"/>
        <v>#NAME?</v>
      </c>
      <c r="F65" s="344" t="e">
        <f ca="1"/>
        <v>#NAME?</v>
      </c>
      <c r="G65" s="345" t="e">
        <f ca="1"/>
        <v>#NAME?</v>
      </c>
      <c r="H65" s="345" t="e">
        <f ca="1"/>
        <v>#NAME?</v>
      </c>
      <c r="I65" s="345" t="e">
        <f ca="1"/>
        <v>#NAME?</v>
      </c>
      <c r="J65" s="345" t="e">
        <f ca="1"/>
        <v>#NAME?</v>
      </c>
      <c r="K65" s="345" t="e">
        <f ca="1"/>
        <v>#NAME?</v>
      </c>
      <c r="L65" s="347" t="e">
        <f ca="1"/>
        <v>#NAME?</v>
      </c>
    </row>
    <row r="66" spans="5:12" x14ac:dyDescent="0.25">
      <c r="E66" t="e">
        <f ca="1"/>
        <v>#NAME?</v>
      </c>
      <c r="F66" s="214" t="e">
        <f ca="1"/>
        <v>#NAME?</v>
      </c>
      <c r="G66" s="7" t="e">
        <f ca="1"/>
        <v>#NAME?</v>
      </c>
      <c r="H66" s="7" t="e">
        <f ca="1"/>
        <v>#NAME?</v>
      </c>
      <c r="I66" s="7" t="e">
        <f ca="1"/>
        <v>#NAME?</v>
      </c>
      <c r="J66" s="7" t="e">
        <f ca="1"/>
        <v>#NAME?</v>
      </c>
      <c r="K66" s="7" t="e">
        <f ca="1"/>
        <v>#NAME?</v>
      </c>
      <c r="L66" s="215" t="e">
        <f ca="1"/>
        <v>#NAME?</v>
      </c>
    </row>
    <row r="67" spans="5:12" x14ac:dyDescent="0.25">
      <c r="E67" t="e">
        <f ca="1"/>
        <v>#NAME?</v>
      </c>
      <c r="F67" s="112" t="e">
        <f ca="1"/>
        <v>#NAME?</v>
      </c>
      <c r="G67" s="354" t="e">
        <f ca="1"/>
        <v>#NAME?</v>
      </c>
      <c r="H67" s="354" t="e">
        <f ca="1"/>
        <v>#NAME?</v>
      </c>
      <c r="I67" s="354" t="e">
        <f ca="1"/>
        <v>#NAME?</v>
      </c>
      <c r="J67" s="354" t="e">
        <f ca="1"/>
        <v>#NAME?</v>
      </c>
      <c r="K67" s="354" t="e">
        <f ca="1"/>
        <v>#NAME?</v>
      </c>
      <c r="L67" s="120" t="e">
        <f ca="1"/>
        <v>#NAME?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H52"/>
  <sheetViews>
    <sheetView workbookViewId="0"/>
  </sheetViews>
  <sheetFormatPr defaultRowHeight="15" x14ac:dyDescent="0.25"/>
  <sheetData>
    <row r="1" spans="1:8" x14ac:dyDescent="0.25">
      <c r="A1" s="1" t="s">
        <v>1105</v>
      </c>
    </row>
    <row r="3" spans="1:8" x14ac:dyDescent="0.25">
      <c r="A3" s="294" t="s">
        <v>656</v>
      </c>
      <c r="B3" s="294" t="s">
        <v>657</v>
      </c>
      <c r="C3" s="12" t="s">
        <v>94</v>
      </c>
      <c r="E3" s="294" t="s">
        <v>656</v>
      </c>
      <c r="F3" s="294" t="s">
        <v>657</v>
      </c>
      <c r="G3" s="294" t="s">
        <v>815</v>
      </c>
      <c r="H3" s="294" t="s">
        <v>816</v>
      </c>
    </row>
    <row r="4" spans="1:8" x14ac:dyDescent="0.25">
      <c r="A4" s="315">
        <v>20</v>
      </c>
      <c r="B4" s="334">
        <v>0</v>
      </c>
      <c r="C4" s="309">
        <v>1</v>
      </c>
      <c r="E4" s="470">
        <v>20</v>
      </c>
      <c r="F4" s="471">
        <v>0</v>
      </c>
      <c r="G4" s="418" t="e">
        <f t="array" aca="1" ref="G4:H9" ca="1">LogitMatches(A4:C52,E4:F9)</f>
        <v>#NAME?</v>
      </c>
      <c r="H4" s="419" t="e">
        <f ca="1"/>
        <v>#NAME?</v>
      </c>
    </row>
    <row r="5" spans="1:8" x14ac:dyDescent="0.25">
      <c r="A5" s="317">
        <v>22</v>
      </c>
      <c r="B5" s="332">
        <v>1</v>
      </c>
      <c r="C5" s="185">
        <v>1</v>
      </c>
      <c r="E5" s="317">
        <v>22</v>
      </c>
      <c r="F5" s="318">
        <v>1</v>
      </c>
      <c r="G5" s="214" t="e">
        <f ca="1"/>
        <v>#NAME?</v>
      </c>
      <c r="H5" s="215" t="e">
        <f ca="1"/>
        <v>#NAME?</v>
      </c>
    </row>
    <row r="6" spans="1:8" x14ac:dyDescent="0.25">
      <c r="A6" s="317">
        <v>22</v>
      </c>
      <c r="B6" s="332">
        <v>1</v>
      </c>
      <c r="C6" s="185">
        <v>0</v>
      </c>
      <c r="E6" s="317">
        <v>24</v>
      </c>
      <c r="F6" s="319">
        <v>0</v>
      </c>
      <c r="G6" s="214" t="e">
        <f ca="1"/>
        <v>#NAME?</v>
      </c>
      <c r="H6" s="215" t="e">
        <f ca="1"/>
        <v>#NAME?</v>
      </c>
    </row>
    <row r="7" spans="1:8" x14ac:dyDescent="0.25">
      <c r="A7" s="317">
        <v>24</v>
      </c>
      <c r="B7" s="333">
        <v>0</v>
      </c>
      <c r="C7" s="185">
        <v>0</v>
      </c>
      <c r="E7" s="317">
        <v>22</v>
      </c>
      <c r="F7" s="318">
        <v>0</v>
      </c>
      <c r="G7" s="214" t="e">
        <f ca="1"/>
        <v>#NAME?</v>
      </c>
      <c r="H7" s="215" t="e">
        <f ca="1"/>
        <v>#NAME?</v>
      </c>
    </row>
    <row r="8" spans="1:8" x14ac:dyDescent="0.25">
      <c r="A8" s="317">
        <v>22</v>
      </c>
      <c r="B8" s="332">
        <v>0</v>
      </c>
      <c r="C8" s="185">
        <v>1</v>
      </c>
      <c r="E8" s="317">
        <v>20</v>
      </c>
      <c r="F8" s="318">
        <v>1</v>
      </c>
      <c r="G8" s="214" t="e">
        <f ca="1"/>
        <v>#NAME?</v>
      </c>
      <c r="H8" s="215" t="e">
        <f ca="1"/>
        <v>#NAME?</v>
      </c>
    </row>
    <row r="9" spans="1:8" x14ac:dyDescent="0.25">
      <c r="A9" s="317">
        <v>22</v>
      </c>
      <c r="B9" s="332">
        <v>1</v>
      </c>
      <c r="C9" s="185">
        <v>0</v>
      </c>
      <c r="E9" s="320">
        <v>24</v>
      </c>
      <c r="F9" s="472">
        <v>1</v>
      </c>
      <c r="G9" s="112" t="e">
        <f ca="1"/>
        <v>#NAME?</v>
      </c>
      <c r="H9" s="120" t="e">
        <f ca="1"/>
        <v>#NAME?</v>
      </c>
    </row>
    <row r="10" spans="1:8" x14ac:dyDescent="0.25">
      <c r="A10" s="317">
        <v>20</v>
      </c>
      <c r="B10" s="332">
        <v>1</v>
      </c>
      <c r="C10" s="185">
        <v>0</v>
      </c>
    </row>
    <row r="11" spans="1:8" x14ac:dyDescent="0.25">
      <c r="A11" s="317">
        <v>24</v>
      </c>
      <c r="B11" s="332">
        <v>1</v>
      </c>
      <c r="C11" s="185">
        <v>0</v>
      </c>
    </row>
    <row r="12" spans="1:8" x14ac:dyDescent="0.25">
      <c r="A12" s="317">
        <v>24</v>
      </c>
      <c r="B12" s="333">
        <v>0</v>
      </c>
      <c r="C12" s="185">
        <v>0</v>
      </c>
    </row>
    <row r="13" spans="1:8" x14ac:dyDescent="0.25">
      <c r="A13" s="317">
        <v>20</v>
      </c>
      <c r="B13" s="332">
        <v>0</v>
      </c>
      <c r="C13" s="185">
        <v>1</v>
      </c>
    </row>
    <row r="14" spans="1:8" x14ac:dyDescent="0.25">
      <c r="A14" s="317">
        <v>20</v>
      </c>
      <c r="B14" s="332">
        <v>0</v>
      </c>
      <c r="C14" s="185">
        <v>1</v>
      </c>
    </row>
    <row r="15" spans="1:8" x14ac:dyDescent="0.25">
      <c r="A15" s="317">
        <v>22</v>
      </c>
      <c r="B15" s="332">
        <v>1</v>
      </c>
      <c r="C15" s="185">
        <v>0</v>
      </c>
    </row>
    <row r="16" spans="1:8" x14ac:dyDescent="0.25">
      <c r="A16" s="317">
        <v>20</v>
      </c>
      <c r="B16" s="332">
        <v>1</v>
      </c>
      <c r="C16" s="185">
        <v>1</v>
      </c>
    </row>
    <row r="17" spans="1:3" x14ac:dyDescent="0.25">
      <c r="A17" s="317">
        <v>22</v>
      </c>
      <c r="B17" s="333">
        <v>0</v>
      </c>
      <c r="C17" s="185">
        <v>0</v>
      </c>
    </row>
    <row r="18" spans="1:3" x14ac:dyDescent="0.25">
      <c r="A18" s="317">
        <v>22</v>
      </c>
      <c r="B18" s="332">
        <v>0</v>
      </c>
      <c r="C18" s="185">
        <v>1</v>
      </c>
    </row>
    <row r="19" spans="1:3" x14ac:dyDescent="0.25">
      <c r="A19" s="317">
        <v>24</v>
      </c>
      <c r="B19" s="332">
        <v>1</v>
      </c>
      <c r="C19" s="185">
        <v>1</v>
      </c>
    </row>
    <row r="20" spans="1:3" x14ac:dyDescent="0.25">
      <c r="A20" s="317">
        <v>24</v>
      </c>
      <c r="B20" s="333">
        <v>0</v>
      </c>
      <c r="C20" s="185">
        <v>0</v>
      </c>
    </row>
    <row r="21" spans="1:3" x14ac:dyDescent="0.25">
      <c r="A21" s="317">
        <v>22</v>
      </c>
      <c r="B21" s="332">
        <v>1</v>
      </c>
      <c r="C21" s="185">
        <v>0</v>
      </c>
    </row>
    <row r="22" spans="1:3" x14ac:dyDescent="0.25">
      <c r="A22" s="317">
        <v>24</v>
      </c>
      <c r="B22" s="332">
        <v>1</v>
      </c>
      <c r="C22" s="185">
        <v>0</v>
      </c>
    </row>
    <row r="23" spans="1:3" x14ac:dyDescent="0.25">
      <c r="A23" s="317">
        <v>20</v>
      </c>
      <c r="B23" s="333">
        <v>0</v>
      </c>
      <c r="C23" s="185">
        <v>0</v>
      </c>
    </row>
    <row r="24" spans="1:3" x14ac:dyDescent="0.25">
      <c r="A24" s="317">
        <v>20</v>
      </c>
      <c r="B24" s="332">
        <v>1</v>
      </c>
      <c r="C24" s="185">
        <v>0</v>
      </c>
    </row>
    <row r="25" spans="1:3" x14ac:dyDescent="0.25">
      <c r="A25" s="317">
        <v>20</v>
      </c>
      <c r="B25" s="332">
        <v>0</v>
      </c>
      <c r="C25" s="185">
        <v>1</v>
      </c>
    </row>
    <row r="26" spans="1:3" x14ac:dyDescent="0.25">
      <c r="A26" s="317">
        <v>20</v>
      </c>
      <c r="B26" s="332">
        <v>1</v>
      </c>
      <c r="C26" s="185">
        <v>1</v>
      </c>
    </row>
    <row r="27" spans="1:3" x14ac:dyDescent="0.25">
      <c r="A27" s="317">
        <v>20</v>
      </c>
      <c r="B27" s="332">
        <v>1</v>
      </c>
      <c r="C27" s="185">
        <v>1</v>
      </c>
    </row>
    <row r="28" spans="1:3" x14ac:dyDescent="0.25">
      <c r="A28" s="317">
        <v>20</v>
      </c>
      <c r="B28" s="333">
        <v>0</v>
      </c>
      <c r="C28" s="185">
        <v>1</v>
      </c>
    </row>
    <row r="29" spans="1:3" x14ac:dyDescent="0.25">
      <c r="A29" s="317">
        <v>24</v>
      </c>
      <c r="B29" s="333">
        <v>0</v>
      </c>
      <c r="C29" s="185">
        <v>0</v>
      </c>
    </row>
    <row r="30" spans="1:3" x14ac:dyDescent="0.25">
      <c r="A30" s="317">
        <v>22</v>
      </c>
      <c r="B30" s="333">
        <v>0</v>
      </c>
      <c r="C30" s="185">
        <v>1</v>
      </c>
    </row>
    <row r="31" spans="1:3" x14ac:dyDescent="0.25">
      <c r="A31" s="317">
        <v>24</v>
      </c>
      <c r="B31" s="332">
        <v>1</v>
      </c>
      <c r="C31" s="185">
        <v>1</v>
      </c>
    </row>
    <row r="32" spans="1:3" x14ac:dyDescent="0.25">
      <c r="A32" s="317">
        <v>24</v>
      </c>
      <c r="B32" s="333">
        <v>0</v>
      </c>
      <c r="C32" s="185">
        <v>1</v>
      </c>
    </row>
    <row r="33" spans="1:3" x14ac:dyDescent="0.25">
      <c r="A33" s="317">
        <v>22</v>
      </c>
      <c r="B33" s="332">
        <v>1</v>
      </c>
      <c r="C33" s="185">
        <v>1</v>
      </c>
    </row>
    <row r="34" spans="1:3" x14ac:dyDescent="0.25">
      <c r="A34" s="317">
        <v>22</v>
      </c>
      <c r="B34" s="333">
        <v>0</v>
      </c>
      <c r="C34" s="185">
        <v>0</v>
      </c>
    </row>
    <row r="35" spans="1:3" x14ac:dyDescent="0.25">
      <c r="A35" s="317">
        <v>22</v>
      </c>
      <c r="B35" s="333">
        <v>0</v>
      </c>
      <c r="C35" s="185">
        <v>1</v>
      </c>
    </row>
    <row r="36" spans="1:3" x14ac:dyDescent="0.25">
      <c r="A36" s="317">
        <v>20</v>
      </c>
      <c r="B36" s="332">
        <v>1</v>
      </c>
      <c r="C36" s="185">
        <v>0</v>
      </c>
    </row>
    <row r="37" spans="1:3" x14ac:dyDescent="0.25">
      <c r="A37" s="317">
        <v>24</v>
      </c>
      <c r="B37" s="332">
        <v>1</v>
      </c>
      <c r="C37" s="185">
        <v>0</v>
      </c>
    </row>
    <row r="38" spans="1:3" x14ac:dyDescent="0.25">
      <c r="A38" s="317">
        <v>24</v>
      </c>
      <c r="B38" s="333">
        <v>0</v>
      </c>
      <c r="C38" s="185">
        <v>0</v>
      </c>
    </row>
    <row r="39" spans="1:3" x14ac:dyDescent="0.25">
      <c r="A39" s="317">
        <v>22</v>
      </c>
      <c r="B39" s="332">
        <v>1</v>
      </c>
      <c r="C39" s="185">
        <v>1</v>
      </c>
    </row>
    <row r="40" spans="1:3" x14ac:dyDescent="0.25">
      <c r="A40" s="317">
        <v>20</v>
      </c>
      <c r="B40" s="333">
        <v>0</v>
      </c>
      <c r="C40" s="185">
        <v>1</v>
      </c>
    </row>
    <row r="41" spans="1:3" x14ac:dyDescent="0.25">
      <c r="A41" s="317">
        <v>22</v>
      </c>
      <c r="B41" s="332">
        <v>0</v>
      </c>
      <c r="C41" s="185">
        <v>0</v>
      </c>
    </row>
    <row r="42" spans="1:3" x14ac:dyDescent="0.25">
      <c r="A42" s="317">
        <v>22</v>
      </c>
      <c r="B42" s="332">
        <v>1</v>
      </c>
      <c r="C42" s="185">
        <v>0</v>
      </c>
    </row>
    <row r="43" spans="1:3" x14ac:dyDescent="0.25">
      <c r="A43" s="317">
        <v>20</v>
      </c>
      <c r="B43" s="332">
        <v>1</v>
      </c>
      <c r="C43" s="185">
        <v>1</v>
      </c>
    </row>
    <row r="44" spans="1:3" x14ac:dyDescent="0.25">
      <c r="A44" s="317">
        <v>20</v>
      </c>
      <c r="B44" s="332">
        <v>1</v>
      </c>
      <c r="C44" s="185">
        <v>0</v>
      </c>
    </row>
    <row r="45" spans="1:3" x14ac:dyDescent="0.25">
      <c r="A45" s="317">
        <v>22</v>
      </c>
      <c r="B45" s="332">
        <v>1</v>
      </c>
      <c r="C45" s="185">
        <v>1</v>
      </c>
    </row>
    <row r="46" spans="1:3" x14ac:dyDescent="0.25">
      <c r="A46" s="317">
        <v>24</v>
      </c>
      <c r="B46" s="333">
        <v>0</v>
      </c>
      <c r="C46" s="185">
        <v>1</v>
      </c>
    </row>
    <row r="47" spans="1:3" x14ac:dyDescent="0.25">
      <c r="A47" s="317">
        <v>20</v>
      </c>
      <c r="B47" s="332">
        <v>1</v>
      </c>
      <c r="C47" s="185">
        <v>1</v>
      </c>
    </row>
    <row r="48" spans="1:3" x14ac:dyDescent="0.25">
      <c r="A48" s="317">
        <v>20</v>
      </c>
      <c r="B48" s="332">
        <v>0</v>
      </c>
      <c r="C48" s="185">
        <v>1</v>
      </c>
    </row>
    <row r="49" spans="1:3" x14ac:dyDescent="0.25">
      <c r="A49" s="317">
        <v>24</v>
      </c>
      <c r="B49" s="332">
        <v>1</v>
      </c>
      <c r="C49" s="185">
        <v>0</v>
      </c>
    </row>
    <row r="50" spans="1:3" x14ac:dyDescent="0.25">
      <c r="A50" s="317">
        <v>24</v>
      </c>
      <c r="B50" s="332">
        <v>1</v>
      </c>
      <c r="C50" s="185">
        <v>0</v>
      </c>
    </row>
    <row r="51" spans="1:3" x14ac:dyDescent="0.25">
      <c r="A51" s="317">
        <v>22</v>
      </c>
      <c r="B51" s="332">
        <v>0</v>
      </c>
      <c r="C51" s="185">
        <v>1</v>
      </c>
    </row>
    <row r="52" spans="1:3" x14ac:dyDescent="0.25">
      <c r="A52" s="320">
        <v>24</v>
      </c>
      <c r="B52" s="335">
        <v>1</v>
      </c>
      <c r="C52" s="1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AT118"/>
  <sheetViews>
    <sheetView workbookViewId="0"/>
  </sheetViews>
  <sheetFormatPr defaultRowHeight="15" x14ac:dyDescent="0.25"/>
  <cols>
    <col min="4" max="5" width="9.140625" customWidth="1"/>
    <col min="6" max="6" width="8.7109375" customWidth="1"/>
    <col min="7" max="9" width="9.140625" customWidth="1"/>
    <col min="10" max="12" width="9.28515625" bestFit="1" customWidth="1"/>
    <col min="13" max="13" width="9.28515625" customWidth="1"/>
    <col min="14" max="15" width="9.28515625" bestFit="1" customWidth="1"/>
    <col min="17" max="29" width="9.140625" customWidth="1"/>
    <col min="33" max="34" width="9.140625" customWidth="1"/>
  </cols>
  <sheetData>
    <row r="1" spans="1:42" x14ac:dyDescent="0.25">
      <c r="A1" s="1" t="s">
        <v>772</v>
      </c>
      <c r="B1" s="1"/>
      <c r="C1" s="15"/>
      <c r="D1" s="15"/>
    </row>
    <row r="2" spans="1:42" x14ac:dyDescent="0.25">
      <c r="A2" s="15"/>
      <c r="B2" s="15"/>
      <c r="C2" s="15"/>
      <c r="D2" s="15"/>
    </row>
    <row r="3" spans="1:42" x14ac:dyDescent="0.25">
      <c r="A3" s="294" t="s">
        <v>656</v>
      </c>
      <c r="B3" s="294" t="s">
        <v>657</v>
      </c>
      <c r="C3" s="294" t="s">
        <v>94</v>
      </c>
      <c r="D3" s="294" t="s">
        <v>72</v>
      </c>
      <c r="F3" t="s">
        <v>618</v>
      </c>
      <c r="AD3" t="s">
        <v>827</v>
      </c>
      <c r="AI3" t="s">
        <v>831</v>
      </c>
    </row>
    <row r="4" spans="1:42" ht="15.75" thickBot="1" x14ac:dyDescent="0.3">
      <c r="A4" s="315">
        <v>20</v>
      </c>
      <c r="B4" s="316">
        <v>0</v>
      </c>
      <c r="C4" s="313">
        <v>21</v>
      </c>
      <c r="D4" s="314">
        <v>0</v>
      </c>
    </row>
    <row r="5" spans="1:42" ht="15.75" thickTop="1" x14ac:dyDescent="0.25">
      <c r="A5" s="317">
        <v>21</v>
      </c>
      <c r="B5" s="318">
        <v>0</v>
      </c>
      <c r="C5" s="255">
        <v>90</v>
      </c>
      <c r="D5" s="177">
        <v>6</v>
      </c>
      <c r="F5" s="360" t="str">
        <f>A3</f>
        <v>Temp</v>
      </c>
      <c r="G5" s="360" t="str">
        <f>B3</f>
        <v>Water</v>
      </c>
      <c r="H5" s="360" t="str">
        <f>C3</f>
        <v>Male</v>
      </c>
      <c r="I5" s="360" t="str">
        <f>D3</f>
        <v>Female</v>
      </c>
      <c r="J5" s="360" t="s">
        <v>1</v>
      </c>
      <c r="K5" s="360" t="s">
        <v>658</v>
      </c>
      <c r="L5" s="360" t="s">
        <v>659</v>
      </c>
      <c r="M5" s="360" t="s">
        <v>825</v>
      </c>
      <c r="N5" s="360" t="s">
        <v>826</v>
      </c>
      <c r="O5" s="360" t="s">
        <v>626</v>
      </c>
      <c r="P5" s="360" t="s">
        <v>753</v>
      </c>
      <c r="Q5" s="360" t="s">
        <v>809</v>
      </c>
      <c r="S5" t="s">
        <v>660</v>
      </c>
      <c r="U5" t="s">
        <v>625</v>
      </c>
      <c r="V5" s="362">
        <f>H18*LN(H18/J18)+I18*LN(I18/J18)</f>
        <v>-576.26986120489823</v>
      </c>
      <c r="X5" t="s">
        <v>754</v>
      </c>
      <c r="AB5" t="s">
        <v>837</v>
      </c>
      <c r="AE5" s="356" t="s">
        <v>828</v>
      </c>
      <c r="AF5" s="356" t="s">
        <v>829</v>
      </c>
      <c r="AI5" s="346" t="s">
        <v>659</v>
      </c>
      <c r="AJ5" s="346" t="s">
        <v>816</v>
      </c>
      <c r="AK5" s="346" t="s">
        <v>815</v>
      </c>
      <c r="AL5" s="346" t="s">
        <v>832</v>
      </c>
      <c r="AM5" s="346" t="s">
        <v>833</v>
      </c>
      <c r="AN5" s="346" t="s">
        <v>834</v>
      </c>
      <c r="AO5" s="346" t="s">
        <v>835</v>
      </c>
      <c r="AP5" s="346" t="s">
        <v>836</v>
      </c>
    </row>
    <row r="6" spans="1:42" x14ac:dyDescent="0.25">
      <c r="A6" s="317">
        <v>22</v>
      </c>
      <c r="B6" s="318">
        <v>0</v>
      </c>
      <c r="C6" s="255">
        <v>91</v>
      </c>
      <c r="D6" s="177">
        <v>23</v>
      </c>
      <c r="F6">
        <f t="shared" ref="F6:F17" si="0">A4</f>
        <v>20</v>
      </c>
      <c r="G6">
        <f t="shared" ref="G6:G17" si="1">B4</f>
        <v>0</v>
      </c>
      <c r="H6" s="183">
        <f t="shared" ref="H6:H17" si="2">C4</f>
        <v>21</v>
      </c>
      <c r="I6" s="7">
        <f t="shared" ref="I6:I17" si="3">D4</f>
        <v>0</v>
      </c>
      <c r="J6" s="43">
        <f>H6+I6</f>
        <v>21</v>
      </c>
      <c r="K6">
        <f>H6/J6</f>
        <v>1</v>
      </c>
      <c r="L6" t="e">
        <f ca="1">1/(1+EXP(-$S$7-MMULT(F6:G6,$S$8:$S$9)))</f>
        <v>#NAME?</v>
      </c>
      <c r="M6" s="357" t="e">
        <f ca="1">J6*L6</f>
        <v>#NAME?</v>
      </c>
      <c r="N6" s="359" t="e">
        <f ca="1">J6-M6</f>
        <v>#NAME?</v>
      </c>
      <c r="O6" t="e">
        <f ca="1">J6*(K6*LN(L6)+(1-K6)*LN(1-L6))</f>
        <v>#NAME?</v>
      </c>
      <c r="P6" t="e">
        <f ca="1">100*IF(L6&gt;=$AE$12,H6/J6,I6/J6)</f>
        <v>#NAME?</v>
      </c>
      <c r="Q6" t="e">
        <f ca="1">(H6-M6)^2/M6+(I6-N6)^2/N6</f>
        <v>#NAME?</v>
      </c>
      <c r="U6" t="s">
        <v>653</v>
      </c>
      <c r="V6" s="349" t="e">
        <f ca="1">O18</f>
        <v>#NAME?</v>
      </c>
      <c r="X6" s="357" t="e">
        <f t="array" aca="1" ref="X6:Z8" ca="1">MINVERSE(MMULT(TRANSPOSE(DESIGN(F6:G17)),L6:L17*(1-L6:L17)*J6:J17*DESIGN(F6:G17)))</f>
        <v>#NAME?</v>
      </c>
      <c r="Y6" s="358" t="e">
        <f ca="1"/>
        <v>#NAME?</v>
      </c>
      <c r="Z6" s="359" t="e">
        <f ca="1"/>
        <v>#NAME?</v>
      </c>
      <c r="AB6" s="362" t="e">
        <f t="array" aca="1" ref="AB6:AB8" ca="1">MMULT(X6:Z8,MMULT(TRANSPOSE(DESIGN(F6:G17)),J6:J17*(K6:K17-L6:L17)))</f>
        <v>#NAME?</v>
      </c>
      <c r="AD6" t="s">
        <v>825</v>
      </c>
      <c r="AE6" s="357">
        <f ca="1">SUMIF(L6:L17,"&gt;="&amp;AE12,H6:H17)</f>
        <v>0</v>
      </c>
      <c r="AF6" s="359">
        <f ca="1">SUMIF(L6:L17,"&gt;="&amp;AE12,I6:I17)</f>
        <v>0</v>
      </c>
      <c r="AG6">
        <f ca="1">AE6+AF6</f>
        <v>0</v>
      </c>
      <c r="AL6">
        <v>0</v>
      </c>
      <c r="AM6">
        <v>0</v>
      </c>
      <c r="AN6" t="e">
        <f ca="1">1-AL6/AL$18</f>
        <v>#NAME?</v>
      </c>
      <c r="AO6" t="e">
        <f ca="1">1-AM6/AM$18</f>
        <v>#NAME?</v>
      </c>
      <c r="AP6" t="e">
        <f ca="1">(AN6-AN7)*AO6</f>
        <v>#NAME?</v>
      </c>
    </row>
    <row r="7" spans="1:42" x14ac:dyDescent="0.25">
      <c r="A7" s="317">
        <v>23</v>
      </c>
      <c r="B7" s="319">
        <v>0</v>
      </c>
      <c r="C7" s="255">
        <v>61</v>
      </c>
      <c r="D7" s="177">
        <v>73</v>
      </c>
      <c r="F7">
        <f t="shared" si="0"/>
        <v>21</v>
      </c>
      <c r="G7">
        <f t="shared" si="1"/>
        <v>0</v>
      </c>
      <c r="H7" s="183">
        <f t="shared" si="2"/>
        <v>90</v>
      </c>
      <c r="I7" s="7">
        <f t="shared" si="3"/>
        <v>6</v>
      </c>
      <c r="J7" s="43">
        <f t="shared" ref="J7:J17" si="4">H7+I7</f>
        <v>96</v>
      </c>
      <c r="K7">
        <f t="shared" ref="K7:K17" si="5">H7/J7</f>
        <v>0.9375</v>
      </c>
      <c r="L7" t="e">
        <f t="shared" ref="L7:L17" ca="1" si="6">1/(1+EXP(-$S$7-MMULT(F7:G7,$S$8:$S$9)))</f>
        <v>#NAME?</v>
      </c>
      <c r="M7" s="183" t="e">
        <f t="shared" ref="M7:M17" ca="1" si="7">J7*L7</f>
        <v>#NAME?</v>
      </c>
      <c r="N7" s="43" t="e">
        <f t="shared" ref="N7:N17" ca="1" si="8">J7-M7</f>
        <v>#NAME?</v>
      </c>
      <c r="O7" t="e">
        <f t="shared" ref="O7:O17" ca="1" si="9">J7*(K7*LN(L7)+(1-K7)*LN(1-L7))</f>
        <v>#NAME?</v>
      </c>
      <c r="P7" t="e">
        <f ca="1">100*IF(L7&gt;=$AE$12,H7/J7,I7/J7)</f>
        <v>#NAME?</v>
      </c>
      <c r="Q7" t="e">
        <f t="shared" ref="Q7:Q17" ca="1" si="10">(H7-M7)^2/M7+(I7-N7)^2/N7</f>
        <v>#NAME?</v>
      </c>
      <c r="S7" s="362" t="e">
        <f t="array" aca="1" ref="S7:S9" ca="1">LogitCoeff(F6:I17,,,,,20)</f>
        <v>#NAME?</v>
      </c>
      <c r="X7" s="183" t="e">
        <f ca="1"/>
        <v>#NAME?</v>
      </c>
      <c r="Y7" s="7" t="e">
        <f ca="1"/>
        <v>#NAME?</v>
      </c>
      <c r="Z7" s="43" t="e">
        <f ca="1"/>
        <v>#NAME?</v>
      </c>
      <c r="AB7" s="322" t="e">
        <f ca="1"/>
        <v>#NAME?</v>
      </c>
      <c r="AD7" t="s">
        <v>826</v>
      </c>
      <c r="AE7" s="351">
        <f ca="1">AE8-AE6</f>
        <v>522</v>
      </c>
      <c r="AF7" s="353">
        <f ca="1">AF8-AF6</f>
        <v>338</v>
      </c>
      <c r="AG7">
        <f ca="1">AE7+AF7</f>
        <v>860</v>
      </c>
      <c r="AI7" t="e">
        <f t="array" aca="1" ref="AI7:AK18" ca="1">SelectCols(H6:L17,"5,2,1",1)</f>
        <v>#NAME?</v>
      </c>
      <c r="AJ7" t="e">
        <f ca="1"/>
        <v>#NAME?</v>
      </c>
      <c r="AK7" t="e">
        <f ca="1"/>
        <v>#NAME?</v>
      </c>
      <c r="AL7" t="e">
        <f ca="1">AL6+AJ7</f>
        <v>#NAME?</v>
      </c>
      <c r="AM7" t="e">
        <f ca="1">AM6+AK7</f>
        <v>#NAME?</v>
      </c>
      <c r="AN7" t="e">
        <f t="shared" ref="AN7:AN18" ca="1" si="11">1-AL7/AL$18</f>
        <v>#NAME?</v>
      </c>
      <c r="AO7" t="e">
        <f t="shared" ref="AO7:AO18" ca="1" si="12">1-AM7/AM$18</f>
        <v>#NAME?</v>
      </c>
      <c r="AP7" t="e">
        <f t="shared" ref="AP7:AP18" ca="1" si="13">(AN7-AN8)*AO7</f>
        <v>#NAME?</v>
      </c>
    </row>
    <row r="8" spans="1:42" x14ac:dyDescent="0.25">
      <c r="A8" s="317">
        <v>24</v>
      </c>
      <c r="B8" s="319">
        <v>0</v>
      </c>
      <c r="C8" s="255">
        <v>11</v>
      </c>
      <c r="D8" s="177">
        <v>41</v>
      </c>
      <c r="F8">
        <f t="shared" si="0"/>
        <v>22</v>
      </c>
      <c r="G8">
        <f t="shared" si="1"/>
        <v>0</v>
      </c>
      <c r="H8" s="183">
        <f t="shared" si="2"/>
        <v>91</v>
      </c>
      <c r="I8" s="7">
        <f t="shared" si="3"/>
        <v>23</v>
      </c>
      <c r="J8" s="43">
        <f t="shared" si="4"/>
        <v>114</v>
      </c>
      <c r="K8">
        <f t="shared" si="5"/>
        <v>0.79824561403508776</v>
      </c>
      <c r="L8" t="e">
        <f t="shared" ca="1" si="6"/>
        <v>#NAME?</v>
      </c>
      <c r="M8" s="183" t="e">
        <f t="shared" ca="1" si="7"/>
        <v>#NAME?</v>
      </c>
      <c r="N8" s="43" t="e">
        <f t="shared" ca="1" si="8"/>
        <v>#NAME?</v>
      </c>
      <c r="O8" t="e">
        <f ca="1">J8*(K8*LN(L8)+(1-K8)*LN(1-L8))</f>
        <v>#NAME?</v>
      </c>
      <c r="P8" t="e">
        <f t="shared" ref="P8:P17" ca="1" si="14">100*IF(L8&gt;=$AE$12,H8/J8,I8/J8)</f>
        <v>#NAME?</v>
      </c>
      <c r="Q8" t="e">
        <f t="shared" ca="1" si="10"/>
        <v>#NAME?</v>
      </c>
      <c r="S8" s="322" t="e">
        <f ca="1"/>
        <v>#NAME?</v>
      </c>
      <c r="U8" t="s">
        <v>664</v>
      </c>
      <c r="V8" s="362" t="e">
        <f ca="1">2*(V6-V5)</f>
        <v>#NAME?</v>
      </c>
      <c r="X8" s="351" t="e">
        <f ca="1"/>
        <v>#NAME?</v>
      </c>
      <c r="Y8" s="352" t="e">
        <f ca="1"/>
        <v>#NAME?</v>
      </c>
      <c r="Z8" s="353" t="e">
        <f ca="1"/>
        <v>#NAME?</v>
      </c>
      <c r="AB8" s="349" t="e">
        <f ca="1"/>
        <v>#NAME?</v>
      </c>
      <c r="AE8">
        <f>H18</f>
        <v>522</v>
      </c>
      <c r="AF8">
        <f>I18</f>
        <v>338</v>
      </c>
      <c r="AG8">
        <f>AE8+AF8</f>
        <v>860</v>
      </c>
      <c r="AI8" t="e">
        <f ca="1"/>
        <v>#NAME?</v>
      </c>
      <c r="AJ8" t="e">
        <f ca="1"/>
        <v>#NAME?</v>
      </c>
      <c r="AK8" t="e">
        <f ca="1"/>
        <v>#NAME?</v>
      </c>
      <c r="AL8" t="e">
        <f ca="1">AL7+AJ8</f>
        <v>#NAME?</v>
      </c>
      <c r="AM8" t="e">
        <f t="shared" ref="AM8:AM18" ca="1" si="15">AM7+AK8</f>
        <v>#NAME?</v>
      </c>
      <c r="AN8" t="e">
        <f ca="1">1-AL8/AL$18</f>
        <v>#NAME?</v>
      </c>
      <c r="AO8" t="e">
        <f ca="1">1-AM8/AM$18</f>
        <v>#NAME?</v>
      </c>
      <c r="AP8" t="e">
        <f ca="1">(AN8-AN9)*AO8</f>
        <v>#NAME?</v>
      </c>
    </row>
    <row r="9" spans="1:42" x14ac:dyDescent="0.25">
      <c r="A9" s="317">
        <v>25</v>
      </c>
      <c r="B9" s="319">
        <v>0</v>
      </c>
      <c r="C9" s="214">
        <v>4</v>
      </c>
      <c r="D9" s="215">
        <v>28</v>
      </c>
      <c r="F9">
        <f t="shared" si="0"/>
        <v>23</v>
      </c>
      <c r="G9">
        <f t="shared" si="1"/>
        <v>0</v>
      </c>
      <c r="H9" s="183">
        <f t="shared" si="2"/>
        <v>61</v>
      </c>
      <c r="I9" s="7">
        <f t="shared" si="3"/>
        <v>73</v>
      </c>
      <c r="J9" s="43">
        <f t="shared" si="4"/>
        <v>134</v>
      </c>
      <c r="K9">
        <f t="shared" si="5"/>
        <v>0.45522388059701491</v>
      </c>
      <c r="L9" t="e">
        <f t="shared" ca="1" si="6"/>
        <v>#NAME?</v>
      </c>
      <c r="M9" s="183" t="e">
        <f t="shared" ca="1" si="7"/>
        <v>#NAME?</v>
      </c>
      <c r="N9" s="43" t="e">
        <f t="shared" ca="1" si="8"/>
        <v>#NAME?</v>
      </c>
      <c r="O9" t="e">
        <f t="shared" ca="1" si="9"/>
        <v>#NAME?</v>
      </c>
      <c r="P9" t="e">
        <f t="shared" ca="1" si="14"/>
        <v>#NAME?</v>
      </c>
      <c r="Q9" t="e">
        <f t="shared" ca="1" si="10"/>
        <v>#NAME?</v>
      </c>
      <c r="S9" s="349" t="e">
        <f ca="1"/>
        <v>#NAME?</v>
      </c>
      <c r="U9" t="s">
        <v>41</v>
      </c>
      <c r="V9" s="322">
        <f>COUNT(F6:G6)</f>
        <v>2</v>
      </c>
      <c r="AI9" t="e">
        <f ca="1"/>
        <v>#NAME?</v>
      </c>
      <c r="AJ9" t="e">
        <f ca="1"/>
        <v>#NAME?</v>
      </c>
      <c r="AK9" t="e">
        <f ca="1"/>
        <v>#NAME?</v>
      </c>
      <c r="AL9" t="e">
        <f t="shared" ref="AL9:AL18" ca="1" si="16">AL8+AJ9</f>
        <v>#NAME?</v>
      </c>
      <c r="AM9" t="e">
        <f ca="1">AM8+AK9</f>
        <v>#NAME?</v>
      </c>
      <c r="AN9" t="e">
        <f t="shared" ca="1" si="11"/>
        <v>#NAME?</v>
      </c>
      <c r="AO9" t="e">
        <f t="shared" ca="1" si="12"/>
        <v>#NAME?</v>
      </c>
      <c r="AP9" t="e">
        <f t="shared" ca="1" si="13"/>
        <v>#NAME?</v>
      </c>
    </row>
    <row r="10" spans="1:42" x14ac:dyDescent="0.25">
      <c r="A10" s="317">
        <v>20</v>
      </c>
      <c r="B10" s="319">
        <v>1</v>
      </c>
      <c r="C10" s="255">
        <v>18</v>
      </c>
      <c r="D10" s="177">
        <v>4</v>
      </c>
      <c r="F10">
        <f t="shared" si="0"/>
        <v>24</v>
      </c>
      <c r="G10">
        <f t="shared" si="1"/>
        <v>0</v>
      </c>
      <c r="H10" s="183">
        <f t="shared" si="2"/>
        <v>11</v>
      </c>
      <c r="I10" s="7">
        <f t="shared" si="3"/>
        <v>41</v>
      </c>
      <c r="J10" s="43">
        <f t="shared" si="4"/>
        <v>52</v>
      </c>
      <c r="K10">
        <f t="shared" si="5"/>
        <v>0.21153846153846154</v>
      </c>
      <c r="L10" t="e">
        <f t="shared" ca="1" si="6"/>
        <v>#NAME?</v>
      </c>
      <c r="M10" s="183" t="e">
        <f t="shared" ca="1" si="7"/>
        <v>#NAME?</v>
      </c>
      <c r="N10" s="43" t="e">
        <f t="shared" ca="1" si="8"/>
        <v>#NAME?</v>
      </c>
      <c r="O10" t="e">
        <f t="shared" ca="1" si="9"/>
        <v>#NAME?</v>
      </c>
      <c r="P10" t="e">
        <f t="shared" ca="1" si="14"/>
        <v>#NAME?</v>
      </c>
      <c r="Q10" t="e">
        <f t="shared" ca="1" si="10"/>
        <v>#NAME?</v>
      </c>
      <c r="U10" t="s">
        <v>48</v>
      </c>
      <c r="V10" s="322" t="e">
        <f ca="1">CHIDIST(V8,V9)</f>
        <v>#NAME?</v>
      </c>
      <c r="AD10" t="s">
        <v>853</v>
      </c>
      <c r="AE10" s="363">
        <f ca="1">AE6/AE8</f>
        <v>0</v>
      </c>
      <c r="AF10" s="364">
        <f ca="1">AF7/AF8</f>
        <v>1</v>
      </c>
      <c r="AG10">
        <f ca="1">(AE6+AF7)/AG8</f>
        <v>0.39302325581395348</v>
      </c>
      <c r="AI10" t="e">
        <f ca="1"/>
        <v>#NAME?</v>
      </c>
      <c r="AJ10" t="e">
        <f ca="1"/>
        <v>#NAME?</v>
      </c>
      <c r="AK10" t="e">
        <f ca="1"/>
        <v>#NAME?</v>
      </c>
      <c r="AL10" t="e">
        <f t="shared" ca="1" si="16"/>
        <v>#NAME?</v>
      </c>
      <c r="AM10" t="e">
        <f t="shared" ca="1" si="15"/>
        <v>#NAME?</v>
      </c>
      <c r="AN10" t="e">
        <f t="shared" ca="1" si="11"/>
        <v>#NAME?</v>
      </c>
      <c r="AO10" t="e">
        <f t="shared" ca="1" si="12"/>
        <v>#NAME?</v>
      </c>
      <c r="AP10" t="e">
        <f t="shared" ca="1" si="13"/>
        <v>#NAME?</v>
      </c>
    </row>
    <row r="11" spans="1:42" x14ac:dyDescent="0.25">
      <c r="A11" s="317">
        <v>21</v>
      </c>
      <c r="B11" s="319">
        <v>1</v>
      </c>
      <c r="C11" s="255">
        <v>75</v>
      </c>
      <c r="D11" s="177">
        <v>9</v>
      </c>
      <c r="F11">
        <f t="shared" si="0"/>
        <v>25</v>
      </c>
      <c r="G11">
        <f t="shared" si="1"/>
        <v>0</v>
      </c>
      <c r="H11" s="183">
        <f t="shared" si="2"/>
        <v>4</v>
      </c>
      <c r="I11" s="7">
        <f t="shared" si="3"/>
        <v>28</v>
      </c>
      <c r="J11" s="43">
        <f t="shared" si="4"/>
        <v>32</v>
      </c>
      <c r="K11">
        <f t="shared" si="5"/>
        <v>0.125</v>
      </c>
      <c r="L11" t="e">
        <f t="shared" ca="1" si="6"/>
        <v>#NAME?</v>
      </c>
      <c r="M11" s="183" t="e">
        <f t="shared" ca="1" si="7"/>
        <v>#NAME?</v>
      </c>
      <c r="N11" s="43" t="e">
        <f t="shared" ca="1" si="8"/>
        <v>#NAME?</v>
      </c>
      <c r="O11" t="e">
        <f t="shared" ca="1" si="9"/>
        <v>#NAME?</v>
      </c>
      <c r="P11" t="e">
        <f t="shared" ca="1" si="14"/>
        <v>#NAME?</v>
      </c>
      <c r="Q11" t="e">
        <f t="shared" ca="1" si="10"/>
        <v>#NAME?</v>
      </c>
      <c r="U11" t="s">
        <v>70</v>
      </c>
      <c r="V11" s="322">
        <v>0.05</v>
      </c>
      <c r="AI11" t="e">
        <f ca="1"/>
        <v>#NAME?</v>
      </c>
      <c r="AJ11" t="e">
        <f ca="1"/>
        <v>#NAME?</v>
      </c>
      <c r="AK11" t="e">
        <f ca="1"/>
        <v>#NAME?</v>
      </c>
      <c r="AL11" t="e">
        <f t="shared" ca="1" si="16"/>
        <v>#NAME?</v>
      </c>
      <c r="AM11" t="e">
        <f t="shared" ca="1" si="15"/>
        <v>#NAME?</v>
      </c>
      <c r="AN11" t="e">
        <f t="shared" ca="1" si="11"/>
        <v>#NAME?</v>
      </c>
      <c r="AO11" t="e">
        <f t="shared" ca="1" si="12"/>
        <v>#NAME?</v>
      </c>
      <c r="AP11" t="e">
        <f t="shared" ca="1" si="13"/>
        <v>#NAME?</v>
      </c>
    </row>
    <row r="12" spans="1:42" x14ac:dyDescent="0.25">
      <c r="A12" s="317">
        <v>22</v>
      </c>
      <c r="B12" s="319">
        <v>1</v>
      </c>
      <c r="C12" s="255">
        <v>68</v>
      </c>
      <c r="D12" s="177">
        <v>21</v>
      </c>
      <c r="F12">
        <f t="shared" si="0"/>
        <v>20</v>
      </c>
      <c r="G12">
        <f t="shared" si="1"/>
        <v>1</v>
      </c>
      <c r="H12" s="183">
        <f t="shared" si="2"/>
        <v>18</v>
      </c>
      <c r="I12" s="7">
        <f t="shared" si="3"/>
        <v>4</v>
      </c>
      <c r="J12" s="43">
        <f t="shared" si="4"/>
        <v>22</v>
      </c>
      <c r="K12">
        <f t="shared" si="5"/>
        <v>0.81818181818181823</v>
      </c>
      <c r="L12" t="e">
        <f t="shared" ca="1" si="6"/>
        <v>#NAME?</v>
      </c>
      <c r="M12" s="183" t="e">
        <f t="shared" ca="1" si="7"/>
        <v>#NAME?</v>
      </c>
      <c r="N12" s="43" t="e">
        <f t="shared" ca="1" si="8"/>
        <v>#NAME?</v>
      </c>
      <c r="O12" t="e">
        <f t="shared" ca="1" si="9"/>
        <v>#NAME?</v>
      </c>
      <c r="P12" t="e">
        <f t="shared" ca="1" si="14"/>
        <v>#NAME?</v>
      </c>
      <c r="Q12" t="e">
        <f t="shared" ca="1" si="10"/>
        <v>#NAME?</v>
      </c>
      <c r="U12" t="s">
        <v>164</v>
      </c>
      <c r="V12" s="350" t="e">
        <f ca="1">IF(V10&lt;V11,"yes","no")</f>
        <v>#NAME?</v>
      </c>
      <c r="AD12" t="s">
        <v>830</v>
      </c>
      <c r="AE12" s="365">
        <v>0.5</v>
      </c>
      <c r="AI12" t="e">
        <f ca="1"/>
        <v>#NAME?</v>
      </c>
      <c r="AJ12" t="e">
        <f ca="1"/>
        <v>#NAME?</v>
      </c>
      <c r="AK12" t="e">
        <f ca="1"/>
        <v>#NAME?</v>
      </c>
      <c r="AL12" t="e">
        <f t="shared" ca="1" si="16"/>
        <v>#NAME?</v>
      </c>
      <c r="AM12" t="e">
        <f t="shared" ca="1" si="15"/>
        <v>#NAME?</v>
      </c>
      <c r="AN12" t="e">
        <f t="shared" ca="1" si="11"/>
        <v>#NAME?</v>
      </c>
      <c r="AO12" t="e">
        <f t="shared" ca="1" si="12"/>
        <v>#NAME?</v>
      </c>
      <c r="AP12" t="e">
        <f t="shared" ca="1" si="13"/>
        <v>#NAME?</v>
      </c>
    </row>
    <row r="13" spans="1:42" x14ac:dyDescent="0.25">
      <c r="A13" s="317">
        <v>23</v>
      </c>
      <c r="B13" s="319">
        <v>1</v>
      </c>
      <c r="C13" s="255">
        <v>59</v>
      </c>
      <c r="D13" s="177">
        <v>65</v>
      </c>
      <c r="F13">
        <f t="shared" si="0"/>
        <v>21</v>
      </c>
      <c r="G13">
        <f t="shared" si="1"/>
        <v>1</v>
      </c>
      <c r="H13" s="183">
        <f t="shared" si="2"/>
        <v>75</v>
      </c>
      <c r="I13" s="7">
        <f t="shared" si="3"/>
        <v>9</v>
      </c>
      <c r="J13" s="43">
        <f t="shared" si="4"/>
        <v>84</v>
      </c>
      <c r="K13">
        <f t="shared" si="5"/>
        <v>0.8928571428571429</v>
      </c>
      <c r="L13" t="e">
        <f t="shared" ca="1" si="6"/>
        <v>#NAME?</v>
      </c>
      <c r="M13" s="183" t="e">
        <f t="shared" ca="1" si="7"/>
        <v>#NAME?</v>
      </c>
      <c r="N13" s="43" t="e">
        <f t="shared" ca="1" si="8"/>
        <v>#NAME?</v>
      </c>
      <c r="O13" t="e">
        <f t="shared" ca="1" si="9"/>
        <v>#NAME?</v>
      </c>
      <c r="P13" t="e">
        <f t="shared" ca="1" si="14"/>
        <v>#NAME?</v>
      </c>
      <c r="Q13" t="e">
        <f t="shared" ca="1" si="10"/>
        <v>#NAME?</v>
      </c>
      <c r="AI13" t="e">
        <f ca="1"/>
        <v>#NAME?</v>
      </c>
      <c r="AJ13" t="e">
        <f ca="1"/>
        <v>#NAME?</v>
      </c>
      <c r="AK13" t="e">
        <f ca="1"/>
        <v>#NAME?</v>
      </c>
      <c r="AL13" t="e">
        <f t="shared" ca="1" si="16"/>
        <v>#NAME?</v>
      </c>
      <c r="AM13" t="e">
        <f t="shared" ca="1" si="15"/>
        <v>#NAME?</v>
      </c>
      <c r="AN13" t="e">
        <f t="shared" ca="1" si="11"/>
        <v>#NAME?</v>
      </c>
      <c r="AO13" t="e">
        <f t="shared" ca="1" si="12"/>
        <v>#NAME?</v>
      </c>
      <c r="AP13" t="e">
        <f t="shared" ca="1" si="13"/>
        <v>#NAME?</v>
      </c>
    </row>
    <row r="14" spans="1:42" x14ac:dyDescent="0.25">
      <c r="A14" s="317">
        <v>24</v>
      </c>
      <c r="B14" s="319">
        <v>1</v>
      </c>
      <c r="C14" s="255">
        <v>17</v>
      </c>
      <c r="D14" s="177">
        <v>46</v>
      </c>
      <c r="F14">
        <f t="shared" si="0"/>
        <v>22</v>
      </c>
      <c r="G14">
        <f t="shared" si="1"/>
        <v>1</v>
      </c>
      <c r="H14" s="183">
        <f t="shared" si="2"/>
        <v>68</v>
      </c>
      <c r="I14" s="7">
        <f t="shared" si="3"/>
        <v>21</v>
      </c>
      <c r="J14" s="43">
        <f t="shared" si="4"/>
        <v>89</v>
      </c>
      <c r="K14">
        <f t="shared" si="5"/>
        <v>0.7640449438202247</v>
      </c>
      <c r="L14" t="e">
        <f t="shared" ca="1" si="6"/>
        <v>#NAME?</v>
      </c>
      <c r="M14" s="183" t="e">
        <f t="shared" ca="1" si="7"/>
        <v>#NAME?</v>
      </c>
      <c r="N14" s="43" t="e">
        <f t="shared" ca="1" si="8"/>
        <v>#NAME?</v>
      </c>
      <c r="O14" t="e">
        <f t="shared" ca="1" si="9"/>
        <v>#NAME?</v>
      </c>
      <c r="P14" t="e">
        <f t="shared" ca="1" si="14"/>
        <v>#NAME?</v>
      </c>
      <c r="Q14" t="e">
        <f t="shared" ca="1" si="10"/>
        <v>#NAME?</v>
      </c>
      <c r="U14" t="s">
        <v>661</v>
      </c>
      <c r="V14" s="362" t="e">
        <f ca="1">1-V6/V5</f>
        <v>#NAME?</v>
      </c>
      <c r="AI14" t="e">
        <f ca="1"/>
        <v>#NAME?</v>
      </c>
      <c r="AJ14" t="e">
        <f ca="1"/>
        <v>#NAME?</v>
      </c>
      <c r="AK14" t="e">
        <f ca="1"/>
        <v>#NAME?</v>
      </c>
      <c r="AL14" t="e">
        <f t="shared" ca="1" si="16"/>
        <v>#NAME?</v>
      </c>
      <c r="AM14" t="e">
        <f t="shared" ca="1" si="15"/>
        <v>#NAME?</v>
      </c>
      <c r="AN14" t="e">
        <f t="shared" ca="1" si="11"/>
        <v>#NAME?</v>
      </c>
      <c r="AO14" t="e">
        <f t="shared" ca="1" si="12"/>
        <v>#NAME?</v>
      </c>
      <c r="AP14" t="e">
        <f t="shared" ca="1" si="13"/>
        <v>#NAME?</v>
      </c>
    </row>
    <row r="15" spans="1:42" x14ac:dyDescent="0.25">
      <c r="A15" s="320">
        <v>25</v>
      </c>
      <c r="B15" s="321">
        <v>1</v>
      </c>
      <c r="C15" s="112">
        <v>7</v>
      </c>
      <c r="D15" s="120">
        <v>22</v>
      </c>
      <c r="F15">
        <f t="shared" si="0"/>
        <v>23</v>
      </c>
      <c r="G15">
        <f t="shared" si="1"/>
        <v>1</v>
      </c>
      <c r="H15" s="183">
        <f t="shared" si="2"/>
        <v>59</v>
      </c>
      <c r="I15" s="7">
        <f t="shared" si="3"/>
        <v>65</v>
      </c>
      <c r="J15" s="43">
        <f t="shared" si="4"/>
        <v>124</v>
      </c>
      <c r="K15">
        <f t="shared" si="5"/>
        <v>0.47580645161290325</v>
      </c>
      <c r="L15" t="e">
        <f t="shared" ca="1" si="6"/>
        <v>#NAME?</v>
      </c>
      <c r="M15" s="183" t="e">
        <f t="shared" ca="1" si="7"/>
        <v>#NAME?</v>
      </c>
      <c r="N15" s="43" t="e">
        <f t="shared" ca="1" si="8"/>
        <v>#NAME?</v>
      </c>
      <c r="O15" t="e">
        <f t="shared" ca="1" si="9"/>
        <v>#NAME?</v>
      </c>
      <c r="P15" t="e">
        <f t="shared" ca="1" si="14"/>
        <v>#NAME?</v>
      </c>
      <c r="Q15" t="e">
        <f t="shared" ca="1" si="10"/>
        <v>#NAME?</v>
      </c>
      <c r="U15" t="s">
        <v>662</v>
      </c>
      <c r="V15" s="322" t="e">
        <f ca="1">1-EXP((-2/J18)*(V6-V5))</f>
        <v>#NAME?</v>
      </c>
      <c r="AI15" t="e">
        <f ca="1"/>
        <v>#NAME?</v>
      </c>
      <c r="AJ15" t="e">
        <f ca="1"/>
        <v>#NAME?</v>
      </c>
      <c r="AK15" t="e">
        <f ca="1"/>
        <v>#NAME?</v>
      </c>
      <c r="AL15" t="e">
        <f t="shared" ca="1" si="16"/>
        <v>#NAME?</v>
      </c>
      <c r="AM15" t="e">
        <f t="shared" ca="1" si="15"/>
        <v>#NAME?</v>
      </c>
      <c r="AN15" t="e">
        <f t="shared" ca="1" si="11"/>
        <v>#NAME?</v>
      </c>
      <c r="AO15" t="e">
        <f t="shared" ca="1" si="12"/>
        <v>#NAME?</v>
      </c>
      <c r="AP15" t="e">
        <f t="shared" ca="1" si="13"/>
        <v>#NAME?</v>
      </c>
    </row>
    <row r="16" spans="1:42" x14ac:dyDescent="0.25">
      <c r="C16">
        <f>SUM(C4:C15)</f>
        <v>522</v>
      </c>
      <c r="D16">
        <f>SUM(D4:D15)</f>
        <v>338</v>
      </c>
      <c r="F16">
        <f t="shared" si="0"/>
        <v>24</v>
      </c>
      <c r="G16">
        <f t="shared" si="1"/>
        <v>1</v>
      </c>
      <c r="H16" s="183">
        <f t="shared" si="2"/>
        <v>17</v>
      </c>
      <c r="I16" s="7">
        <f t="shared" si="3"/>
        <v>46</v>
      </c>
      <c r="J16" s="43">
        <f t="shared" si="4"/>
        <v>63</v>
      </c>
      <c r="K16">
        <f t="shared" si="5"/>
        <v>0.26984126984126983</v>
      </c>
      <c r="L16" t="e">
        <f t="shared" ca="1" si="6"/>
        <v>#NAME?</v>
      </c>
      <c r="M16" s="183" t="e">
        <f t="shared" ca="1" si="7"/>
        <v>#NAME?</v>
      </c>
      <c r="N16" s="43" t="e">
        <f t="shared" ca="1" si="8"/>
        <v>#NAME?</v>
      </c>
      <c r="O16" t="e">
        <f t="shared" ca="1" si="9"/>
        <v>#NAME?</v>
      </c>
      <c r="P16" t="e">
        <f t="shared" ca="1" si="14"/>
        <v>#NAME?</v>
      </c>
      <c r="Q16" t="e">
        <f t="shared" ca="1" si="10"/>
        <v>#NAME?</v>
      </c>
      <c r="U16" t="s">
        <v>663</v>
      </c>
      <c r="V16" s="349" t="e">
        <f ca="1">V15/(1-EXP(2*V5/J18))</f>
        <v>#NAME?</v>
      </c>
      <c r="AI16" t="e">
        <f ca="1"/>
        <v>#NAME?</v>
      </c>
      <c r="AJ16" t="e">
        <f ca="1"/>
        <v>#NAME?</v>
      </c>
      <c r="AK16" t="e">
        <f ca="1"/>
        <v>#NAME?</v>
      </c>
      <c r="AL16" t="e">
        <f t="shared" ca="1" si="16"/>
        <v>#NAME?</v>
      </c>
      <c r="AM16" t="e">
        <f t="shared" ca="1" si="15"/>
        <v>#NAME?</v>
      </c>
      <c r="AN16" t="e">
        <f t="shared" ca="1" si="11"/>
        <v>#NAME?</v>
      </c>
      <c r="AO16" t="e">
        <f t="shared" ca="1" si="12"/>
        <v>#NAME?</v>
      </c>
      <c r="AP16" t="e">
        <f t="shared" ca="1" si="13"/>
        <v>#NAME?</v>
      </c>
    </row>
    <row r="17" spans="2:42" x14ac:dyDescent="0.25">
      <c r="F17">
        <f t="shared" si="0"/>
        <v>25</v>
      </c>
      <c r="G17">
        <f t="shared" si="1"/>
        <v>1</v>
      </c>
      <c r="H17" s="351">
        <f t="shared" si="2"/>
        <v>7</v>
      </c>
      <c r="I17" s="352">
        <f t="shared" si="3"/>
        <v>22</v>
      </c>
      <c r="J17" s="43">
        <f t="shared" si="4"/>
        <v>29</v>
      </c>
      <c r="K17">
        <f t="shared" si="5"/>
        <v>0.2413793103448276</v>
      </c>
      <c r="L17" t="e">
        <f t="shared" ca="1" si="6"/>
        <v>#NAME?</v>
      </c>
      <c r="M17" s="183" t="e">
        <f t="shared" ca="1" si="7"/>
        <v>#NAME?</v>
      </c>
      <c r="N17" s="43" t="e">
        <f t="shared" ca="1" si="8"/>
        <v>#NAME?</v>
      </c>
      <c r="O17" t="e">
        <f t="shared" ca="1" si="9"/>
        <v>#NAME?</v>
      </c>
      <c r="P17" t="e">
        <f t="shared" ca="1" si="14"/>
        <v>#NAME?</v>
      </c>
      <c r="Q17" t="e">
        <f t="shared" ca="1" si="10"/>
        <v>#NAME?</v>
      </c>
      <c r="AI17" t="e">
        <f ca="1"/>
        <v>#NAME?</v>
      </c>
      <c r="AJ17" t="e">
        <f ca="1"/>
        <v>#NAME?</v>
      </c>
      <c r="AK17" t="e">
        <f ca="1"/>
        <v>#NAME?</v>
      </c>
      <c r="AL17" t="e">
        <f t="shared" ca="1" si="16"/>
        <v>#NAME?</v>
      </c>
      <c r="AM17" t="e">
        <f t="shared" ca="1" si="15"/>
        <v>#NAME?</v>
      </c>
      <c r="AN17" t="e">
        <f t="shared" ca="1" si="11"/>
        <v>#NAME?</v>
      </c>
      <c r="AO17" t="e">
        <f t="shared" ca="1" si="12"/>
        <v>#NAME?</v>
      </c>
      <c r="AP17" t="e">
        <f t="shared" ca="1" si="13"/>
        <v>#NAME?</v>
      </c>
    </row>
    <row r="18" spans="2:42" x14ac:dyDescent="0.25">
      <c r="F18" s="4"/>
      <c r="G18" s="4"/>
      <c r="H18" s="4">
        <f>SUM(H6:H17)</f>
        <v>522</v>
      </c>
      <c r="I18" s="4">
        <f>SUM(I6:I17)</f>
        <v>338</v>
      </c>
      <c r="J18" s="361">
        <f>SUM(J6:J17)</f>
        <v>860</v>
      </c>
      <c r="K18" s="361"/>
      <c r="L18" s="361"/>
      <c r="M18" s="361" t="e">
        <f ca="1">SUM(M6:M17)</f>
        <v>#NAME?</v>
      </c>
      <c r="N18" s="361" t="e">
        <f ca="1">SUM(N6:N17)</f>
        <v>#NAME?</v>
      </c>
      <c r="O18" s="361" t="e">
        <f ca="1">SUM(O6:O17)</f>
        <v>#NAME?</v>
      </c>
      <c r="P18" s="361" t="e">
        <f ca="1">SUMPRODUCT(P6:P17,J6:J17)/J18</f>
        <v>#NAME?</v>
      </c>
      <c r="Q18" s="361" t="e">
        <f ca="1">SUM(Q6:Q17)</f>
        <v>#NAME?</v>
      </c>
      <c r="U18" t="s">
        <v>814</v>
      </c>
      <c r="V18" s="362" t="e">
        <f ca="1">Q18</f>
        <v>#NAME?</v>
      </c>
      <c r="AI18" s="354" t="e">
        <f ca="1"/>
        <v>#NAME?</v>
      </c>
      <c r="AJ18" s="354" t="e">
        <f ca="1"/>
        <v>#NAME?</v>
      </c>
      <c r="AK18" s="354" t="e">
        <f ca="1"/>
        <v>#NAME?</v>
      </c>
      <c r="AL18" s="354" t="e">
        <f t="shared" ca="1" si="16"/>
        <v>#NAME?</v>
      </c>
      <c r="AM18" s="354" t="e">
        <f t="shared" ca="1" si="15"/>
        <v>#NAME?</v>
      </c>
      <c r="AN18" s="354" t="e">
        <f t="shared" ca="1" si="11"/>
        <v>#NAME?</v>
      </c>
      <c r="AO18" s="354" t="e">
        <f t="shared" ca="1" si="12"/>
        <v>#NAME?</v>
      </c>
      <c r="AP18" s="354" t="e">
        <f t="shared" ca="1" si="13"/>
        <v>#NAME?</v>
      </c>
    </row>
    <row r="19" spans="2:42" ht="15.75" thickBot="1" x14ac:dyDescent="0.3">
      <c r="U19" t="s">
        <v>41</v>
      </c>
      <c r="V19" s="322">
        <f>COUNT(J6:J17)-2</f>
        <v>10</v>
      </c>
      <c r="AP19" t="e">
        <f ca="1">SUM(AP6:AP18)</f>
        <v>#NAME?</v>
      </c>
    </row>
    <row r="20" spans="2:42" ht="15.75" thickTop="1" x14ac:dyDescent="0.25">
      <c r="F20" s="346"/>
      <c r="G20" s="346" t="s">
        <v>755</v>
      </c>
      <c r="H20" s="346" t="s">
        <v>148</v>
      </c>
      <c r="I20" s="346" t="s">
        <v>756</v>
      </c>
      <c r="J20" s="346" t="s">
        <v>48</v>
      </c>
      <c r="K20" s="346" t="s">
        <v>757</v>
      </c>
      <c r="L20" s="346" t="s">
        <v>15</v>
      </c>
      <c r="M20" s="346" t="s">
        <v>16</v>
      </c>
      <c r="U20" t="s">
        <v>48</v>
      </c>
      <c r="V20" s="322" t="e">
        <f ca="1">CHIDIST(V18,V19)</f>
        <v>#NAME?</v>
      </c>
    </row>
    <row r="21" spans="2:42" x14ac:dyDescent="0.25">
      <c r="F21" t="s">
        <v>127</v>
      </c>
      <c r="G21" t="e">
        <f t="array" ref="G21:G23" ca="1">S7:S9</f>
        <v>#NAME?</v>
      </c>
      <c r="H21" t="e">
        <f t="array" aca="1" ref="H21:H23" ca="1">SQRT(DIAG(X6:Z8))</f>
        <v>#NAME?</v>
      </c>
      <c r="I21" t="e">
        <f ca="1">(G21/H21)^2</f>
        <v>#NAME?</v>
      </c>
      <c r="J21" t="e">
        <f ca="1">CHIDIST(I21,1)</f>
        <v>#NAME?</v>
      </c>
      <c r="K21" t="e">
        <f ca="1">EXP(G21)</f>
        <v>#NAME?</v>
      </c>
      <c r="U21" t="s">
        <v>70</v>
      </c>
      <c r="V21" s="322">
        <f>V11</f>
        <v>0.05</v>
      </c>
    </row>
    <row r="22" spans="2:42" x14ac:dyDescent="0.25">
      <c r="F22" t="str">
        <f t="array" ref="F22:F23">TRANSPOSE(F5:G5)</f>
        <v>Temp</v>
      </c>
      <c r="G22" t="e">
        <f ca="1"/>
        <v>#NAME?</v>
      </c>
      <c r="H22" t="e">
        <f ca="1"/>
        <v>#NAME?</v>
      </c>
      <c r="I22" t="e">
        <f ca="1">(G22/H22)^2</f>
        <v>#NAME?</v>
      </c>
      <c r="J22" t="e">
        <f ca="1">CHIDIST(I22,1)</f>
        <v>#NAME?</v>
      </c>
      <c r="K22" t="e">
        <f ca="1">EXP(G22)</f>
        <v>#NAME?</v>
      </c>
      <c r="L22" t="e">
        <f ca="1">EXP(G22-H22*NORMSINV(1-$V$11/2))</f>
        <v>#NAME?</v>
      </c>
      <c r="M22" t="e">
        <f ca="1">EXP(G22+H22*NORMSINV(1-$V$11/2))</f>
        <v>#NAME?</v>
      </c>
      <c r="U22" t="s">
        <v>164</v>
      </c>
      <c r="V22" s="350" t="e">
        <f ca="1">IF(V20&lt;V21,"yes","no")</f>
        <v>#NAME?</v>
      </c>
    </row>
    <row r="23" spans="2:42" x14ac:dyDescent="0.25">
      <c r="F23" s="354" t="str">
        <v>Water</v>
      </c>
      <c r="G23" s="354" t="e">
        <f ca="1"/>
        <v>#NAME?</v>
      </c>
      <c r="H23" s="354" t="e">
        <f ca="1"/>
        <v>#NAME?</v>
      </c>
      <c r="I23" s="354" t="e">
        <f ca="1">(G23/H23)^2</f>
        <v>#NAME?</v>
      </c>
      <c r="J23" s="354" t="e">
        <f ca="1">CHIDIST(I23,1)</f>
        <v>#NAME?</v>
      </c>
      <c r="K23" s="354" t="e">
        <f ca="1">EXP(G23)</f>
        <v>#NAME?</v>
      </c>
      <c r="L23" s="354" t="e">
        <f ca="1">EXP(G23-H23*NORMSINV(1-$V$11/2))</f>
        <v>#NAME?</v>
      </c>
      <c r="M23" s="354" t="e">
        <f ca="1">EXP(G23+H23*NORMSINV(1-$V$11/2))</f>
        <v>#NAME?</v>
      </c>
    </row>
    <row r="26" spans="2:42" x14ac:dyDescent="0.25">
      <c r="B26" s="1" t="s">
        <v>774</v>
      </c>
      <c r="F26" t="s">
        <v>618</v>
      </c>
      <c r="AB26" t="s">
        <v>827</v>
      </c>
      <c r="AG26" t="s">
        <v>831</v>
      </c>
    </row>
    <row r="27" spans="2:42" ht="15.75" thickBot="1" x14ac:dyDescent="0.3"/>
    <row r="28" spans="2:42" ht="15.75" thickTop="1" x14ac:dyDescent="0.25">
      <c r="B28" s="294" t="s">
        <v>656</v>
      </c>
      <c r="C28" s="294" t="s">
        <v>94</v>
      </c>
      <c r="D28" s="294" t="s">
        <v>72</v>
      </c>
      <c r="F28" s="360" t="e">
        <f t="array" aca="1" ref="F28:H34" ca="1">LogitReduce(A3:D15,"Water")</f>
        <v>#NAME?</v>
      </c>
      <c r="G28" s="360" t="e">
        <f ca="1"/>
        <v>#NAME?</v>
      </c>
      <c r="H28" s="360" t="e">
        <f ca="1"/>
        <v>#NAME?</v>
      </c>
      <c r="I28" s="360" t="s">
        <v>1</v>
      </c>
      <c r="J28" s="360" t="s">
        <v>658</v>
      </c>
      <c r="K28" s="360" t="s">
        <v>659</v>
      </c>
      <c r="L28" s="360" t="s">
        <v>825</v>
      </c>
      <c r="M28" s="360" t="s">
        <v>826</v>
      </c>
      <c r="N28" s="360" t="s">
        <v>626</v>
      </c>
      <c r="O28" s="360" t="s">
        <v>753</v>
      </c>
      <c r="P28" s="360" t="s">
        <v>809</v>
      </c>
      <c r="R28" t="s">
        <v>660</v>
      </c>
      <c r="T28" t="s">
        <v>625</v>
      </c>
      <c r="U28" s="362" t="e">
        <f ca="1">G35*LN(G35/I35)+H35*LN(H35/I35)</f>
        <v>#NAME?</v>
      </c>
      <c r="W28" t="s">
        <v>754</v>
      </c>
      <c r="Z28" t="s">
        <v>837</v>
      </c>
      <c r="AC28" s="356" t="s">
        <v>828</v>
      </c>
      <c r="AD28" s="356" t="s">
        <v>829</v>
      </c>
      <c r="AG28" s="346" t="s">
        <v>659</v>
      </c>
      <c r="AH28" s="346" t="s">
        <v>816</v>
      </c>
      <c r="AI28" s="346" t="s">
        <v>815</v>
      </c>
      <c r="AJ28" s="346" t="s">
        <v>832</v>
      </c>
      <c r="AK28" s="346" t="s">
        <v>833</v>
      </c>
      <c r="AL28" s="346" t="s">
        <v>834</v>
      </c>
      <c r="AM28" s="346" t="s">
        <v>835</v>
      </c>
      <c r="AN28" s="346" t="s">
        <v>836</v>
      </c>
    </row>
    <row r="29" spans="2:42" x14ac:dyDescent="0.25">
      <c r="B29" s="370">
        <v>20</v>
      </c>
      <c r="C29" s="367">
        <f t="shared" ref="C29:D34" si="17">SUMIF($A$4:$A$15,$B29,C$4:C$15)</f>
        <v>39</v>
      </c>
      <c r="D29" s="368">
        <f t="shared" si="17"/>
        <v>4</v>
      </c>
      <c r="F29" t="e">
        <f ca="1"/>
        <v>#NAME?</v>
      </c>
      <c r="G29" s="183" t="e">
        <f ca="1"/>
        <v>#NAME?</v>
      </c>
      <c r="H29" s="7" t="e">
        <f ca="1"/>
        <v>#NAME?</v>
      </c>
      <c r="I29" s="43" t="e">
        <f t="shared" ref="I29:I34" ca="1" si="18">G29+H29</f>
        <v>#NAME?</v>
      </c>
      <c r="J29" t="e">
        <f t="shared" ref="J29:J34" ca="1" si="19">G29/I29</f>
        <v>#NAME?</v>
      </c>
      <c r="K29" t="e">
        <f t="shared" ref="K29:K34" ca="1" si="20">1/(1+EXP(-$R$30-$R$31*F29))</f>
        <v>#NAME?</v>
      </c>
      <c r="L29" s="357" t="e">
        <f t="shared" ref="L29:L34" ca="1" si="21">I29*K29</f>
        <v>#NAME?</v>
      </c>
      <c r="M29" s="359" t="e">
        <f t="shared" ref="M29:M34" ca="1" si="22">I29-L29</f>
        <v>#NAME?</v>
      </c>
      <c r="N29" t="e">
        <f t="shared" ref="N29:N34" ca="1" si="23">I29*(J29*LN(K29)+(1-J29)*LN(1-K29))</f>
        <v>#NAME?</v>
      </c>
      <c r="O29" t="e">
        <f t="shared" ref="O29:O34" ca="1" si="24">100*IF(K29&gt;=$AC$35,G29/I29,H29/I29)</f>
        <v>#NAME?</v>
      </c>
      <c r="P29" t="e">
        <f t="shared" ref="P29:P34" ca="1" si="25">(G29-L29)^2/L29+(H29-M29)^2/M29</f>
        <v>#NAME?</v>
      </c>
      <c r="T29" t="s">
        <v>653</v>
      </c>
      <c r="U29" s="349" t="e">
        <f ca="1">N35</f>
        <v>#NAME?</v>
      </c>
      <c r="W29" s="357" t="e">
        <f t="array" aca="1" ref="W29:X30" ca="1">MINVERSE(MMULT(TRANSPOSE(DESIGN(F29:F34)),K29:K34*(1-K29:K34)*I29:I34*DESIGN(F29:F34)))</f>
        <v>#NAME?</v>
      </c>
      <c r="X29" s="359" t="e">
        <f ca="1"/>
        <v>#NAME?</v>
      </c>
      <c r="Z29" s="362" t="e">
        <f t="array" aca="1" ref="Z29:Z30" ca="1">MMULT(W29:X30,MMULT(TRANSPOSE(DESIGN(F29:F34)),I29:I34*(J29:J34-K29:K34)))</f>
        <v>#NAME?</v>
      </c>
      <c r="AB29" t="s">
        <v>825</v>
      </c>
      <c r="AC29" s="357">
        <f ca="1">SUMIF(K29:K34,"&gt;="&amp;AC35,G29:G34)</f>
        <v>0</v>
      </c>
      <c r="AD29" s="359">
        <f ca="1">SUMIF(K29:K34,"&gt;="&amp;AC35,H29:H34)</f>
        <v>0</v>
      </c>
      <c r="AE29">
        <f ca="1">AC29+AD29</f>
        <v>0</v>
      </c>
      <c r="AJ29">
        <v>0</v>
      </c>
      <c r="AK29">
        <v>0</v>
      </c>
      <c r="AL29" t="e">
        <f ca="1">1-AJ29/AJ$35</f>
        <v>#NAME?</v>
      </c>
      <c r="AM29" t="e">
        <f ca="1">1-AK29/AK$35</f>
        <v>#NAME?</v>
      </c>
      <c r="AN29" t="e">
        <f ca="1">(AL29-AL30)*AM29</f>
        <v>#NAME?</v>
      </c>
    </row>
    <row r="30" spans="2:42" x14ac:dyDescent="0.25">
      <c r="B30" s="337">
        <v>21</v>
      </c>
      <c r="C30" s="46">
        <f t="shared" si="17"/>
        <v>165</v>
      </c>
      <c r="D30" s="177">
        <f t="shared" si="17"/>
        <v>15</v>
      </c>
      <c r="F30" t="e">
        <f ca="1"/>
        <v>#NAME?</v>
      </c>
      <c r="G30" s="183" t="e">
        <f ca="1"/>
        <v>#NAME?</v>
      </c>
      <c r="H30" s="7" t="e">
        <f ca="1"/>
        <v>#NAME?</v>
      </c>
      <c r="I30" s="43" t="e">
        <f t="shared" ca="1" si="18"/>
        <v>#NAME?</v>
      </c>
      <c r="J30" t="e">
        <f t="shared" ca="1" si="19"/>
        <v>#NAME?</v>
      </c>
      <c r="K30" t="e">
        <f t="shared" ca="1" si="20"/>
        <v>#NAME?</v>
      </c>
      <c r="L30" s="183" t="e">
        <f t="shared" ca="1" si="21"/>
        <v>#NAME?</v>
      </c>
      <c r="M30" s="43" t="e">
        <f t="shared" ca="1" si="22"/>
        <v>#NAME?</v>
      </c>
      <c r="N30" t="e">
        <f t="shared" ca="1" si="23"/>
        <v>#NAME?</v>
      </c>
      <c r="O30" t="e">
        <f t="shared" ca="1" si="24"/>
        <v>#NAME?</v>
      </c>
      <c r="P30" t="e">
        <f t="shared" ca="1" si="25"/>
        <v>#NAME?</v>
      </c>
      <c r="R30" s="362" t="e">
        <f t="array" aca="1" ref="R30:R31" ca="1">LogitCoeff(F29:H34,,,,,20)</f>
        <v>#NAME?</v>
      </c>
      <c r="W30" s="351" t="e">
        <f ca="1"/>
        <v>#NAME?</v>
      </c>
      <c r="X30" s="353" t="e">
        <f ca="1"/>
        <v>#NAME?</v>
      </c>
      <c r="Z30" s="349" t="e">
        <f ca="1"/>
        <v>#NAME?</v>
      </c>
      <c r="AB30" t="s">
        <v>826</v>
      </c>
      <c r="AC30" s="351" t="e">
        <f ca="1">AC31-AC29</f>
        <v>#NAME?</v>
      </c>
      <c r="AD30" s="353" t="e">
        <f ca="1">AD31-AD29</f>
        <v>#NAME?</v>
      </c>
      <c r="AE30" t="e">
        <f ca="1">AC30+AD30</f>
        <v>#NAME?</v>
      </c>
      <c r="AG30" t="e">
        <f t="array" aca="1" ref="AG30:AI35" ca="1">SelectCols(G29:K34,"5,2,1",1)</f>
        <v>#NAME?</v>
      </c>
      <c r="AH30" t="e">
        <f ca="1"/>
        <v>#NAME?</v>
      </c>
      <c r="AI30" t="e">
        <f ca="1"/>
        <v>#NAME?</v>
      </c>
      <c r="AJ30" t="e">
        <f t="shared" ref="AJ30:AK35" ca="1" si="26">AJ29+AH30</f>
        <v>#NAME?</v>
      </c>
      <c r="AK30" t="e">
        <f t="shared" ca="1" si="26"/>
        <v>#NAME?</v>
      </c>
      <c r="AL30" t="e">
        <f t="shared" ref="AL30:AL35" ca="1" si="27">1-AJ30/AJ$35</f>
        <v>#NAME?</v>
      </c>
      <c r="AM30" t="e">
        <f t="shared" ref="AM30:AM35" ca="1" si="28">1-AK30/AK$35</f>
        <v>#NAME?</v>
      </c>
      <c r="AN30" t="e">
        <f t="shared" ref="AN30:AN35" ca="1" si="29">(AL30-AL31)*AM30</f>
        <v>#NAME?</v>
      </c>
    </row>
    <row r="31" spans="2:42" x14ac:dyDescent="0.25">
      <c r="B31" s="337">
        <v>22</v>
      </c>
      <c r="C31" s="46">
        <f t="shared" si="17"/>
        <v>159</v>
      </c>
      <c r="D31" s="177">
        <f t="shared" si="17"/>
        <v>44</v>
      </c>
      <c r="F31" t="e">
        <f ca="1"/>
        <v>#NAME?</v>
      </c>
      <c r="G31" s="183" t="e">
        <f ca="1"/>
        <v>#NAME?</v>
      </c>
      <c r="H31" s="7" t="e">
        <f ca="1"/>
        <v>#NAME?</v>
      </c>
      <c r="I31" s="43" t="e">
        <f t="shared" ca="1" si="18"/>
        <v>#NAME?</v>
      </c>
      <c r="J31" t="e">
        <f t="shared" ca="1" si="19"/>
        <v>#NAME?</v>
      </c>
      <c r="K31" t="e">
        <f t="shared" ca="1" si="20"/>
        <v>#NAME?</v>
      </c>
      <c r="L31" s="183" t="e">
        <f t="shared" ca="1" si="21"/>
        <v>#NAME?</v>
      </c>
      <c r="M31" s="43" t="e">
        <f t="shared" ca="1" si="22"/>
        <v>#NAME?</v>
      </c>
      <c r="N31" t="e">
        <f t="shared" ca="1" si="23"/>
        <v>#NAME?</v>
      </c>
      <c r="O31" t="e">
        <f t="shared" ca="1" si="24"/>
        <v>#NAME?</v>
      </c>
      <c r="P31" t="e">
        <f t="shared" ca="1" si="25"/>
        <v>#NAME?</v>
      </c>
      <c r="R31" s="349" t="e">
        <f ca="1"/>
        <v>#NAME?</v>
      </c>
      <c r="T31" t="s">
        <v>664</v>
      </c>
      <c r="U31" s="362" t="e">
        <f ca="1">2*(U29-U28)</f>
        <v>#NAME?</v>
      </c>
      <c r="AC31" t="e">
        <f ca="1">G35</f>
        <v>#NAME?</v>
      </c>
      <c r="AD31" t="e">
        <f ca="1">H35</f>
        <v>#NAME?</v>
      </c>
      <c r="AE31" t="e">
        <f ca="1">AC31+AD31</f>
        <v>#NAME?</v>
      </c>
      <c r="AG31" t="e">
        <f ca="1"/>
        <v>#NAME?</v>
      </c>
      <c r="AH31" t="e">
        <f ca="1"/>
        <v>#NAME?</v>
      </c>
      <c r="AI31" t="e">
        <f ca="1"/>
        <v>#NAME?</v>
      </c>
      <c r="AJ31" t="e">
        <f t="shared" ca="1" si="26"/>
        <v>#NAME?</v>
      </c>
      <c r="AK31" t="e">
        <f t="shared" ca="1" si="26"/>
        <v>#NAME?</v>
      </c>
      <c r="AL31" t="e">
        <f t="shared" ca="1" si="27"/>
        <v>#NAME?</v>
      </c>
      <c r="AM31" t="e">
        <f t="shared" ca="1" si="28"/>
        <v>#NAME?</v>
      </c>
      <c r="AN31" t="e">
        <f t="shared" ca="1" si="29"/>
        <v>#NAME?</v>
      </c>
    </row>
    <row r="32" spans="2:42" x14ac:dyDescent="0.25">
      <c r="B32" s="337">
        <v>23</v>
      </c>
      <c r="C32" s="46">
        <f t="shared" si="17"/>
        <v>120</v>
      </c>
      <c r="D32" s="177">
        <f t="shared" si="17"/>
        <v>138</v>
      </c>
      <c r="F32" t="e">
        <f ca="1"/>
        <v>#NAME?</v>
      </c>
      <c r="G32" s="183" t="e">
        <f ca="1"/>
        <v>#NAME?</v>
      </c>
      <c r="H32" s="7" t="e">
        <f ca="1"/>
        <v>#NAME?</v>
      </c>
      <c r="I32" s="43" t="e">
        <f t="shared" ca="1" si="18"/>
        <v>#NAME?</v>
      </c>
      <c r="J32" t="e">
        <f t="shared" ca="1" si="19"/>
        <v>#NAME?</v>
      </c>
      <c r="K32" t="e">
        <f t="shared" ca="1" si="20"/>
        <v>#NAME?</v>
      </c>
      <c r="L32" s="183" t="e">
        <f t="shared" ca="1" si="21"/>
        <v>#NAME?</v>
      </c>
      <c r="M32" s="43" t="e">
        <f t="shared" ca="1" si="22"/>
        <v>#NAME?</v>
      </c>
      <c r="N32" t="e">
        <f t="shared" ca="1" si="23"/>
        <v>#NAME?</v>
      </c>
      <c r="O32" t="e">
        <f t="shared" ca="1" si="24"/>
        <v>#NAME?</v>
      </c>
      <c r="P32" t="e">
        <f t="shared" ca="1" si="25"/>
        <v>#NAME?</v>
      </c>
      <c r="T32" t="s">
        <v>41</v>
      </c>
      <c r="U32" s="322">
        <f ca="1">COUNT(F29)</f>
        <v>0</v>
      </c>
      <c r="AG32" t="e">
        <f ca="1"/>
        <v>#NAME?</v>
      </c>
      <c r="AH32" t="e">
        <f ca="1"/>
        <v>#NAME?</v>
      </c>
      <c r="AI32" t="e">
        <f ca="1"/>
        <v>#NAME?</v>
      </c>
      <c r="AJ32" t="e">
        <f t="shared" ca="1" si="26"/>
        <v>#NAME?</v>
      </c>
      <c r="AK32" t="e">
        <f t="shared" ca="1" si="26"/>
        <v>#NAME?</v>
      </c>
      <c r="AL32" t="e">
        <f t="shared" ca="1" si="27"/>
        <v>#NAME?</v>
      </c>
      <c r="AM32" t="e">
        <f t="shared" ca="1" si="28"/>
        <v>#NAME?</v>
      </c>
      <c r="AN32" t="e">
        <f t="shared" ca="1" si="29"/>
        <v>#NAME?</v>
      </c>
    </row>
    <row r="33" spans="2:40" x14ac:dyDescent="0.25">
      <c r="B33" s="337">
        <v>24</v>
      </c>
      <c r="C33" s="46">
        <f t="shared" si="17"/>
        <v>28</v>
      </c>
      <c r="D33" s="177">
        <f t="shared" si="17"/>
        <v>87</v>
      </c>
      <c r="F33" t="e">
        <f ca="1"/>
        <v>#NAME?</v>
      </c>
      <c r="G33" s="183" t="e">
        <f ca="1"/>
        <v>#NAME?</v>
      </c>
      <c r="H33" s="7" t="e">
        <f ca="1"/>
        <v>#NAME?</v>
      </c>
      <c r="I33" s="43" t="e">
        <f t="shared" ca="1" si="18"/>
        <v>#NAME?</v>
      </c>
      <c r="J33" t="e">
        <f t="shared" ca="1" si="19"/>
        <v>#NAME?</v>
      </c>
      <c r="K33" t="e">
        <f t="shared" ca="1" si="20"/>
        <v>#NAME?</v>
      </c>
      <c r="L33" s="183" t="e">
        <f t="shared" ca="1" si="21"/>
        <v>#NAME?</v>
      </c>
      <c r="M33" s="43" t="e">
        <f t="shared" ca="1" si="22"/>
        <v>#NAME?</v>
      </c>
      <c r="N33" t="e">
        <f t="shared" ca="1" si="23"/>
        <v>#NAME?</v>
      </c>
      <c r="O33" t="e">
        <f t="shared" ca="1" si="24"/>
        <v>#NAME?</v>
      </c>
      <c r="P33" t="e">
        <f t="shared" ca="1" si="25"/>
        <v>#NAME?</v>
      </c>
      <c r="T33" t="s">
        <v>48</v>
      </c>
      <c r="U33" s="322" t="e">
        <f ca="1">CHIDIST(U31,U32)</f>
        <v>#NAME?</v>
      </c>
      <c r="AB33" t="s">
        <v>853</v>
      </c>
      <c r="AC33" s="363" t="e">
        <f ca="1">AC29/AC31</f>
        <v>#NAME?</v>
      </c>
      <c r="AD33" s="364" t="e">
        <f ca="1">AD30/AD31</f>
        <v>#NAME?</v>
      </c>
      <c r="AE33" t="e">
        <f ca="1">(AC29+AD30)/AE31</f>
        <v>#NAME?</v>
      </c>
      <c r="AG33" t="e">
        <f ca="1"/>
        <v>#NAME?</v>
      </c>
      <c r="AH33" t="e">
        <f ca="1"/>
        <v>#NAME?</v>
      </c>
      <c r="AI33" t="e">
        <f ca="1"/>
        <v>#NAME?</v>
      </c>
      <c r="AJ33" t="e">
        <f t="shared" ca="1" si="26"/>
        <v>#NAME?</v>
      </c>
      <c r="AK33" t="e">
        <f t="shared" ca="1" si="26"/>
        <v>#NAME?</v>
      </c>
      <c r="AL33" t="e">
        <f t="shared" ca="1" si="27"/>
        <v>#NAME?</v>
      </c>
      <c r="AM33" t="e">
        <f t="shared" ca="1" si="28"/>
        <v>#NAME?</v>
      </c>
      <c r="AN33" t="e">
        <f t="shared" ca="1" si="29"/>
        <v>#NAME?</v>
      </c>
    </row>
    <row r="34" spans="2:40" x14ac:dyDescent="0.25">
      <c r="B34" s="310">
        <v>25</v>
      </c>
      <c r="C34" s="369">
        <f t="shared" si="17"/>
        <v>11</v>
      </c>
      <c r="D34" s="179">
        <f t="shared" si="17"/>
        <v>50</v>
      </c>
      <c r="F34" t="e">
        <f ca="1"/>
        <v>#NAME?</v>
      </c>
      <c r="G34" s="351" t="e">
        <f ca="1"/>
        <v>#NAME?</v>
      </c>
      <c r="H34" s="352" t="e">
        <f ca="1"/>
        <v>#NAME?</v>
      </c>
      <c r="I34" s="43" t="e">
        <f t="shared" ca="1" si="18"/>
        <v>#NAME?</v>
      </c>
      <c r="J34" t="e">
        <f t="shared" ca="1" si="19"/>
        <v>#NAME?</v>
      </c>
      <c r="K34" t="e">
        <f t="shared" ca="1" si="20"/>
        <v>#NAME?</v>
      </c>
      <c r="L34" s="183" t="e">
        <f t="shared" ca="1" si="21"/>
        <v>#NAME?</v>
      </c>
      <c r="M34" s="43" t="e">
        <f t="shared" ca="1" si="22"/>
        <v>#NAME?</v>
      </c>
      <c r="N34" t="e">
        <f t="shared" ca="1" si="23"/>
        <v>#NAME?</v>
      </c>
      <c r="O34" t="e">
        <f t="shared" ca="1" si="24"/>
        <v>#NAME?</v>
      </c>
      <c r="P34" t="e">
        <f t="shared" ca="1" si="25"/>
        <v>#NAME?</v>
      </c>
      <c r="T34" t="s">
        <v>70</v>
      </c>
      <c r="U34" s="322">
        <v>0.05</v>
      </c>
      <c r="AG34" t="e">
        <f ca="1"/>
        <v>#NAME?</v>
      </c>
      <c r="AH34" t="e">
        <f ca="1"/>
        <v>#NAME?</v>
      </c>
      <c r="AI34" t="e">
        <f ca="1"/>
        <v>#NAME?</v>
      </c>
      <c r="AJ34" t="e">
        <f t="shared" ca="1" si="26"/>
        <v>#NAME?</v>
      </c>
      <c r="AK34" t="e">
        <f t="shared" ca="1" si="26"/>
        <v>#NAME?</v>
      </c>
      <c r="AL34" t="e">
        <f t="shared" ca="1" si="27"/>
        <v>#NAME?</v>
      </c>
      <c r="AM34" t="e">
        <f t="shared" ca="1" si="28"/>
        <v>#NAME?</v>
      </c>
      <c r="AN34" t="e">
        <f t="shared" ca="1" si="29"/>
        <v>#NAME?</v>
      </c>
    </row>
    <row r="35" spans="2:40" x14ac:dyDescent="0.25">
      <c r="B35" s="7"/>
      <c r="C35" s="45">
        <f>SUM(C29:C34)</f>
        <v>522</v>
      </c>
      <c r="D35" s="45">
        <f>SUM(D29:D34)</f>
        <v>338</v>
      </c>
      <c r="F35" s="4"/>
      <c r="G35" s="4" t="e">
        <f ca="1">SUM(G29:G34)</f>
        <v>#NAME?</v>
      </c>
      <c r="H35" s="4" t="e">
        <f ca="1">SUM(H29:H34)</f>
        <v>#NAME?</v>
      </c>
      <c r="I35" s="361" t="e">
        <f ca="1">SUM(I29:I34)</f>
        <v>#NAME?</v>
      </c>
      <c r="J35" s="361"/>
      <c r="K35" s="361"/>
      <c r="L35" s="4" t="e">
        <f ca="1">SUM(L29:L34)</f>
        <v>#NAME?</v>
      </c>
      <c r="M35" s="4" t="e">
        <f ca="1">SUM(M29:M34)</f>
        <v>#NAME?</v>
      </c>
      <c r="N35" s="361" t="e">
        <f ca="1">SUM(N29:N34)</f>
        <v>#NAME?</v>
      </c>
      <c r="O35" s="361" t="e">
        <f ca="1">SUMPRODUCT(O29:O34,I29:I34)/I35</f>
        <v>#NAME?</v>
      </c>
      <c r="P35" s="361" t="e">
        <f ca="1">SUM(P29:P34)</f>
        <v>#NAME?</v>
      </c>
      <c r="T35" t="s">
        <v>164</v>
      </c>
      <c r="U35" s="350" t="e">
        <f ca="1">IF(U33&lt;U34,"yes","no")</f>
        <v>#NAME?</v>
      </c>
      <c r="W35" t="s">
        <v>839</v>
      </c>
      <c r="AB35" t="s">
        <v>830</v>
      </c>
      <c r="AC35" s="365">
        <v>0.5</v>
      </c>
      <c r="AG35" s="354" t="e">
        <f ca="1"/>
        <v>#NAME?</v>
      </c>
      <c r="AH35" s="354" t="e">
        <f ca="1"/>
        <v>#NAME?</v>
      </c>
      <c r="AI35" s="354" t="e">
        <f ca="1"/>
        <v>#NAME?</v>
      </c>
      <c r="AJ35" s="354" t="e">
        <f t="shared" ca="1" si="26"/>
        <v>#NAME?</v>
      </c>
      <c r="AK35" s="354" t="e">
        <f t="shared" ca="1" si="26"/>
        <v>#NAME?</v>
      </c>
      <c r="AL35" s="354" t="e">
        <f t="shared" ca="1" si="27"/>
        <v>#NAME?</v>
      </c>
      <c r="AM35" s="354" t="e">
        <f t="shared" ca="1" si="28"/>
        <v>#NAME?</v>
      </c>
      <c r="AN35" s="354" t="e">
        <f t="shared" ca="1" si="29"/>
        <v>#NAME?</v>
      </c>
    </row>
    <row r="36" spans="2:40" ht="15.75" thickBot="1" x14ac:dyDescent="0.3">
      <c r="AN36" t="e">
        <f ca="1">SUM(AN29:AN35)</f>
        <v>#NAME?</v>
      </c>
    </row>
    <row r="37" spans="2:40" ht="15.75" thickTop="1" x14ac:dyDescent="0.25">
      <c r="F37" s="346"/>
      <c r="G37" s="346" t="s">
        <v>755</v>
      </c>
      <c r="H37" s="346" t="s">
        <v>148</v>
      </c>
      <c r="I37" s="346" t="s">
        <v>756</v>
      </c>
      <c r="J37" s="346" t="s">
        <v>48</v>
      </c>
      <c r="K37" s="346" t="s">
        <v>757</v>
      </c>
      <c r="L37" s="346" t="s">
        <v>15</v>
      </c>
      <c r="M37" s="346" t="s">
        <v>16</v>
      </c>
      <c r="T37" t="s">
        <v>661</v>
      </c>
      <c r="U37" s="362" t="e">
        <f ca="1">1-U29/U28</f>
        <v>#NAME?</v>
      </c>
      <c r="W37" t="s">
        <v>625</v>
      </c>
      <c r="X37" s="362" t="e">
        <f ca="1">U29</f>
        <v>#NAME?</v>
      </c>
    </row>
    <row r="38" spans="2:40" x14ac:dyDescent="0.25">
      <c r="F38" t="s">
        <v>127</v>
      </c>
      <c r="G38" t="e">
        <f t="array" ref="G38:G39" ca="1">R30:R31</f>
        <v>#NAME?</v>
      </c>
      <c r="H38" t="e">
        <f t="array" aca="1" ref="H38:H39" ca="1">SQRT(DIAG(W29:X30))</f>
        <v>#NAME?</v>
      </c>
      <c r="I38" t="e">
        <f ca="1">(G38/H38)^2</f>
        <v>#NAME?</v>
      </c>
      <c r="J38" t="e">
        <f ca="1">CHIDIST(I38,1)</f>
        <v>#NAME?</v>
      </c>
      <c r="K38" t="e">
        <f ca="1">EXP(G38)</f>
        <v>#NAME?</v>
      </c>
      <c r="T38" t="s">
        <v>662</v>
      </c>
      <c r="U38" s="322" t="e">
        <f ca="1">1-EXP((-2/I35)*(U29-U28))</f>
        <v>#NAME?</v>
      </c>
      <c r="W38" t="s">
        <v>653</v>
      </c>
      <c r="X38" s="349" t="e">
        <f ca="1">V6</f>
        <v>#NAME?</v>
      </c>
    </row>
    <row r="39" spans="2:40" x14ac:dyDescent="0.25">
      <c r="F39" s="354" t="e">
        <f t="array" aca="1" ref="F39" ca="1">TRANSPOSE(F28)</f>
        <v>#NAME?</v>
      </c>
      <c r="G39" s="354" t="e">
        <f ca="1"/>
        <v>#NAME?</v>
      </c>
      <c r="H39" s="354" t="e">
        <f ca="1"/>
        <v>#NAME?</v>
      </c>
      <c r="I39" s="354" t="e">
        <f ca="1">(G39/H39)^2</f>
        <v>#NAME?</v>
      </c>
      <c r="J39" s="354" t="e">
        <f ca="1">CHIDIST(I39,1)</f>
        <v>#NAME?</v>
      </c>
      <c r="K39" s="354" t="e">
        <f ca="1">EXP(G39)</f>
        <v>#NAME?</v>
      </c>
      <c r="L39" s="354" t="e">
        <f ca="1">EXP(G39-H39*NORMSINV(1-$U$34/2))</f>
        <v>#NAME?</v>
      </c>
      <c r="M39" s="354" t="e">
        <f ca="1">EXP(G39+H39*NORMSINV(1-$U$34/2))</f>
        <v>#NAME?</v>
      </c>
      <c r="T39" t="s">
        <v>663</v>
      </c>
      <c r="U39" s="349" t="e">
        <f ca="1">U38/(1-EXP(2*U28/I35))</f>
        <v>#NAME?</v>
      </c>
    </row>
    <row r="40" spans="2:40" x14ac:dyDescent="0.25">
      <c r="W40" t="s">
        <v>664</v>
      </c>
      <c r="X40" s="362" t="e">
        <f ca="1">2*(X38-X37)</f>
        <v>#NAME?</v>
      </c>
    </row>
    <row r="41" spans="2:40" x14ac:dyDescent="0.25">
      <c r="T41" t="s">
        <v>814</v>
      </c>
      <c r="U41" s="362" t="e">
        <f ca="1">P35</f>
        <v>#NAME?</v>
      </c>
      <c r="W41" t="s">
        <v>41</v>
      </c>
      <c r="X41" s="322">
        <f ca="1">V9-U32</f>
        <v>2</v>
      </c>
    </row>
    <row r="42" spans="2:40" x14ac:dyDescent="0.25">
      <c r="T42" t="s">
        <v>41</v>
      </c>
      <c r="U42" s="322">
        <f ca="1">COUNT(I29:I34)-2</f>
        <v>-2</v>
      </c>
      <c r="W42" t="s">
        <v>48</v>
      </c>
      <c r="X42" s="322" t="e">
        <f ca="1">CHIDIST(X40,X41)</f>
        <v>#NAME?</v>
      </c>
    </row>
    <row r="43" spans="2:40" x14ac:dyDescent="0.25">
      <c r="T43" t="s">
        <v>48</v>
      </c>
      <c r="U43" s="322" t="e">
        <f ca="1">CHIDIST(U41,U42)</f>
        <v>#NAME?</v>
      </c>
      <c r="W43" t="s">
        <v>70</v>
      </c>
      <c r="X43" s="322">
        <v>0.05</v>
      </c>
    </row>
    <row r="44" spans="2:40" x14ac:dyDescent="0.25">
      <c r="T44" t="s">
        <v>70</v>
      </c>
      <c r="U44" s="322">
        <f>U34</f>
        <v>0.05</v>
      </c>
      <c r="W44" t="s">
        <v>164</v>
      </c>
      <c r="X44" s="350" t="e">
        <f ca="1">IF(X42&lt;X43,"yes","no")</f>
        <v>#NAME?</v>
      </c>
    </row>
    <row r="45" spans="2:40" x14ac:dyDescent="0.25">
      <c r="T45" t="s">
        <v>164</v>
      </c>
      <c r="U45" s="350" t="e">
        <f ca="1">IF(U43&lt;U44,"yes","no")</f>
        <v>#NAME?</v>
      </c>
    </row>
    <row r="47" spans="2:40" x14ac:dyDescent="0.25">
      <c r="B47" s="1" t="s">
        <v>775</v>
      </c>
      <c r="F47" t="s">
        <v>618</v>
      </c>
      <c r="AB47" t="s">
        <v>827</v>
      </c>
      <c r="AG47" t="s">
        <v>831</v>
      </c>
    </row>
    <row r="48" spans="2:40" ht="15.75" thickBot="1" x14ac:dyDescent="0.3"/>
    <row r="49" spans="2:40" ht="15.75" thickTop="1" x14ac:dyDescent="0.25">
      <c r="B49" t="s">
        <v>657</v>
      </c>
      <c r="C49" t="s">
        <v>94</v>
      </c>
      <c r="D49" t="s">
        <v>72</v>
      </c>
      <c r="F49" s="360" t="e">
        <f t="array" aca="1" ref="F49:H51" ca="1">LogitReduce(A3:D15,"Temp")</f>
        <v>#NAME?</v>
      </c>
      <c r="G49" s="360" t="e">
        <f ca="1"/>
        <v>#NAME?</v>
      </c>
      <c r="H49" s="360" t="e">
        <f ca="1"/>
        <v>#NAME?</v>
      </c>
      <c r="I49" s="360" t="s">
        <v>1</v>
      </c>
      <c r="J49" s="360" t="s">
        <v>658</v>
      </c>
      <c r="K49" s="360" t="s">
        <v>659</v>
      </c>
      <c r="L49" s="360" t="s">
        <v>825</v>
      </c>
      <c r="M49" s="360" t="s">
        <v>826</v>
      </c>
      <c r="N49" s="360" t="s">
        <v>626</v>
      </c>
      <c r="O49" s="360" t="s">
        <v>753</v>
      </c>
      <c r="P49" s="360" t="s">
        <v>809</v>
      </c>
      <c r="R49" t="s">
        <v>660</v>
      </c>
      <c r="T49" t="s">
        <v>625</v>
      </c>
      <c r="U49" s="362" t="e">
        <f ca="1">G52*LN(G52/I52)+H52*LN(H52/I52)</f>
        <v>#NAME?</v>
      </c>
      <c r="W49" t="s">
        <v>754</v>
      </c>
      <c r="Z49" t="s">
        <v>837</v>
      </c>
      <c r="AC49" s="356" t="s">
        <v>828</v>
      </c>
      <c r="AD49" s="356" t="s">
        <v>829</v>
      </c>
      <c r="AG49" s="346" t="s">
        <v>659</v>
      </c>
      <c r="AH49" s="346" t="s">
        <v>816</v>
      </c>
      <c r="AI49" s="346" t="s">
        <v>815</v>
      </c>
      <c r="AJ49" s="346" t="s">
        <v>832</v>
      </c>
      <c r="AK49" s="346" t="s">
        <v>833</v>
      </c>
      <c r="AL49" s="346" t="s">
        <v>834</v>
      </c>
      <c r="AM49" s="346" t="s">
        <v>835</v>
      </c>
      <c r="AN49" s="346" t="s">
        <v>836</v>
      </c>
    </row>
    <row r="50" spans="2:40" x14ac:dyDescent="0.25">
      <c r="B50" s="348">
        <v>0</v>
      </c>
      <c r="C50" s="367">
        <f>SUMIF($B$4:$B$15,$B50,C$4:C$15)</f>
        <v>278</v>
      </c>
      <c r="D50" s="368">
        <f>SUMIF($B$4:$B$15,$B50,D$4:D$15)</f>
        <v>171</v>
      </c>
      <c r="F50" t="e">
        <f ca="1"/>
        <v>#NAME?</v>
      </c>
      <c r="G50" s="183" t="e">
        <f ca="1"/>
        <v>#NAME?</v>
      </c>
      <c r="H50" s="7" t="e">
        <f ca="1"/>
        <v>#NAME?</v>
      </c>
      <c r="I50" s="43" t="e">
        <f ca="1">G50+H50</f>
        <v>#NAME?</v>
      </c>
      <c r="J50" t="e">
        <f ca="1">G50/I50</f>
        <v>#NAME?</v>
      </c>
      <c r="K50" t="e">
        <f ca="1">1/(1+EXP(-$R$51-$R$52*F50))</f>
        <v>#NAME?</v>
      </c>
      <c r="L50" s="357" t="e">
        <f ca="1">I50*K50</f>
        <v>#NAME?</v>
      </c>
      <c r="M50" s="359" t="e">
        <f ca="1">I50-L50</f>
        <v>#NAME?</v>
      </c>
      <c r="N50" t="e">
        <f ca="1">I50*(J50*LN(K50)+(1-J50)*LN(1-K50))</f>
        <v>#NAME?</v>
      </c>
      <c r="O50" t="e">
        <f ca="1">100*IF(K50&gt;=$AC$56,G50/I50,H50/I50)</f>
        <v>#NAME?</v>
      </c>
      <c r="P50" t="e">
        <f ca="1">(G50-L50)^2/L50+(H50-M50)^2/M50</f>
        <v>#NAME?</v>
      </c>
      <c r="T50" t="s">
        <v>653</v>
      </c>
      <c r="U50" s="349" t="e">
        <f ca="1">N52</f>
        <v>#NAME?</v>
      </c>
      <c r="W50" s="357" t="e">
        <f t="array" aca="1" ref="W50:X51" ca="1">MINVERSE(MMULT(TRANSPOSE(DESIGN(F50:F51)),K50:K51*(1-K50:K51)*I50:I51*DESIGN(F50:F51)))</f>
        <v>#NAME?</v>
      </c>
      <c r="X50" s="359" t="e">
        <f ca="1"/>
        <v>#NAME?</v>
      </c>
      <c r="Z50" s="362" t="e">
        <f t="array" aca="1" ref="Z50:Z51" ca="1">MMULT(W50:X51,MMULT(TRANSPOSE(DESIGN(F50:F51)),I50:I51*(J50:J51-K50:K51)))</f>
        <v>#NAME?</v>
      </c>
      <c r="AB50" t="s">
        <v>825</v>
      </c>
      <c r="AC50" s="357">
        <f ca="1">SUMIF(K50:K51,"&gt;="&amp;AC56,G50:G51)</f>
        <v>0</v>
      </c>
      <c r="AD50" s="359">
        <f ca="1">SUMIF(K50:K51,"&gt;="&amp;AC56,H50:H51)</f>
        <v>0</v>
      </c>
      <c r="AE50">
        <f ca="1">AC50+AD50</f>
        <v>0</v>
      </c>
      <c r="AJ50">
        <v>0</v>
      </c>
      <c r="AK50">
        <v>0</v>
      </c>
      <c r="AL50" t="e">
        <f t="shared" ref="AL50:AM52" ca="1" si="30">1-AJ50/AJ$52</f>
        <v>#NAME?</v>
      </c>
      <c r="AM50" t="e">
        <f t="shared" ca="1" si="30"/>
        <v>#NAME?</v>
      </c>
      <c r="AN50" t="e">
        <f ca="1">(AL50-AL51)*AM50</f>
        <v>#NAME?</v>
      </c>
    </row>
    <row r="51" spans="2:40" x14ac:dyDescent="0.25">
      <c r="B51" s="123">
        <v>1</v>
      </c>
      <c r="C51" s="369">
        <f>SUMIF($B$4:$B$15,$B51,C$4:C$15)</f>
        <v>244</v>
      </c>
      <c r="D51" s="179">
        <f>SUMIF($B$4:$B$15,$B51,D$4:D$15)</f>
        <v>167</v>
      </c>
      <c r="F51" t="e">
        <f ca="1"/>
        <v>#NAME?</v>
      </c>
      <c r="G51" s="351" t="e">
        <f ca="1"/>
        <v>#NAME?</v>
      </c>
      <c r="H51" s="352" t="e">
        <f ca="1"/>
        <v>#NAME?</v>
      </c>
      <c r="I51" s="43" t="e">
        <f ca="1">G51+H51</f>
        <v>#NAME?</v>
      </c>
      <c r="J51" t="e">
        <f ca="1">G51/I51</f>
        <v>#NAME?</v>
      </c>
      <c r="K51" t="e">
        <f ca="1">1/(1+EXP(-$R$51-$R$52*F51))</f>
        <v>#NAME?</v>
      </c>
      <c r="L51" s="183" t="e">
        <f ca="1">I51*K51</f>
        <v>#NAME?</v>
      </c>
      <c r="M51" s="43" t="e">
        <f ca="1">I51-L51</f>
        <v>#NAME?</v>
      </c>
      <c r="N51" t="e">
        <f ca="1">I51*(J51*LN(K51)+(1-J51)*LN(1-K51))</f>
        <v>#NAME?</v>
      </c>
      <c r="O51" t="e">
        <f ca="1">100*IF(K51&gt;=$AC$56,G51/I51,H51/I51)</f>
        <v>#NAME?</v>
      </c>
      <c r="P51" t="e">
        <f ca="1">(G51-L51)^2/L51+(H51-M51)^2/M51</f>
        <v>#NAME?</v>
      </c>
      <c r="R51" s="362" t="e">
        <f t="array" aca="1" ref="R51:R52" ca="1">LogitCoeff(F50:H51,,,,,20)</f>
        <v>#NAME?</v>
      </c>
      <c r="W51" s="351" t="e">
        <f ca="1"/>
        <v>#NAME?</v>
      </c>
      <c r="X51" s="353" t="e">
        <f ca="1"/>
        <v>#NAME?</v>
      </c>
      <c r="Z51" s="349" t="e">
        <f ca="1"/>
        <v>#NAME?</v>
      </c>
      <c r="AB51" t="s">
        <v>826</v>
      </c>
      <c r="AC51" s="351" t="e">
        <f ca="1">AC52-AC50</f>
        <v>#NAME?</v>
      </c>
      <c r="AD51" s="353" t="e">
        <f ca="1">AD52-AD50</f>
        <v>#NAME?</v>
      </c>
      <c r="AE51" t="e">
        <f ca="1">AC51+AD51</f>
        <v>#NAME?</v>
      </c>
      <c r="AG51" t="e">
        <f t="array" aca="1" ref="AG51:AI52" ca="1">SelectCols(G50:K51,"5,2,1",1)</f>
        <v>#NAME?</v>
      </c>
      <c r="AH51" t="e">
        <f ca="1"/>
        <v>#NAME?</v>
      </c>
      <c r="AI51" t="e">
        <f ca="1"/>
        <v>#NAME?</v>
      </c>
      <c r="AJ51" t="e">
        <f ca="1">AJ50+AH51</f>
        <v>#NAME?</v>
      </c>
      <c r="AK51" t="e">
        <f ca="1">AK50+AI51</f>
        <v>#NAME?</v>
      </c>
      <c r="AL51" t="e">
        <f t="shared" ca="1" si="30"/>
        <v>#NAME?</v>
      </c>
      <c r="AM51" t="e">
        <f t="shared" ca="1" si="30"/>
        <v>#NAME?</v>
      </c>
      <c r="AN51" t="e">
        <f ca="1">(AL51-AL52)*AM51</f>
        <v>#NAME?</v>
      </c>
    </row>
    <row r="52" spans="2:40" x14ac:dyDescent="0.25">
      <c r="C52">
        <f>SUM(C50:C51)</f>
        <v>522</v>
      </c>
      <c r="D52">
        <f>SUM(D50:D51)</f>
        <v>338</v>
      </c>
      <c r="F52" s="4"/>
      <c r="G52" s="4" t="e">
        <f ca="1">SUM(G50:G51)</f>
        <v>#NAME?</v>
      </c>
      <c r="H52" s="4" t="e">
        <f ca="1">SUM(H50:H51)</f>
        <v>#NAME?</v>
      </c>
      <c r="I52" s="361" t="e">
        <f ca="1">SUM(I50:I51)</f>
        <v>#NAME?</v>
      </c>
      <c r="J52" s="361"/>
      <c r="K52" s="361"/>
      <c r="L52" s="4" t="e">
        <f ca="1">SUM(L50:L51)</f>
        <v>#NAME?</v>
      </c>
      <c r="M52" s="4" t="e">
        <f ca="1">SUM(M50:M51)</f>
        <v>#NAME?</v>
      </c>
      <c r="N52" s="361" t="e">
        <f ca="1">SUM(N50:N51)</f>
        <v>#NAME?</v>
      </c>
      <c r="O52" s="361" t="e">
        <f ca="1">SUMPRODUCT(O50:O51,I50:I51)/I52</f>
        <v>#NAME?</v>
      </c>
      <c r="P52" s="361" t="e">
        <f ca="1">SUM(P50:P51)</f>
        <v>#NAME?</v>
      </c>
      <c r="R52" s="349" t="e">
        <f ca="1"/>
        <v>#NAME?</v>
      </c>
      <c r="T52" t="s">
        <v>664</v>
      </c>
      <c r="U52" s="362" t="e">
        <f ca="1">2*(U50-U49)</f>
        <v>#NAME?</v>
      </c>
      <c r="AC52" t="e">
        <f ca="1">G52</f>
        <v>#NAME?</v>
      </c>
      <c r="AD52" t="e">
        <f ca="1">H52</f>
        <v>#NAME?</v>
      </c>
      <c r="AE52" t="e">
        <f ca="1">AC52+AD52</f>
        <v>#NAME?</v>
      </c>
      <c r="AG52" s="354" t="e">
        <f ca="1"/>
        <v>#NAME?</v>
      </c>
      <c r="AH52" s="354" t="e">
        <f ca="1"/>
        <v>#NAME?</v>
      </c>
      <c r="AI52" s="354" t="e">
        <f ca="1"/>
        <v>#NAME?</v>
      </c>
      <c r="AJ52" s="354" t="e">
        <f ca="1">AJ51+AH52</f>
        <v>#NAME?</v>
      </c>
      <c r="AK52" s="354" t="e">
        <f ca="1">AK51+AI52</f>
        <v>#NAME?</v>
      </c>
      <c r="AL52" s="354" t="e">
        <f t="shared" ca="1" si="30"/>
        <v>#NAME?</v>
      </c>
      <c r="AM52" s="354" t="e">
        <f t="shared" ca="1" si="30"/>
        <v>#NAME?</v>
      </c>
      <c r="AN52" s="354" t="e">
        <f ca="1">(AL52-AL53)*AM52</f>
        <v>#NAME?</v>
      </c>
    </row>
    <row r="53" spans="2:40" ht="15.75" thickBot="1" x14ac:dyDescent="0.3">
      <c r="T53" t="s">
        <v>41</v>
      </c>
      <c r="U53" s="322">
        <f ca="1">COUNT(F50)</f>
        <v>0</v>
      </c>
      <c r="AN53" t="e">
        <f ca="1">SUM(AN50:AN52)</f>
        <v>#NAME?</v>
      </c>
    </row>
    <row r="54" spans="2:40" ht="15.75" thickTop="1" x14ac:dyDescent="0.25">
      <c r="F54" s="346"/>
      <c r="G54" s="346" t="s">
        <v>755</v>
      </c>
      <c r="H54" s="346" t="s">
        <v>148</v>
      </c>
      <c r="I54" s="346" t="s">
        <v>756</v>
      </c>
      <c r="J54" s="346" t="s">
        <v>48</v>
      </c>
      <c r="K54" s="346" t="s">
        <v>757</v>
      </c>
      <c r="L54" s="346" t="s">
        <v>15</v>
      </c>
      <c r="M54" s="346" t="s">
        <v>16</v>
      </c>
      <c r="T54" t="s">
        <v>48</v>
      </c>
      <c r="U54" s="322" t="e">
        <f ca="1">CHIDIST(U52,U53)</f>
        <v>#NAME?</v>
      </c>
      <c r="AB54" t="s">
        <v>853</v>
      </c>
      <c r="AC54" s="363" t="e">
        <f ca="1">AC50/AC52</f>
        <v>#NAME?</v>
      </c>
      <c r="AD54" s="364" t="e">
        <f ca="1">AD51/AD52</f>
        <v>#NAME?</v>
      </c>
      <c r="AE54" t="e">
        <f ca="1">(AC50+AD51)/AE52</f>
        <v>#NAME?</v>
      </c>
    </row>
    <row r="55" spans="2:40" x14ac:dyDescent="0.25">
      <c r="F55" t="s">
        <v>127</v>
      </c>
      <c r="G55" t="e">
        <f t="array" ref="G55:G56" ca="1">R51:R52</f>
        <v>#NAME?</v>
      </c>
      <c r="H55" t="e">
        <f t="array" aca="1" ref="H55:H56" ca="1">SQRT(DIAG(W50:X51))</f>
        <v>#NAME?</v>
      </c>
      <c r="I55" t="e">
        <f ca="1">(G55/H55)^2</f>
        <v>#NAME?</v>
      </c>
      <c r="J55" t="e">
        <f ca="1">CHIDIST(I55,1)</f>
        <v>#NAME?</v>
      </c>
      <c r="K55" t="e">
        <f ca="1">EXP(G55)</f>
        <v>#NAME?</v>
      </c>
      <c r="T55" t="s">
        <v>70</v>
      </c>
      <c r="U55" s="322">
        <v>0.05</v>
      </c>
    </row>
    <row r="56" spans="2:40" x14ac:dyDescent="0.25">
      <c r="F56" s="354" t="e">
        <f t="array" aca="1" ref="F56" ca="1">TRANSPOSE(F49)</f>
        <v>#NAME?</v>
      </c>
      <c r="G56" s="354" t="e">
        <f ca="1"/>
        <v>#NAME?</v>
      </c>
      <c r="H56" s="354" t="e">
        <f ca="1"/>
        <v>#NAME?</v>
      </c>
      <c r="I56" s="354" t="e">
        <f ca="1">(G56/H56)^2</f>
        <v>#NAME?</v>
      </c>
      <c r="J56" s="354" t="e">
        <f ca="1">CHIDIST(I56,1)</f>
        <v>#NAME?</v>
      </c>
      <c r="K56" s="354" t="e">
        <f ca="1">EXP(G56)</f>
        <v>#NAME?</v>
      </c>
      <c r="L56" s="354" t="e">
        <f ca="1">EXP(G56-H56*NORMSINV(1-$U$55/2))</f>
        <v>#NAME?</v>
      </c>
      <c r="M56" s="354" t="e">
        <f ca="1">EXP(G56+H56*NORMSINV(1-$U$55/2))</f>
        <v>#NAME?</v>
      </c>
      <c r="T56" t="s">
        <v>164</v>
      </c>
      <c r="U56" s="350" t="e">
        <f ca="1">IF(U54&lt;U55,"yes","no")</f>
        <v>#NAME?</v>
      </c>
      <c r="W56" t="s">
        <v>839</v>
      </c>
      <c r="AB56" t="s">
        <v>830</v>
      </c>
      <c r="AC56" s="365">
        <v>0.5</v>
      </c>
    </row>
    <row r="58" spans="2:40" x14ac:dyDescent="0.25">
      <c r="T58" t="s">
        <v>661</v>
      </c>
      <c r="U58" s="362" t="e">
        <f ca="1">1-U50/U49</f>
        <v>#NAME?</v>
      </c>
      <c r="W58" t="s">
        <v>625</v>
      </c>
      <c r="X58" s="362" t="e">
        <f ca="1">U50</f>
        <v>#NAME?</v>
      </c>
    </row>
    <row r="59" spans="2:40" x14ac:dyDescent="0.25">
      <c r="T59" t="s">
        <v>662</v>
      </c>
      <c r="U59" s="322" t="e">
        <f ca="1">1-EXP((-2/I52)*(U50-U49))</f>
        <v>#NAME?</v>
      </c>
      <c r="W59" t="s">
        <v>653</v>
      </c>
      <c r="X59" s="349" t="e">
        <f ca="1">V6</f>
        <v>#NAME?</v>
      </c>
    </row>
    <row r="60" spans="2:40" x14ac:dyDescent="0.25">
      <c r="T60" t="s">
        <v>663</v>
      </c>
      <c r="U60" s="349" t="e">
        <f ca="1">U59/(1-EXP(2*U49/I52))</f>
        <v>#NAME?</v>
      </c>
    </row>
    <row r="61" spans="2:40" x14ac:dyDescent="0.25">
      <c r="W61" t="s">
        <v>664</v>
      </c>
      <c r="X61" s="362" t="e">
        <f ca="1">2*(X59-X58)</f>
        <v>#NAME?</v>
      </c>
    </row>
    <row r="62" spans="2:40" x14ac:dyDescent="0.25">
      <c r="W62" t="s">
        <v>41</v>
      </c>
      <c r="X62" s="322">
        <f ca="1">V9-U53</f>
        <v>2</v>
      </c>
    </row>
    <row r="63" spans="2:40" x14ac:dyDescent="0.25">
      <c r="W63" t="s">
        <v>48</v>
      </c>
      <c r="X63" s="322" t="e">
        <f ca="1">CHIDIST(X61,X62)</f>
        <v>#NAME?</v>
      </c>
    </row>
    <row r="64" spans="2:40" x14ac:dyDescent="0.25">
      <c r="W64" t="s">
        <v>70</v>
      </c>
      <c r="X64" s="322">
        <v>0.05</v>
      </c>
    </row>
    <row r="65" spans="2:46" x14ac:dyDescent="0.25">
      <c r="W65" t="s">
        <v>164</v>
      </c>
      <c r="X65" s="350" t="e">
        <f ca="1">IF(X63&lt;X64,"yes","no")</f>
        <v>#NAME?</v>
      </c>
    </row>
    <row r="68" spans="2:46" x14ac:dyDescent="0.25">
      <c r="B68" s="1" t="s">
        <v>149</v>
      </c>
      <c r="H68" t="s">
        <v>618</v>
      </c>
      <c r="AH68" t="s">
        <v>827</v>
      </c>
      <c r="AM68" t="s">
        <v>831</v>
      </c>
    </row>
    <row r="69" spans="2:46" ht="15.75" thickBot="1" x14ac:dyDescent="0.3"/>
    <row r="70" spans="2:46" ht="15.75" thickTop="1" x14ac:dyDescent="0.25">
      <c r="B70" s="294" t="s">
        <v>656</v>
      </c>
      <c r="C70" s="294" t="s">
        <v>657</v>
      </c>
      <c r="D70" s="12" t="s">
        <v>776</v>
      </c>
      <c r="E70" s="294" t="s">
        <v>94</v>
      </c>
      <c r="F70" s="294" t="s">
        <v>72</v>
      </c>
      <c r="H70" s="360" t="str">
        <f>B70</f>
        <v>Temp</v>
      </c>
      <c r="I70" s="360" t="str">
        <f>C70</f>
        <v>Water</v>
      </c>
      <c r="J70" s="360" t="str">
        <f>D70</f>
        <v>T x W</v>
      </c>
      <c r="K70" s="360" t="str">
        <f>E70</f>
        <v>Male</v>
      </c>
      <c r="L70" s="360" t="str">
        <f>F70</f>
        <v>Female</v>
      </c>
      <c r="M70" s="360" t="s">
        <v>1</v>
      </c>
      <c r="N70" s="360" t="s">
        <v>658</v>
      </c>
      <c r="O70" s="360" t="s">
        <v>659</v>
      </c>
      <c r="P70" s="360" t="s">
        <v>825</v>
      </c>
      <c r="Q70" s="360" t="s">
        <v>826</v>
      </c>
      <c r="R70" s="360" t="s">
        <v>626</v>
      </c>
      <c r="S70" s="360" t="s">
        <v>753</v>
      </c>
      <c r="T70" s="360" t="s">
        <v>809</v>
      </c>
      <c r="V70" t="s">
        <v>660</v>
      </c>
      <c r="X70" t="s">
        <v>625</v>
      </c>
      <c r="Y70" s="362">
        <f>K83*LN(K83/M83)+L83*LN(L83/M83)</f>
        <v>-576.26986120489823</v>
      </c>
      <c r="AA70" t="s">
        <v>754</v>
      </c>
      <c r="AF70" t="s">
        <v>837</v>
      </c>
      <c r="AI70" s="356" t="s">
        <v>828</v>
      </c>
      <c r="AJ70" s="356" t="s">
        <v>829</v>
      </c>
      <c r="AM70" s="346" t="s">
        <v>659</v>
      </c>
      <c r="AN70" s="346" t="s">
        <v>816</v>
      </c>
      <c r="AO70" s="346" t="s">
        <v>815</v>
      </c>
      <c r="AP70" s="346" t="s">
        <v>832</v>
      </c>
      <c r="AQ70" s="346" t="s">
        <v>833</v>
      </c>
      <c r="AR70" s="346" t="s">
        <v>834</v>
      </c>
      <c r="AS70" s="346" t="s">
        <v>835</v>
      </c>
      <c r="AT70" s="346" t="s">
        <v>836</v>
      </c>
    </row>
    <row r="71" spans="2:46" x14ac:dyDescent="0.25">
      <c r="B71" s="366">
        <f t="shared" ref="B71:C82" si="31">A4</f>
        <v>20</v>
      </c>
      <c r="C71" s="371">
        <f t="shared" si="31"/>
        <v>0</v>
      </c>
      <c r="D71" s="4">
        <f>B71*C71</f>
        <v>0</v>
      </c>
      <c r="E71" s="373">
        <f t="shared" ref="E71:E82" si="32">C4</f>
        <v>21</v>
      </c>
      <c r="F71" s="368">
        <f t="shared" ref="F71:F82" si="33">D4</f>
        <v>0</v>
      </c>
      <c r="H71">
        <f t="shared" ref="H71:H82" si="34">B71</f>
        <v>20</v>
      </c>
      <c r="I71">
        <f t="shared" ref="I71:I82" si="35">C71</f>
        <v>0</v>
      </c>
      <c r="J71">
        <f t="shared" ref="J71:J82" si="36">D71</f>
        <v>0</v>
      </c>
      <c r="K71" s="183">
        <f t="shared" ref="K71:K82" si="37">E71</f>
        <v>21</v>
      </c>
      <c r="L71" s="7">
        <f t="shared" ref="L71:L82" si="38">F71</f>
        <v>0</v>
      </c>
      <c r="M71" s="43">
        <f>K71+L71</f>
        <v>21</v>
      </c>
      <c r="N71">
        <f>K71/M71</f>
        <v>1</v>
      </c>
      <c r="O71" t="e">
        <f ca="1">1/(1+EXP(-$V$72-MMULT(H71:J71,$V$73:$V$75)))</f>
        <v>#NAME?</v>
      </c>
      <c r="P71" s="357" t="e">
        <f ca="1">M71*O71</f>
        <v>#NAME?</v>
      </c>
      <c r="Q71" s="359" t="e">
        <f ca="1">M71-P71</f>
        <v>#NAME?</v>
      </c>
      <c r="R71" t="e">
        <f ca="1">M71*(N71*LN(O71)+(1-N71)*LN(1-O71))</f>
        <v>#NAME?</v>
      </c>
      <c r="S71" t="e">
        <f ca="1">100*IF(O71&gt;=$AI$77,K71/M71,L71/M71)</f>
        <v>#NAME?</v>
      </c>
      <c r="T71" t="e">
        <f ca="1">(K71-P71)^2/P71+(L71-Q71)^2/Q71</f>
        <v>#NAME?</v>
      </c>
      <c r="X71" t="s">
        <v>653</v>
      </c>
      <c r="Y71" s="349" t="e">
        <f ca="1">R83</f>
        <v>#NAME?</v>
      </c>
      <c r="AA71" s="357" t="e">
        <f t="array" aca="1" ref="AA71:AD74" ca="1">MINVERSE(MMULT(TRANSPOSE(DESIGN(H71:J82)),O71:O82*(1-O71:O82)*M71:M82*DESIGN(H71:J82)))</f>
        <v>#NAME?</v>
      </c>
      <c r="AB71" s="358" t="e">
        <f ca="1"/>
        <v>#NAME?</v>
      </c>
      <c r="AC71" s="358" t="e">
        <f ca="1"/>
        <v>#NAME?</v>
      </c>
      <c r="AD71" s="359" t="e">
        <f ca="1"/>
        <v>#NAME?</v>
      </c>
      <c r="AF71" s="362" t="e">
        <f t="array" aca="1" ref="AF71:AF74" ca="1">MMULT(AA71:AD74,MMULT(TRANSPOSE(DESIGN(H71:J82)),M71:M82*(N71:N82-O71:O82)))</f>
        <v>#NAME?</v>
      </c>
      <c r="AH71" t="s">
        <v>825</v>
      </c>
      <c r="AI71" s="357">
        <f ca="1">SUMIF(O71:O82,"&gt;="&amp;AI77,K71:K82)</f>
        <v>0</v>
      </c>
      <c r="AJ71" s="359">
        <f ca="1">SUMIF(O71:O82,"&gt;="&amp;AI77,L71:L82)</f>
        <v>0</v>
      </c>
      <c r="AK71">
        <f ca="1">AI71+AJ71</f>
        <v>0</v>
      </c>
      <c r="AP71">
        <v>0</v>
      </c>
      <c r="AQ71">
        <v>0</v>
      </c>
      <c r="AR71" t="e">
        <f ca="1">1-AP71/AP$83</f>
        <v>#NAME?</v>
      </c>
      <c r="AS71" t="e">
        <f ca="1">1-AQ71/AQ$83</f>
        <v>#NAME?</v>
      </c>
      <c r="AT71" t="e">
        <f ca="1">(AR71-AR72)*AS71</f>
        <v>#NAME?</v>
      </c>
    </row>
    <row r="72" spans="2:46" x14ac:dyDescent="0.25">
      <c r="B72" s="317">
        <f t="shared" si="31"/>
        <v>21</v>
      </c>
      <c r="C72" s="332">
        <f t="shared" si="31"/>
        <v>0</v>
      </c>
      <c r="D72" s="7">
        <f t="shared" ref="D72:D82" si="39">B72*C72</f>
        <v>0</v>
      </c>
      <c r="E72" s="255">
        <f t="shared" si="32"/>
        <v>90</v>
      </c>
      <c r="F72" s="177">
        <f t="shared" si="33"/>
        <v>6</v>
      </c>
      <c r="H72">
        <f t="shared" si="34"/>
        <v>21</v>
      </c>
      <c r="I72">
        <f t="shared" si="35"/>
        <v>0</v>
      </c>
      <c r="J72">
        <f t="shared" si="36"/>
        <v>0</v>
      </c>
      <c r="K72" s="183">
        <f t="shared" si="37"/>
        <v>90</v>
      </c>
      <c r="L72" s="7">
        <f t="shared" si="38"/>
        <v>6</v>
      </c>
      <c r="M72" s="43">
        <f t="shared" ref="M72:M82" si="40">K72+L72</f>
        <v>96</v>
      </c>
      <c r="N72">
        <f t="shared" ref="N72:N82" si="41">K72/M72</f>
        <v>0.9375</v>
      </c>
      <c r="O72" t="e">
        <f t="shared" ref="O72:O82" ca="1" si="42">1/(1+EXP(-$V$72-MMULT(H72:J72,$V$73:$V$75)))</f>
        <v>#NAME?</v>
      </c>
      <c r="P72" s="183" t="e">
        <f t="shared" ref="P72:P82" ca="1" si="43">M72*O72</f>
        <v>#NAME?</v>
      </c>
      <c r="Q72" s="43" t="e">
        <f t="shared" ref="Q72:Q82" ca="1" si="44">M72-P72</f>
        <v>#NAME?</v>
      </c>
      <c r="R72" t="e">
        <f t="shared" ref="R72:R82" ca="1" si="45">M72*(N72*LN(O72)+(1-N72)*LN(1-O72))</f>
        <v>#NAME?</v>
      </c>
      <c r="S72" t="e">
        <f t="shared" ref="S72:S82" ca="1" si="46">100*IF(O72&gt;=$AI$77,K72/M72,L72/M72)</f>
        <v>#NAME?</v>
      </c>
      <c r="T72" t="e">
        <f t="shared" ref="T72:T82" ca="1" si="47">(K72-P72)^2/P72+(L72-Q72)^2/Q72</f>
        <v>#NAME?</v>
      </c>
      <c r="V72" s="362" t="e">
        <f t="array" aca="1" ref="V72:V75" ca="1">LogitCoeff(H71:L82,,,,,20)</f>
        <v>#NAME?</v>
      </c>
      <c r="AA72" s="183" t="e">
        <f ca="1"/>
        <v>#NAME?</v>
      </c>
      <c r="AB72" s="7" t="e">
        <f ca="1"/>
        <v>#NAME?</v>
      </c>
      <c r="AC72" s="7" t="e">
        <f ca="1"/>
        <v>#NAME?</v>
      </c>
      <c r="AD72" s="43" t="e">
        <f ca="1"/>
        <v>#NAME?</v>
      </c>
      <c r="AF72" s="322" t="e">
        <f ca="1"/>
        <v>#NAME?</v>
      </c>
      <c r="AH72" t="s">
        <v>826</v>
      </c>
      <c r="AI72" s="351">
        <f ca="1">AI73-AI71</f>
        <v>522</v>
      </c>
      <c r="AJ72" s="353">
        <f ca="1">AJ73-AJ71</f>
        <v>338</v>
      </c>
      <c r="AK72">
        <f ca="1">AI72+AJ72</f>
        <v>860</v>
      </c>
      <c r="AM72" t="e">
        <f t="array" aca="1" ref="AM72:AO83" ca="1">SelectCols(K71:O82,"5,2,1",1)</f>
        <v>#NAME?</v>
      </c>
      <c r="AN72" t="e">
        <f ca="1"/>
        <v>#NAME?</v>
      </c>
      <c r="AO72" t="e">
        <f ca="1"/>
        <v>#NAME?</v>
      </c>
      <c r="AP72" t="e">
        <f ca="1">AP71+AN72</f>
        <v>#NAME?</v>
      </c>
      <c r="AQ72" t="e">
        <f ca="1">AQ71+AO72</f>
        <v>#NAME?</v>
      </c>
      <c r="AR72" t="e">
        <f t="shared" ref="AR72:AR83" ca="1" si="48">1-AP72/AP$83</f>
        <v>#NAME?</v>
      </c>
      <c r="AS72" t="e">
        <f t="shared" ref="AS72:AS83" ca="1" si="49">1-AQ72/AQ$83</f>
        <v>#NAME?</v>
      </c>
      <c r="AT72" t="e">
        <f t="shared" ref="AT72:AT83" ca="1" si="50">(AR72-AR73)*AS72</f>
        <v>#NAME?</v>
      </c>
    </row>
    <row r="73" spans="2:46" x14ac:dyDescent="0.25">
      <c r="B73" s="317">
        <f t="shared" si="31"/>
        <v>22</v>
      </c>
      <c r="C73" s="332">
        <f t="shared" si="31"/>
        <v>0</v>
      </c>
      <c r="D73" s="7">
        <f t="shared" si="39"/>
        <v>0</v>
      </c>
      <c r="E73" s="255">
        <f t="shared" si="32"/>
        <v>91</v>
      </c>
      <c r="F73" s="177">
        <f t="shared" si="33"/>
        <v>23</v>
      </c>
      <c r="H73">
        <f t="shared" si="34"/>
        <v>22</v>
      </c>
      <c r="I73">
        <f t="shared" si="35"/>
        <v>0</v>
      </c>
      <c r="J73">
        <f t="shared" si="36"/>
        <v>0</v>
      </c>
      <c r="K73" s="183">
        <f t="shared" si="37"/>
        <v>91</v>
      </c>
      <c r="L73" s="7">
        <f t="shared" si="38"/>
        <v>23</v>
      </c>
      <c r="M73" s="43">
        <f t="shared" si="40"/>
        <v>114</v>
      </c>
      <c r="N73">
        <f t="shared" si="41"/>
        <v>0.79824561403508776</v>
      </c>
      <c r="O73" t="e">
        <f t="shared" ca="1" si="42"/>
        <v>#NAME?</v>
      </c>
      <c r="P73" s="183" t="e">
        <f t="shared" ca="1" si="43"/>
        <v>#NAME?</v>
      </c>
      <c r="Q73" s="43" t="e">
        <f t="shared" ca="1" si="44"/>
        <v>#NAME?</v>
      </c>
      <c r="R73" t="e">
        <f t="shared" ca="1" si="45"/>
        <v>#NAME?</v>
      </c>
      <c r="S73" t="e">
        <f t="shared" ca="1" si="46"/>
        <v>#NAME?</v>
      </c>
      <c r="T73" t="e">
        <f t="shared" ca="1" si="47"/>
        <v>#NAME?</v>
      </c>
      <c r="V73" s="322" t="e">
        <f ca="1"/>
        <v>#NAME?</v>
      </c>
      <c r="X73" t="s">
        <v>664</v>
      </c>
      <c r="Y73" s="362" t="e">
        <f ca="1">2*(Y71-Y70)</f>
        <v>#NAME?</v>
      </c>
      <c r="AA73" s="183" t="e">
        <f ca="1"/>
        <v>#NAME?</v>
      </c>
      <c r="AB73" s="7" t="e">
        <f ca="1"/>
        <v>#NAME?</v>
      </c>
      <c r="AC73" s="7" t="e">
        <f ca="1"/>
        <v>#NAME?</v>
      </c>
      <c r="AD73" s="43" t="e">
        <f ca="1"/>
        <v>#NAME?</v>
      </c>
      <c r="AF73" s="322" t="e">
        <f ca="1"/>
        <v>#NAME?</v>
      </c>
      <c r="AI73">
        <f>K83</f>
        <v>522</v>
      </c>
      <c r="AJ73">
        <f>L83</f>
        <v>338</v>
      </c>
      <c r="AK73">
        <f>AI73+AJ73</f>
        <v>860</v>
      </c>
      <c r="AM73" t="e">
        <f ca="1"/>
        <v>#NAME?</v>
      </c>
      <c r="AN73" t="e">
        <f ca="1"/>
        <v>#NAME?</v>
      </c>
      <c r="AO73" t="e">
        <f ca="1"/>
        <v>#NAME?</v>
      </c>
      <c r="AP73" t="e">
        <f t="shared" ref="AP73:AP83" ca="1" si="51">AP72+AN73</f>
        <v>#NAME?</v>
      </c>
      <c r="AQ73" t="e">
        <f t="shared" ref="AQ73:AQ83" ca="1" si="52">AQ72+AO73</f>
        <v>#NAME?</v>
      </c>
      <c r="AR73" t="e">
        <f t="shared" ca="1" si="48"/>
        <v>#NAME?</v>
      </c>
      <c r="AS73" t="e">
        <f t="shared" ca="1" si="49"/>
        <v>#NAME?</v>
      </c>
      <c r="AT73" t="e">
        <f t="shared" ca="1" si="50"/>
        <v>#NAME?</v>
      </c>
    </row>
    <row r="74" spans="2:46" x14ac:dyDescent="0.25">
      <c r="B74" s="317">
        <f t="shared" si="31"/>
        <v>23</v>
      </c>
      <c r="C74" s="332">
        <f t="shared" si="31"/>
        <v>0</v>
      </c>
      <c r="D74" s="7">
        <f t="shared" si="39"/>
        <v>0</v>
      </c>
      <c r="E74" s="255">
        <f t="shared" si="32"/>
        <v>61</v>
      </c>
      <c r="F74" s="177">
        <f t="shared" si="33"/>
        <v>73</v>
      </c>
      <c r="H74">
        <f t="shared" si="34"/>
        <v>23</v>
      </c>
      <c r="I74">
        <f t="shared" si="35"/>
        <v>0</v>
      </c>
      <c r="J74">
        <f t="shared" si="36"/>
        <v>0</v>
      </c>
      <c r="K74" s="183">
        <f t="shared" si="37"/>
        <v>61</v>
      </c>
      <c r="L74" s="7">
        <f t="shared" si="38"/>
        <v>73</v>
      </c>
      <c r="M74" s="43">
        <f t="shared" si="40"/>
        <v>134</v>
      </c>
      <c r="N74">
        <f t="shared" si="41"/>
        <v>0.45522388059701491</v>
      </c>
      <c r="O74" t="e">
        <f t="shared" ca="1" si="42"/>
        <v>#NAME?</v>
      </c>
      <c r="P74" s="183" t="e">
        <f t="shared" ca="1" si="43"/>
        <v>#NAME?</v>
      </c>
      <c r="Q74" s="43" t="e">
        <f t="shared" ca="1" si="44"/>
        <v>#NAME?</v>
      </c>
      <c r="R74" t="e">
        <f t="shared" ca="1" si="45"/>
        <v>#NAME?</v>
      </c>
      <c r="S74" t="e">
        <f t="shared" ca="1" si="46"/>
        <v>#NAME?</v>
      </c>
      <c r="T74" t="e">
        <f t="shared" ca="1" si="47"/>
        <v>#NAME?</v>
      </c>
      <c r="V74" s="322" t="e">
        <f ca="1"/>
        <v>#NAME?</v>
      </c>
      <c r="X74" t="s">
        <v>41</v>
      </c>
      <c r="Y74" s="322">
        <f>COUNT(H71:J71)</f>
        <v>3</v>
      </c>
      <c r="AA74" s="351" t="e">
        <f ca="1"/>
        <v>#NAME?</v>
      </c>
      <c r="AB74" s="352" t="e">
        <f ca="1"/>
        <v>#NAME?</v>
      </c>
      <c r="AC74" s="352" t="e">
        <f ca="1"/>
        <v>#NAME?</v>
      </c>
      <c r="AD74" s="353" t="e">
        <f ca="1"/>
        <v>#NAME?</v>
      </c>
      <c r="AF74" s="349" t="e">
        <f ca="1"/>
        <v>#NAME?</v>
      </c>
      <c r="AM74" t="e">
        <f ca="1"/>
        <v>#NAME?</v>
      </c>
      <c r="AN74" t="e">
        <f ca="1"/>
        <v>#NAME?</v>
      </c>
      <c r="AO74" t="e">
        <f ca="1"/>
        <v>#NAME?</v>
      </c>
      <c r="AP74" t="e">
        <f t="shared" ca="1" si="51"/>
        <v>#NAME?</v>
      </c>
      <c r="AQ74" t="e">
        <f t="shared" ca="1" si="52"/>
        <v>#NAME?</v>
      </c>
      <c r="AR74" t="e">
        <f t="shared" ca="1" si="48"/>
        <v>#NAME?</v>
      </c>
      <c r="AS74" t="e">
        <f t="shared" ca="1" si="49"/>
        <v>#NAME?</v>
      </c>
      <c r="AT74" t="e">
        <f t="shared" ca="1" si="50"/>
        <v>#NAME?</v>
      </c>
    </row>
    <row r="75" spans="2:46" x14ac:dyDescent="0.25">
      <c r="B75" s="317">
        <f t="shared" si="31"/>
        <v>24</v>
      </c>
      <c r="C75" s="332">
        <f t="shared" si="31"/>
        <v>0</v>
      </c>
      <c r="D75" s="7">
        <f t="shared" si="39"/>
        <v>0</v>
      </c>
      <c r="E75" s="255">
        <f t="shared" si="32"/>
        <v>11</v>
      </c>
      <c r="F75" s="177">
        <f t="shared" si="33"/>
        <v>41</v>
      </c>
      <c r="H75">
        <f t="shared" si="34"/>
        <v>24</v>
      </c>
      <c r="I75">
        <f t="shared" si="35"/>
        <v>0</v>
      </c>
      <c r="J75">
        <f t="shared" si="36"/>
        <v>0</v>
      </c>
      <c r="K75" s="183">
        <f t="shared" si="37"/>
        <v>11</v>
      </c>
      <c r="L75" s="7">
        <f t="shared" si="38"/>
        <v>41</v>
      </c>
      <c r="M75" s="43">
        <f t="shared" si="40"/>
        <v>52</v>
      </c>
      <c r="N75">
        <f t="shared" si="41"/>
        <v>0.21153846153846154</v>
      </c>
      <c r="O75" t="e">
        <f t="shared" ca="1" si="42"/>
        <v>#NAME?</v>
      </c>
      <c r="P75" s="183" t="e">
        <f t="shared" ca="1" si="43"/>
        <v>#NAME?</v>
      </c>
      <c r="Q75" s="43" t="e">
        <f t="shared" ca="1" si="44"/>
        <v>#NAME?</v>
      </c>
      <c r="R75" t="e">
        <f t="shared" ca="1" si="45"/>
        <v>#NAME?</v>
      </c>
      <c r="S75" t="e">
        <f t="shared" ca="1" si="46"/>
        <v>#NAME?</v>
      </c>
      <c r="T75" t="e">
        <f t="shared" ca="1" si="47"/>
        <v>#NAME?</v>
      </c>
      <c r="V75" s="349" t="e">
        <f ca="1"/>
        <v>#NAME?</v>
      </c>
      <c r="X75" t="s">
        <v>48</v>
      </c>
      <c r="Y75" s="322" t="e">
        <f ca="1">CHIDIST(Y73,Y74)</f>
        <v>#NAME?</v>
      </c>
      <c r="AH75" t="s">
        <v>853</v>
      </c>
      <c r="AI75" s="363">
        <f ca="1">AI71/AI73</f>
        <v>0</v>
      </c>
      <c r="AJ75" s="364">
        <f ca="1">AJ72/AJ73</f>
        <v>1</v>
      </c>
      <c r="AK75">
        <f ca="1">(AI71+AJ72)/AK73</f>
        <v>0.39302325581395348</v>
      </c>
      <c r="AM75" t="e">
        <f ca="1"/>
        <v>#NAME?</v>
      </c>
      <c r="AN75" t="e">
        <f ca="1"/>
        <v>#NAME?</v>
      </c>
      <c r="AO75" t="e">
        <f ca="1"/>
        <v>#NAME?</v>
      </c>
      <c r="AP75" t="e">
        <f t="shared" ca="1" si="51"/>
        <v>#NAME?</v>
      </c>
      <c r="AQ75" t="e">
        <f t="shared" ca="1" si="52"/>
        <v>#NAME?</v>
      </c>
      <c r="AR75" t="e">
        <f t="shared" ca="1" si="48"/>
        <v>#NAME?</v>
      </c>
      <c r="AS75" t="e">
        <f t="shared" ca="1" si="49"/>
        <v>#NAME?</v>
      </c>
      <c r="AT75" t="e">
        <f t="shared" ca="1" si="50"/>
        <v>#NAME?</v>
      </c>
    </row>
    <row r="76" spans="2:46" x14ac:dyDescent="0.25">
      <c r="B76" s="317">
        <f t="shared" si="31"/>
        <v>25</v>
      </c>
      <c r="C76" s="332">
        <f t="shared" si="31"/>
        <v>0</v>
      </c>
      <c r="D76" s="7">
        <f t="shared" si="39"/>
        <v>0</v>
      </c>
      <c r="E76" s="255">
        <f t="shared" si="32"/>
        <v>4</v>
      </c>
      <c r="F76" s="177">
        <f t="shared" si="33"/>
        <v>28</v>
      </c>
      <c r="H76">
        <f t="shared" si="34"/>
        <v>25</v>
      </c>
      <c r="I76">
        <f t="shared" si="35"/>
        <v>0</v>
      </c>
      <c r="J76">
        <f t="shared" si="36"/>
        <v>0</v>
      </c>
      <c r="K76" s="183">
        <f t="shared" si="37"/>
        <v>4</v>
      </c>
      <c r="L76" s="7">
        <f t="shared" si="38"/>
        <v>28</v>
      </c>
      <c r="M76" s="43">
        <f t="shared" si="40"/>
        <v>32</v>
      </c>
      <c r="N76">
        <f t="shared" si="41"/>
        <v>0.125</v>
      </c>
      <c r="O76" t="e">
        <f t="shared" ca="1" si="42"/>
        <v>#NAME?</v>
      </c>
      <c r="P76" s="183" t="e">
        <f t="shared" ca="1" si="43"/>
        <v>#NAME?</v>
      </c>
      <c r="Q76" s="43" t="e">
        <f t="shared" ca="1" si="44"/>
        <v>#NAME?</v>
      </c>
      <c r="R76" t="e">
        <f t="shared" ca="1" si="45"/>
        <v>#NAME?</v>
      </c>
      <c r="S76" t="e">
        <f t="shared" ca="1" si="46"/>
        <v>#NAME?</v>
      </c>
      <c r="T76" t="e">
        <f t="shared" ca="1" si="47"/>
        <v>#NAME?</v>
      </c>
      <c r="X76" t="s">
        <v>70</v>
      </c>
      <c r="Y76" s="322">
        <v>0.05</v>
      </c>
      <c r="AM76" t="e">
        <f ca="1"/>
        <v>#NAME?</v>
      </c>
      <c r="AN76" t="e">
        <f ca="1"/>
        <v>#NAME?</v>
      </c>
      <c r="AO76" t="e">
        <f ca="1"/>
        <v>#NAME?</v>
      </c>
      <c r="AP76" t="e">
        <f t="shared" ca="1" si="51"/>
        <v>#NAME?</v>
      </c>
      <c r="AQ76" t="e">
        <f t="shared" ca="1" si="52"/>
        <v>#NAME?</v>
      </c>
      <c r="AR76" t="e">
        <f t="shared" ca="1" si="48"/>
        <v>#NAME?</v>
      </c>
      <c r="AS76" t="e">
        <f t="shared" ca="1" si="49"/>
        <v>#NAME?</v>
      </c>
      <c r="AT76" t="e">
        <f t="shared" ca="1" si="50"/>
        <v>#NAME?</v>
      </c>
    </row>
    <row r="77" spans="2:46" x14ac:dyDescent="0.25">
      <c r="B77" s="317">
        <f t="shared" si="31"/>
        <v>20</v>
      </c>
      <c r="C77" s="332">
        <f t="shared" si="31"/>
        <v>1</v>
      </c>
      <c r="D77" s="7">
        <f t="shared" si="39"/>
        <v>20</v>
      </c>
      <c r="E77" s="255">
        <f t="shared" si="32"/>
        <v>18</v>
      </c>
      <c r="F77" s="177">
        <f t="shared" si="33"/>
        <v>4</v>
      </c>
      <c r="H77">
        <f t="shared" si="34"/>
        <v>20</v>
      </c>
      <c r="I77">
        <f t="shared" si="35"/>
        <v>1</v>
      </c>
      <c r="J77">
        <f t="shared" si="36"/>
        <v>20</v>
      </c>
      <c r="K77" s="183">
        <f t="shared" si="37"/>
        <v>18</v>
      </c>
      <c r="L77" s="7">
        <f t="shared" si="38"/>
        <v>4</v>
      </c>
      <c r="M77" s="43">
        <f t="shared" si="40"/>
        <v>22</v>
      </c>
      <c r="N77">
        <f t="shared" si="41"/>
        <v>0.81818181818181823</v>
      </c>
      <c r="O77" t="e">
        <f t="shared" ca="1" si="42"/>
        <v>#NAME?</v>
      </c>
      <c r="P77" s="183" t="e">
        <f t="shared" ca="1" si="43"/>
        <v>#NAME?</v>
      </c>
      <c r="Q77" s="43" t="e">
        <f t="shared" ca="1" si="44"/>
        <v>#NAME?</v>
      </c>
      <c r="R77" t="e">
        <f t="shared" ca="1" si="45"/>
        <v>#NAME?</v>
      </c>
      <c r="S77" t="e">
        <f t="shared" ca="1" si="46"/>
        <v>#NAME?</v>
      </c>
      <c r="T77" t="e">
        <f t="shared" ca="1" si="47"/>
        <v>#NAME?</v>
      </c>
      <c r="X77" t="s">
        <v>164</v>
      </c>
      <c r="Y77" s="350" t="e">
        <f ca="1">IF(Y75&lt;Y76,"yes","no")</f>
        <v>#NAME?</v>
      </c>
      <c r="AA77" t="s">
        <v>839</v>
      </c>
      <c r="AD77" t="s">
        <v>840</v>
      </c>
      <c r="AH77" t="s">
        <v>830</v>
      </c>
      <c r="AI77" s="365">
        <v>0.5</v>
      </c>
      <c r="AM77" t="e">
        <f ca="1"/>
        <v>#NAME?</v>
      </c>
      <c r="AN77" t="e">
        <f ca="1"/>
        <v>#NAME?</v>
      </c>
      <c r="AO77" t="e">
        <f ca="1"/>
        <v>#NAME?</v>
      </c>
      <c r="AP77" t="e">
        <f t="shared" ca="1" si="51"/>
        <v>#NAME?</v>
      </c>
      <c r="AQ77" t="e">
        <f t="shared" ca="1" si="52"/>
        <v>#NAME?</v>
      </c>
      <c r="AR77" t="e">
        <f t="shared" ca="1" si="48"/>
        <v>#NAME?</v>
      </c>
      <c r="AS77" t="e">
        <f t="shared" ca="1" si="49"/>
        <v>#NAME?</v>
      </c>
      <c r="AT77" t="e">
        <f t="shared" ca="1" si="50"/>
        <v>#NAME?</v>
      </c>
    </row>
    <row r="78" spans="2:46" x14ac:dyDescent="0.25">
      <c r="B78" s="317">
        <f t="shared" si="31"/>
        <v>21</v>
      </c>
      <c r="C78" s="332">
        <f t="shared" si="31"/>
        <v>1</v>
      </c>
      <c r="D78" s="7">
        <f t="shared" si="39"/>
        <v>21</v>
      </c>
      <c r="E78" s="255">
        <f t="shared" si="32"/>
        <v>75</v>
      </c>
      <c r="F78" s="177">
        <f t="shared" si="33"/>
        <v>9</v>
      </c>
      <c r="H78">
        <f t="shared" si="34"/>
        <v>21</v>
      </c>
      <c r="I78">
        <f t="shared" si="35"/>
        <v>1</v>
      </c>
      <c r="J78">
        <f t="shared" si="36"/>
        <v>21</v>
      </c>
      <c r="K78" s="183">
        <f t="shared" si="37"/>
        <v>75</v>
      </c>
      <c r="L78" s="7">
        <f t="shared" si="38"/>
        <v>9</v>
      </c>
      <c r="M78" s="43">
        <f t="shared" si="40"/>
        <v>84</v>
      </c>
      <c r="N78">
        <f t="shared" si="41"/>
        <v>0.8928571428571429</v>
      </c>
      <c r="O78" t="e">
        <f t="shared" ca="1" si="42"/>
        <v>#NAME?</v>
      </c>
      <c r="P78" s="183" t="e">
        <f t="shared" ca="1" si="43"/>
        <v>#NAME?</v>
      </c>
      <c r="Q78" s="43" t="e">
        <f t="shared" ca="1" si="44"/>
        <v>#NAME?</v>
      </c>
      <c r="R78" t="e">
        <f t="shared" ca="1" si="45"/>
        <v>#NAME?</v>
      </c>
      <c r="S78" t="e">
        <f t="shared" ca="1" si="46"/>
        <v>#NAME?</v>
      </c>
      <c r="T78" t="e">
        <f t="shared" ca="1" si="47"/>
        <v>#NAME?</v>
      </c>
      <c r="AM78" t="e">
        <f ca="1"/>
        <v>#NAME?</v>
      </c>
      <c r="AN78" t="e">
        <f ca="1"/>
        <v>#NAME?</v>
      </c>
      <c r="AO78" t="e">
        <f ca="1"/>
        <v>#NAME?</v>
      </c>
      <c r="AP78" t="e">
        <f t="shared" ca="1" si="51"/>
        <v>#NAME?</v>
      </c>
      <c r="AQ78" t="e">
        <f t="shared" ca="1" si="52"/>
        <v>#NAME?</v>
      </c>
      <c r="AR78" t="e">
        <f t="shared" ca="1" si="48"/>
        <v>#NAME?</v>
      </c>
      <c r="AS78" t="e">
        <f t="shared" ca="1" si="49"/>
        <v>#NAME?</v>
      </c>
      <c r="AT78" t="e">
        <f t="shared" ca="1" si="50"/>
        <v>#NAME?</v>
      </c>
    </row>
    <row r="79" spans="2:46" x14ac:dyDescent="0.25">
      <c r="B79" s="317">
        <f t="shared" si="31"/>
        <v>22</v>
      </c>
      <c r="C79" s="332">
        <f t="shared" si="31"/>
        <v>1</v>
      </c>
      <c r="D79" s="7">
        <f t="shared" si="39"/>
        <v>22</v>
      </c>
      <c r="E79" s="255">
        <f t="shared" si="32"/>
        <v>68</v>
      </c>
      <c r="F79" s="177">
        <f t="shared" si="33"/>
        <v>21</v>
      </c>
      <c r="H79">
        <f t="shared" si="34"/>
        <v>22</v>
      </c>
      <c r="I79">
        <f t="shared" si="35"/>
        <v>1</v>
      </c>
      <c r="J79">
        <f t="shared" si="36"/>
        <v>22</v>
      </c>
      <c r="K79" s="183">
        <f t="shared" si="37"/>
        <v>68</v>
      </c>
      <c r="L79" s="7">
        <f t="shared" si="38"/>
        <v>21</v>
      </c>
      <c r="M79" s="43">
        <f t="shared" si="40"/>
        <v>89</v>
      </c>
      <c r="N79">
        <f t="shared" si="41"/>
        <v>0.7640449438202247</v>
      </c>
      <c r="O79" t="e">
        <f t="shared" ca="1" si="42"/>
        <v>#NAME?</v>
      </c>
      <c r="P79" s="183" t="e">
        <f t="shared" ca="1" si="43"/>
        <v>#NAME?</v>
      </c>
      <c r="Q79" s="43" t="e">
        <f t="shared" ca="1" si="44"/>
        <v>#NAME?</v>
      </c>
      <c r="R79" t="e">
        <f t="shared" ca="1" si="45"/>
        <v>#NAME?</v>
      </c>
      <c r="S79" t="e">
        <f t="shared" ca="1" si="46"/>
        <v>#NAME?</v>
      </c>
      <c r="T79" t="e">
        <f t="shared" ca="1" si="47"/>
        <v>#NAME?</v>
      </c>
      <c r="X79" t="s">
        <v>661</v>
      </c>
      <c r="Y79" s="362" t="e">
        <f ca="1">1-Y71/Y70</f>
        <v>#NAME?</v>
      </c>
      <c r="AA79" t="s">
        <v>625</v>
      </c>
      <c r="AB79" s="362" t="e">
        <f ca="1">V6</f>
        <v>#NAME?</v>
      </c>
      <c r="AD79" t="s">
        <v>625</v>
      </c>
      <c r="AE79" s="362" t="e">
        <f ca="1">U29</f>
        <v>#NAME?</v>
      </c>
      <c r="AM79" t="e">
        <f ca="1"/>
        <v>#NAME?</v>
      </c>
      <c r="AN79" t="e">
        <f ca="1"/>
        <v>#NAME?</v>
      </c>
      <c r="AO79" t="e">
        <f ca="1"/>
        <v>#NAME?</v>
      </c>
      <c r="AP79" t="e">
        <f t="shared" ca="1" si="51"/>
        <v>#NAME?</v>
      </c>
      <c r="AQ79" t="e">
        <f t="shared" ca="1" si="52"/>
        <v>#NAME?</v>
      </c>
      <c r="AR79" t="e">
        <f t="shared" ca="1" si="48"/>
        <v>#NAME?</v>
      </c>
      <c r="AS79" t="e">
        <f t="shared" ca="1" si="49"/>
        <v>#NAME?</v>
      </c>
      <c r="AT79" t="e">
        <f t="shared" ca="1" si="50"/>
        <v>#NAME?</v>
      </c>
    </row>
    <row r="80" spans="2:46" x14ac:dyDescent="0.25">
      <c r="B80" s="317">
        <f t="shared" si="31"/>
        <v>23</v>
      </c>
      <c r="C80" s="332">
        <f t="shared" si="31"/>
        <v>1</v>
      </c>
      <c r="D80" s="7">
        <f t="shared" si="39"/>
        <v>23</v>
      </c>
      <c r="E80" s="255">
        <f t="shared" si="32"/>
        <v>59</v>
      </c>
      <c r="F80" s="177">
        <f t="shared" si="33"/>
        <v>65</v>
      </c>
      <c r="H80">
        <f t="shared" si="34"/>
        <v>23</v>
      </c>
      <c r="I80">
        <f t="shared" si="35"/>
        <v>1</v>
      </c>
      <c r="J80">
        <f t="shared" si="36"/>
        <v>23</v>
      </c>
      <c r="K80" s="183">
        <f t="shared" si="37"/>
        <v>59</v>
      </c>
      <c r="L80" s="7">
        <f t="shared" si="38"/>
        <v>65</v>
      </c>
      <c r="M80" s="43">
        <f t="shared" si="40"/>
        <v>124</v>
      </c>
      <c r="N80">
        <f t="shared" si="41"/>
        <v>0.47580645161290325</v>
      </c>
      <c r="O80" t="e">
        <f t="shared" ca="1" si="42"/>
        <v>#NAME?</v>
      </c>
      <c r="P80" s="183" t="e">
        <f t="shared" ca="1" si="43"/>
        <v>#NAME?</v>
      </c>
      <c r="Q80" s="43" t="e">
        <f t="shared" ca="1" si="44"/>
        <v>#NAME?</v>
      </c>
      <c r="R80" t="e">
        <f t="shared" ca="1" si="45"/>
        <v>#NAME?</v>
      </c>
      <c r="S80" t="e">
        <f t="shared" ca="1" si="46"/>
        <v>#NAME?</v>
      </c>
      <c r="T80" t="e">
        <f t="shared" ca="1" si="47"/>
        <v>#NAME?</v>
      </c>
      <c r="X80" t="s">
        <v>662</v>
      </c>
      <c r="Y80" s="322" t="e">
        <f ca="1">1-EXP((-2/M83)*(Y71-Y70))</f>
        <v>#NAME?</v>
      </c>
      <c r="AA80" t="s">
        <v>653</v>
      </c>
      <c r="AB80" s="349" t="e">
        <f ca="1">Y71</f>
        <v>#NAME?</v>
      </c>
      <c r="AD80" t="s">
        <v>653</v>
      </c>
      <c r="AE80" s="349" t="e">
        <f ca="1">Y71</f>
        <v>#NAME?</v>
      </c>
      <c r="AM80" t="e">
        <f ca="1"/>
        <v>#NAME?</v>
      </c>
      <c r="AN80" t="e">
        <f ca="1"/>
        <v>#NAME?</v>
      </c>
      <c r="AO80" t="e">
        <f ca="1"/>
        <v>#NAME?</v>
      </c>
      <c r="AP80" t="e">
        <f t="shared" ca="1" si="51"/>
        <v>#NAME?</v>
      </c>
      <c r="AQ80" t="e">
        <f t="shared" ca="1" si="52"/>
        <v>#NAME?</v>
      </c>
      <c r="AR80" t="e">
        <f t="shared" ca="1" si="48"/>
        <v>#NAME?</v>
      </c>
      <c r="AS80" t="e">
        <f t="shared" ca="1" si="49"/>
        <v>#NAME?</v>
      </c>
      <c r="AT80" t="e">
        <f t="shared" ca="1" si="50"/>
        <v>#NAME?</v>
      </c>
    </row>
    <row r="81" spans="2:46" x14ac:dyDescent="0.25">
      <c r="B81" s="317">
        <f t="shared" si="31"/>
        <v>24</v>
      </c>
      <c r="C81" s="332">
        <f t="shared" si="31"/>
        <v>1</v>
      </c>
      <c r="D81" s="7">
        <f t="shared" si="39"/>
        <v>24</v>
      </c>
      <c r="E81" s="255">
        <f t="shared" si="32"/>
        <v>17</v>
      </c>
      <c r="F81" s="177">
        <f t="shared" si="33"/>
        <v>46</v>
      </c>
      <c r="H81">
        <f t="shared" si="34"/>
        <v>24</v>
      </c>
      <c r="I81">
        <f t="shared" si="35"/>
        <v>1</v>
      </c>
      <c r="J81">
        <f t="shared" si="36"/>
        <v>24</v>
      </c>
      <c r="K81" s="183">
        <f t="shared" si="37"/>
        <v>17</v>
      </c>
      <c r="L81" s="7">
        <f t="shared" si="38"/>
        <v>46</v>
      </c>
      <c r="M81" s="43">
        <f t="shared" si="40"/>
        <v>63</v>
      </c>
      <c r="N81">
        <f t="shared" si="41"/>
        <v>0.26984126984126983</v>
      </c>
      <c r="O81" t="e">
        <f t="shared" ca="1" si="42"/>
        <v>#NAME?</v>
      </c>
      <c r="P81" s="183" t="e">
        <f t="shared" ca="1" si="43"/>
        <v>#NAME?</v>
      </c>
      <c r="Q81" s="43" t="e">
        <f t="shared" ca="1" si="44"/>
        <v>#NAME?</v>
      </c>
      <c r="R81" t="e">
        <f t="shared" ca="1" si="45"/>
        <v>#NAME?</v>
      </c>
      <c r="S81" t="e">
        <f t="shared" ca="1" si="46"/>
        <v>#NAME?</v>
      </c>
      <c r="T81" t="e">
        <f t="shared" ca="1" si="47"/>
        <v>#NAME?</v>
      </c>
      <c r="X81" t="s">
        <v>663</v>
      </c>
      <c r="Y81" s="349" t="e">
        <f ca="1">Y80/(1-EXP(2*Y70/M83))</f>
        <v>#NAME?</v>
      </c>
      <c r="AM81" t="e">
        <f ca="1"/>
        <v>#NAME?</v>
      </c>
      <c r="AN81" t="e">
        <f ca="1"/>
        <v>#NAME?</v>
      </c>
      <c r="AO81" t="e">
        <f ca="1"/>
        <v>#NAME?</v>
      </c>
      <c r="AP81" t="e">
        <f t="shared" ca="1" si="51"/>
        <v>#NAME?</v>
      </c>
      <c r="AQ81" t="e">
        <f t="shared" ca="1" si="52"/>
        <v>#NAME?</v>
      </c>
      <c r="AR81" t="e">
        <f t="shared" ca="1" si="48"/>
        <v>#NAME?</v>
      </c>
      <c r="AS81" t="e">
        <f t="shared" ca="1" si="49"/>
        <v>#NAME?</v>
      </c>
      <c r="AT81" t="e">
        <f t="shared" ca="1" si="50"/>
        <v>#NAME?</v>
      </c>
    </row>
    <row r="82" spans="2:46" x14ac:dyDescent="0.25">
      <c r="B82" s="320">
        <f t="shared" si="31"/>
        <v>25</v>
      </c>
      <c r="C82" s="372">
        <f t="shared" si="31"/>
        <v>1</v>
      </c>
      <c r="D82" s="354">
        <f t="shared" si="39"/>
        <v>25</v>
      </c>
      <c r="E82" s="178">
        <f t="shared" si="32"/>
        <v>7</v>
      </c>
      <c r="F82" s="179">
        <f t="shared" si="33"/>
        <v>22</v>
      </c>
      <c r="H82">
        <f t="shared" si="34"/>
        <v>25</v>
      </c>
      <c r="I82">
        <f t="shared" si="35"/>
        <v>1</v>
      </c>
      <c r="J82">
        <f t="shared" si="36"/>
        <v>25</v>
      </c>
      <c r="K82" s="351">
        <f t="shared" si="37"/>
        <v>7</v>
      </c>
      <c r="L82" s="352">
        <f t="shared" si="38"/>
        <v>22</v>
      </c>
      <c r="M82" s="43">
        <f t="shared" si="40"/>
        <v>29</v>
      </c>
      <c r="N82">
        <f t="shared" si="41"/>
        <v>0.2413793103448276</v>
      </c>
      <c r="O82" t="e">
        <f t="shared" ca="1" si="42"/>
        <v>#NAME?</v>
      </c>
      <c r="P82" s="183" t="e">
        <f t="shared" ca="1" si="43"/>
        <v>#NAME?</v>
      </c>
      <c r="Q82" s="43" t="e">
        <f t="shared" ca="1" si="44"/>
        <v>#NAME?</v>
      </c>
      <c r="R82" t="e">
        <f t="shared" ca="1" si="45"/>
        <v>#NAME?</v>
      </c>
      <c r="S82" t="e">
        <f t="shared" ca="1" si="46"/>
        <v>#NAME?</v>
      </c>
      <c r="T82" t="e">
        <f t="shared" ca="1" si="47"/>
        <v>#NAME?</v>
      </c>
      <c r="AA82" t="s">
        <v>664</v>
      </c>
      <c r="AB82" s="362" t="e">
        <f ca="1">2*(AB80-AB79)</f>
        <v>#NAME?</v>
      </c>
      <c r="AD82" t="s">
        <v>664</v>
      </c>
      <c r="AE82" s="362" t="e">
        <f ca="1">2*(AE80-AE79)</f>
        <v>#NAME?</v>
      </c>
      <c r="AM82" t="e">
        <f ca="1"/>
        <v>#NAME?</v>
      </c>
      <c r="AN82" t="e">
        <f ca="1"/>
        <v>#NAME?</v>
      </c>
      <c r="AO82" t="e">
        <f ca="1"/>
        <v>#NAME?</v>
      </c>
      <c r="AP82" t="e">
        <f t="shared" ca="1" si="51"/>
        <v>#NAME?</v>
      </c>
      <c r="AQ82" t="e">
        <f t="shared" ca="1" si="52"/>
        <v>#NAME?</v>
      </c>
      <c r="AR82" t="e">
        <f t="shared" ca="1" si="48"/>
        <v>#NAME?</v>
      </c>
      <c r="AS82" t="e">
        <f t="shared" ca="1" si="49"/>
        <v>#NAME?</v>
      </c>
      <c r="AT82" t="e">
        <f t="shared" ca="1" si="50"/>
        <v>#NAME?</v>
      </c>
    </row>
    <row r="83" spans="2:46" x14ac:dyDescent="0.25">
      <c r="E83" s="45">
        <f>SUM(E71:E82)</f>
        <v>522</v>
      </c>
      <c r="F83" s="45">
        <f>SUM(F71:F82)</f>
        <v>338</v>
      </c>
      <c r="H83" s="4"/>
      <c r="I83" s="4"/>
      <c r="J83" s="4"/>
      <c r="K83" s="4">
        <f>SUM(K71:K82)</f>
        <v>522</v>
      </c>
      <c r="L83" s="4">
        <f>SUM(L71:L82)</f>
        <v>338</v>
      </c>
      <c r="M83" s="361">
        <f>SUM(M71:M82)</f>
        <v>860</v>
      </c>
      <c r="N83" s="361"/>
      <c r="O83" s="361"/>
      <c r="P83" s="4" t="e">
        <f ca="1">SUM(P71:P82)</f>
        <v>#NAME?</v>
      </c>
      <c r="Q83" s="4" t="e">
        <f ca="1">SUM(Q71:Q82)</f>
        <v>#NAME?</v>
      </c>
      <c r="R83" s="361" t="e">
        <f ca="1">SUM(R71:R82)</f>
        <v>#NAME?</v>
      </c>
      <c r="S83" s="361" t="e">
        <f ca="1">SUMPRODUCT(S71:S82,M71:M82)/M83</f>
        <v>#NAME?</v>
      </c>
      <c r="T83" s="361" t="e">
        <f ca="1">SUM(T71:T82)</f>
        <v>#NAME?</v>
      </c>
      <c r="X83" t="s">
        <v>814</v>
      </c>
      <c r="Y83" s="362" t="e">
        <f ca="1">T83</f>
        <v>#NAME?</v>
      </c>
      <c r="AA83" t="s">
        <v>41</v>
      </c>
      <c r="AB83" s="322">
        <f>Y74-V9</f>
        <v>1</v>
      </c>
      <c r="AD83" t="s">
        <v>41</v>
      </c>
      <c r="AE83" s="322">
        <f ca="1">Y74-X41</f>
        <v>1</v>
      </c>
      <c r="AM83" s="354" t="e">
        <f ca="1"/>
        <v>#NAME?</v>
      </c>
      <c r="AN83" s="354" t="e">
        <f ca="1"/>
        <v>#NAME?</v>
      </c>
      <c r="AO83" s="354" t="e">
        <f ca="1"/>
        <v>#NAME?</v>
      </c>
      <c r="AP83" s="354" t="e">
        <f t="shared" ca="1" si="51"/>
        <v>#NAME?</v>
      </c>
      <c r="AQ83" s="354" t="e">
        <f t="shared" ca="1" si="52"/>
        <v>#NAME?</v>
      </c>
      <c r="AR83" s="354" t="e">
        <f t="shared" ca="1" si="48"/>
        <v>#NAME?</v>
      </c>
      <c r="AS83" s="354" t="e">
        <f t="shared" ca="1" si="49"/>
        <v>#NAME?</v>
      </c>
      <c r="AT83" s="354" t="e">
        <f t="shared" ca="1" si="50"/>
        <v>#NAME?</v>
      </c>
    </row>
    <row r="84" spans="2:46" ht="15.75" thickBot="1" x14ac:dyDescent="0.3">
      <c r="X84" t="s">
        <v>41</v>
      </c>
      <c r="Y84" s="322">
        <f>COUNT(M71:M82)-2</f>
        <v>10</v>
      </c>
      <c r="AA84" t="s">
        <v>48</v>
      </c>
      <c r="AB84" s="322" t="e">
        <f ca="1">CHIDIST(AB82,AB83)</f>
        <v>#NAME?</v>
      </c>
      <c r="AD84" t="s">
        <v>48</v>
      </c>
      <c r="AE84" s="322" t="e">
        <f ca="1">CHIDIST(AE82,AE83)</f>
        <v>#NAME?</v>
      </c>
      <c r="AT84" t="e">
        <f ca="1">SUM(AT71:AT83)</f>
        <v>#NAME?</v>
      </c>
    </row>
    <row r="85" spans="2:46" ht="15.75" thickTop="1" x14ac:dyDescent="0.25">
      <c r="H85" s="346"/>
      <c r="I85" s="346" t="s">
        <v>755</v>
      </c>
      <c r="J85" s="346" t="s">
        <v>148</v>
      </c>
      <c r="K85" s="346" t="s">
        <v>756</v>
      </c>
      <c r="L85" s="346" t="s">
        <v>48</v>
      </c>
      <c r="M85" s="346" t="s">
        <v>757</v>
      </c>
      <c r="N85" s="346" t="s">
        <v>15</v>
      </c>
      <c r="O85" s="346" t="s">
        <v>16</v>
      </c>
      <c r="X85" t="s">
        <v>48</v>
      </c>
      <c r="Y85" s="322" t="e">
        <f ca="1">CHIDIST(Y83,Y84)</f>
        <v>#NAME?</v>
      </c>
      <c r="AA85" t="s">
        <v>70</v>
      </c>
      <c r="AB85" s="322">
        <v>0.05</v>
      </c>
      <c r="AD85" t="s">
        <v>70</v>
      </c>
      <c r="AE85" s="322">
        <v>0.05</v>
      </c>
    </row>
    <row r="86" spans="2:46" x14ac:dyDescent="0.25">
      <c r="H86" t="s">
        <v>127</v>
      </c>
      <c r="I86" t="e">
        <f t="array" ref="I86:I89" ca="1">V72:V75</f>
        <v>#NAME?</v>
      </c>
      <c r="J86" t="e">
        <f t="array" aca="1" ref="J86:J89" ca="1">SQRT(DIAG(AA71:AD74))</f>
        <v>#NAME?</v>
      </c>
      <c r="K86" t="e">
        <f ca="1">(I86/J86)^2</f>
        <v>#NAME?</v>
      </c>
      <c r="L86" t="e">
        <f ca="1">CHIDIST(K86,1)</f>
        <v>#NAME?</v>
      </c>
      <c r="M86" t="e">
        <f ca="1">EXP(I86)</f>
        <v>#NAME?</v>
      </c>
      <c r="X86" t="s">
        <v>70</v>
      </c>
      <c r="Y86" s="322">
        <f>Y76</f>
        <v>0.05</v>
      </c>
      <c r="AA86" t="s">
        <v>164</v>
      </c>
      <c r="AB86" s="350" t="e">
        <f ca="1">IF(AB84&lt;AB85,"yes","no")</f>
        <v>#NAME?</v>
      </c>
      <c r="AD86" t="s">
        <v>164</v>
      </c>
      <c r="AE86" s="350" t="e">
        <f ca="1">IF(AE84&lt;AE85,"yes","no")</f>
        <v>#NAME?</v>
      </c>
    </row>
    <row r="87" spans="2:46" x14ac:dyDescent="0.25">
      <c r="H87" t="str">
        <f t="array" ref="H87:H89">TRANSPOSE(H70:J70)</f>
        <v>Temp</v>
      </c>
      <c r="I87" t="e">
        <f ca="1"/>
        <v>#NAME?</v>
      </c>
      <c r="J87" t="e">
        <f ca="1"/>
        <v>#NAME?</v>
      </c>
      <c r="K87" t="e">
        <f ca="1">(I87/J87)^2</f>
        <v>#NAME?</v>
      </c>
      <c r="L87" t="e">
        <f ca="1">CHIDIST(K87,1)</f>
        <v>#NAME?</v>
      </c>
      <c r="M87" t="e">
        <f ca="1">EXP(I87)</f>
        <v>#NAME?</v>
      </c>
      <c r="N87" t="e">
        <f ca="1">EXP(I87-J87*NORMSINV(1-$Y$76/2))</f>
        <v>#NAME?</v>
      </c>
      <c r="O87" t="e">
        <f ca="1">EXP(I87+J87*NORMSINV(1-$Y$76/2))</f>
        <v>#NAME?</v>
      </c>
      <c r="X87" t="s">
        <v>164</v>
      </c>
      <c r="Y87" s="350" t="e">
        <f ca="1">IF(Y85&lt;Y86,"yes","no")</f>
        <v>#NAME?</v>
      </c>
    </row>
    <row r="88" spans="2:46" x14ac:dyDescent="0.25">
      <c r="H88" t="str">
        <v>Water</v>
      </c>
      <c r="I88" t="e">
        <f ca="1"/>
        <v>#NAME?</v>
      </c>
      <c r="J88" t="e">
        <f ca="1"/>
        <v>#NAME?</v>
      </c>
      <c r="K88" t="e">
        <f ca="1">(I88/J88)^2</f>
        <v>#NAME?</v>
      </c>
      <c r="L88" t="e">
        <f ca="1">CHIDIST(K88,1)</f>
        <v>#NAME?</v>
      </c>
      <c r="M88" t="e">
        <f ca="1">EXP(I88)</f>
        <v>#NAME?</v>
      </c>
      <c r="N88" t="e">
        <f ca="1">EXP(I88-J88*NORMSINV(1-$Y$76/2))</f>
        <v>#NAME?</v>
      </c>
      <c r="O88" t="e">
        <f ca="1">EXP(I88+J88*NORMSINV(1-$Y$76/2))</f>
        <v>#NAME?</v>
      </c>
    </row>
    <row r="89" spans="2:46" x14ac:dyDescent="0.25">
      <c r="H89" s="354" t="str">
        <v>T x W</v>
      </c>
      <c r="I89" s="354" t="e">
        <f ca="1"/>
        <v>#NAME?</v>
      </c>
      <c r="J89" s="354" t="e">
        <f ca="1"/>
        <v>#NAME?</v>
      </c>
      <c r="K89" s="354" t="e">
        <f ca="1">(I89/J89)^2</f>
        <v>#NAME?</v>
      </c>
      <c r="L89" s="354" t="e">
        <f ca="1">CHIDIST(K89,1)</f>
        <v>#NAME?</v>
      </c>
      <c r="M89" s="354" t="e">
        <f ca="1">EXP(I89)</f>
        <v>#NAME?</v>
      </c>
      <c r="N89" s="354" t="e">
        <f ca="1">EXP(I89-J89*NORMSINV(1-$Y$76/2))</f>
        <v>#NAME?</v>
      </c>
      <c r="O89" s="354" t="e">
        <f ca="1">EXP(I89+J89*NORMSINV(1-$Y$76/2))</f>
        <v>#NAME?</v>
      </c>
    </row>
    <row r="92" spans="2:46" x14ac:dyDescent="0.25">
      <c r="B92" t="s">
        <v>1221</v>
      </c>
    </row>
    <row r="94" spans="2:46" x14ac:dyDescent="0.25">
      <c r="B94" t="s">
        <v>855</v>
      </c>
      <c r="H94" t="s">
        <v>858</v>
      </c>
      <c r="Q94" t="s">
        <v>202</v>
      </c>
      <c r="T94" t="s">
        <v>859</v>
      </c>
    </row>
    <row r="96" spans="2:46" x14ac:dyDescent="0.25">
      <c r="B96" s="294" t="s">
        <v>656</v>
      </c>
      <c r="C96" s="294" t="s">
        <v>657</v>
      </c>
      <c r="D96" s="12" t="s">
        <v>776</v>
      </c>
      <c r="E96" s="12" t="s">
        <v>659</v>
      </c>
      <c r="H96" t="e">
        <f t="array" aca="1" ref="H96:O100" ca="1">LogitCoeff(B71:F82,TRUE)</f>
        <v>#NAME?</v>
      </c>
      <c r="I96" t="e">
        <f ca="1"/>
        <v>#NAME?</v>
      </c>
      <c r="J96" t="e">
        <f ca="1"/>
        <v>#NAME?</v>
      </c>
      <c r="K96" t="e">
        <f ca="1"/>
        <v>#NAME?</v>
      </c>
      <c r="L96" t="e">
        <f ca="1"/>
        <v>#NAME?</v>
      </c>
      <c r="M96" t="e">
        <f ca="1"/>
        <v>#NAME?</v>
      </c>
      <c r="N96" t="e">
        <f ca="1"/>
        <v>#NAME?</v>
      </c>
      <c r="O96" t="e">
        <f ca="1"/>
        <v>#NAME?</v>
      </c>
      <c r="Q96" t="e">
        <f t="array" aca="1" ref="Q96:R102" ca="1">LogitRSquare(B71:F82,TRUE)</f>
        <v>#NAME?</v>
      </c>
      <c r="R96" s="391" t="e">
        <f ca="1"/>
        <v>#NAME?</v>
      </c>
      <c r="T96" t="e">
        <f t="array" aca="1" ref="T96:U100" ca="1">LogitTest(B71:F82,TRUE)</f>
        <v>#NAME?</v>
      </c>
      <c r="U96" s="391" t="e">
        <f ca="1"/>
        <v>#NAME?</v>
      </c>
    </row>
    <row r="97" spans="2:21" x14ac:dyDescent="0.25">
      <c r="B97" s="344">
        <v>24</v>
      </c>
      <c r="C97" s="345">
        <v>0</v>
      </c>
      <c r="D97" s="345">
        <f>B97*C97</f>
        <v>0</v>
      </c>
      <c r="E97" s="347" t="e">
        <f ca="1">LogitPred(B97:D97,$B$71:$F$82)</f>
        <v>#NAME?</v>
      </c>
      <c r="H97" t="e">
        <f ca="1"/>
        <v>#NAME?</v>
      </c>
      <c r="I97" s="344" t="e">
        <f ca="1"/>
        <v>#NAME?</v>
      </c>
      <c r="J97" s="345" t="e">
        <f ca="1"/>
        <v>#NAME?</v>
      </c>
      <c r="K97" s="345" t="e">
        <f ca="1"/>
        <v>#NAME?</v>
      </c>
      <c r="L97" s="345" t="e">
        <f ca="1"/>
        <v>#NAME?</v>
      </c>
      <c r="M97" s="345" t="e">
        <f ca="1"/>
        <v>#NAME?</v>
      </c>
      <c r="N97" s="345" t="e">
        <f ca="1"/>
        <v>#NAME?</v>
      </c>
      <c r="O97" s="347" t="e">
        <f ca="1"/>
        <v>#NAME?</v>
      </c>
      <c r="Q97" t="e">
        <f ca="1"/>
        <v>#NAME?</v>
      </c>
      <c r="R97" s="185" t="e">
        <f ca="1"/>
        <v>#NAME?</v>
      </c>
      <c r="T97" t="e">
        <f ca="1"/>
        <v>#NAME?</v>
      </c>
      <c r="U97" s="185" t="e">
        <f ca="1"/>
        <v>#NAME?</v>
      </c>
    </row>
    <row r="98" spans="2:21" x14ac:dyDescent="0.25">
      <c r="B98" s="214">
        <v>24</v>
      </c>
      <c r="C98" s="7">
        <v>1</v>
      </c>
      <c r="D98" s="7">
        <f>B98*C98</f>
        <v>24</v>
      </c>
      <c r="E98" s="215" t="e">
        <f ca="1">LogitPred(B98:D98,$B$71:$F$82)</f>
        <v>#NAME?</v>
      </c>
      <c r="H98" t="e">
        <f ca="1"/>
        <v>#NAME?</v>
      </c>
      <c r="I98" s="214" t="e">
        <f ca="1"/>
        <v>#NAME?</v>
      </c>
      <c r="J98" s="7" t="e">
        <f ca="1"/>
        <v>#NAME?</v>
      </c>
      <c r="K98" s="7" t="e">
        <f ca="1"/>
        <v>#NAME?</v>
      </c>
      <c r="L98" s="7" t="e">
        <f ca="1"/>
        <v>#NAME?</v>
      </c>
      <c r="M98" s="7" t="e">
        <f ca="1"/>
        <v>#NAME?</v>
      </c>
      <c r="N98" s="7" t="e">
        <f ca="1"/>
        <v>#NAME?</v>
      </c>
      <c r="O98" s="215" t="e">
        <f ca="1"/>
        <v>#NAME?</v>
      </c>
      <c r="Q98" t="e">
        <f ca="1"/>
        <v>#NAME?</v>
      </c>
      <c r="R98" s="185" t="e">
        <f ca="1"/>
        <v>#NAME?</v>
      </c>
      <c r="T98" t="e">
        <f ca="1"/>
        <v>#NAME?</v>
      </c>
      <c r="U98" s="185" t="e">
        <f ca="1"/>
        <v>#NAME?</v>
      </c>
    </row>
    <row r="99" spans="2:21" x14ac:dyDescent="0.25">
      <c r="B99" s="214">
        <v>24.5</v>
      </c>
      <c r="C99" s="7">
        <v>0</v>
      </c>
      <c r="D99" s="7">
        <f>B99*C99</f>
        <v>0</v>
      </c>
      <c r="E99" s="215" t="e">
        <f ca="1">LogitPred(B99:D99,$B$71:$F$82)</f>
        <v>#NAME?</v>
      </c>
      <c r="H99" t="e">
        <f ca="1"/>
        <v>#NAME?</v>
      </c>
      <c r="I99" s="214" t="e">
        <f ca="1"/>
        <v>#NAME?</v>
      </c>
      <c r="J99" s="7" t="e">
        <f ca="1"/>
        <v>#NAME?</v>
      </c>
      <c r="K99" s="7" t="e">
        <f ca="1"/>
        <v>#NAME?</v>
      </c>
      <c r="L99" s="7" t="e">
        <f ca="1"/>
        <v>#NAME?</v>
      </c>
      <c r="M99" s="7" t="e">
        <f ca="1"/>
        <v>#NAME?</v>
      </c>
      <c r="N99" s="7" t="e">
        <f ca="1"/>
        <v>#NAME?</v>
      </c>
      <c r="O99" s="215" t="e">
        <f ca="1"/>
        <v>#NAME?</v>
      </c>
      <c r="Q99" t="e">
        <f ca="1"/>
        <v>#NAME?</v>
      </c>
      <c r="R99" s="185" t="e">
        <f ca="1"/>
        <v>#NAME?</v>
      </c>
      <c r="T99" t="e">
        <f ca="1"/>
        <v>#NAME?</v>
      </c>
      <c r="U99" s="185" t="e">
        <f ca="1"/>
        <v>#NAME?</v>
      </c>
    </row>
    <row r="100" spans="2:21" x14ac:dyDescent="0.25">
      <c r="B100" s="112">
        <v>24.5</v>
      </c>
      <c r="C100" s="354">
        <v>1</v>
      </c>
      <c r="D100" s="354">
        <f>B100*C100</f>
        <v>24.5</v>
      </c>
      <c r="E100" s="120" t="e">
        <f ca="1">LogitPred(B100:D100,$B$71:$F$82)</f>
        <v>#NAME?</v>
      </c>
      <c r="H100" t="e">
        <f ca="1"/>
        <v>#NAME?</v>
      </c>
      <c r="I100" s="112" t="e">
        <f ca="1"/>
        <v>#NAME?</v>
      </c>
      <c r="J100" s="354" t="e">
        <f ca="1"/>
        <v>#NAME?</v>
      </c>
      <c r="K100" s="354" t="e">
        <f ca="1"/>
        <v>#NAME?</v>
      </c>
      <c r="L100" s="354" t="e">
        <f ca="1"/>
        <v>#NAME?</v>
      </c>
      <c r="M100" s="354" t="e">
        <f ca="1"/>
        <v>#NAME?</v>
      </c>
      <c r="N100" s="354" t="e">
        <f ca="1"/>
        <v>#NAME?</v>
      </c>
      <c r="O100" s="120" t="e">
        <f ca="1"/>
        <v>#NAME?</v>
      </c>
      <c r="Q100" t="e">
        <f ca="1"/>
        <v>#NAME?</v>
      </c>
      <c r="R100" s="185" t="e">
        <f ca="1"/>
        <v>#NAME?</v>
      </c>
      <c r="T100" t="e">
        <f ca="1"/>
        <v>#NAME?</v>
      </c>
      <c r="U100" s="123" t="e">
        <f ca="1"/>
        <v>#NAME?</v>
      </c>
    </row>
    <row r="101" spans="2:21" x14ac:dyDescent="0.25">
      <c r="Q101" t="e">
        <f ca="1"/>
        <v>#NAME?</v>
      </c>
      <c r="R101" s="185" t="e">
        <f ca="1"/>
        <v>#NAME?</v>
      </c>
    </row>
    <row r="102" spans="2:21" x14ac:dyDescent="0.25">
      <c r="Q102" t="e">
        <f ca="1"/>
        <v>#NAME?</v>
      </c>
      <c r="R102" s="123" t="e">
        <f ca="1"/>
        <v>#NAME?</v>
      </c>
    </row>
    <row r="103" spans="2:21" x14ac:dyDescent="0.25">
      <c r="B103" t="s">
        <v>944</v>
      </c>
    </row>
    <row r="105" spans="2:21" x14ac:dyDescent="0.25">
      <c r="B105" s="294" t="e">
        <f t="array" aca="1" ref="B105:F117" ca="1">LogitSelect(A3:D15,"1,2,1*2",TRUE)</f>
        <v>#NAME?</v>
      </c>
      <c r="C105" s="294" t="e">
        <f ca="1"/>
        <v>#NAME?</v>
      </c>
      <c r="D105" s="12" t="e">
        <f ca="1"/>
        <v>#NAME?</v>
      </c>
      <c r="E105" s="294" t="e">
        <f ca="1"/>
        <v>#NAME?</v>
      </c>
      <c r="F105" s="294" t="e">
        <f ca="1"/>
        <v>#NAME?</v>
      </c>
    </row>
    <row r="106" spans="2:21" x14ac:dyDescent="0.25">
      <c r="B106" s="366" t="e">
        <f ca="1"/>
        <v>#NAME?</v>
      </c>
      <c r="C106" s="371" t="e">
        <f ca="1"/>
        <v>#NAME?</v>
      </c>
      <c r="D106" s="4" t="e">
        <f ca="1"/>
        <v>#NAME?</v>
      </c>
      <c r="E106" s="373" t="e">
        <f ca="1"/>
        <v>#NAME?</v>
      </c>
      <c r="F106" s="368" t="e">
        <f ca="1"/>
        <v>#NAME?</v>
      </c>
    </row>
    <row r="107" spans="2:21" x14ac:dyDescent="0.25">
      <c r="B107" s="317" t="e">
        <f ca="1"/>
        <v>#NAME?</v>
      </c>
      <c r="C107" s="332" t="e">
        <f ca="1"/>
        <v>#NAME?</v>
      </c>
      <c r="D107" s="7" t="e">
        <f ca="1"/>
        <v>#NAME?</v>
      </c>
      <c r="E107" s="255" t="e">
        <f ca="1"/>
        <v>#NAME?</v>
      </c>
      <c r="F107" s="177" t="e">
        <f ca="1"/>
        <v>#NAME?</v>
      </c>
    </row>
    <row r="108" spans="2:21" x14ac:dyDescent="0.25">
      <c r="B108" s="317" t="e">
        <f ca="1"/>
        <v>#NAME?</v>
      </c>
      <c r="C108" s="332" t="e">
        <f ca="1"/>
        <v>#NAME?</v>
      </c>
      <c r="D108" s="7" t="e">
        <f ca="1"/>
        <v>#NAME?</v>
      </c>
      <c r="E108" s="255" t="e">
        <f ca="1"/>
        <v>#NAME?</v>
      </c>
      <c r="F108" s="177" t="e">
        <f ca="1"/>
        <v>#NAME?</v>
      </c>
    </row>
    <row r="109" spans="2:21" x14ac:dyDescent="0.25">
      <c r="B109" s="317" t="e">
        <f ca="1"/>
        <v>#NAME?</v>
      </c>
      <c r="C109" s="332" t="e">
        <f ca="1"/>
        <v>#NAME?</v>
      </c>
      <c r="D109" s="7" t="e">
        <f ca="1"/>
        <v>#NAME?</v>
      </c>
      <c r="E109" s="255" t="e">
        <f ca="1"/>
        <v>#NAME?</v>
      </c>
      <c r="F109" s="177" t="e">
        <f ca="1"/>
        <v>#NAME?</v>
      </c>
    </row>
    <row r="110" spans="2:21" x14ac:dyDescent="0.25">
      <c r="B110" s="317" t="e">
        <f ca="1"/>
        <v>#NAME?</v>
      </c>
      <c r="C110" s="332" t="e">
        <f ca="1"/>
        <v>#NAME?</v>
      </c>
      <c r="D110" s="7" t="e">
        <f ca="1"/>
        <v>#NAME?</v>
      </c>
      <c r="E110" s="255" t="e">
        <f ca="1"/>
        <v>#NAME?</v>
      </c>
      <c r="F110" s="177" t="e">
        <f ca="1"/>
        <v>#NAME?</v>
      </c>
    </row>
    <row r="111" spans="2:21" x14ac:dyDescent="0.25">
      <c r="B111" s="317" t="e">
        <f ca="1"/>
        <v>#NAME?</v>
      </c>
      <c r="C111" s="332" t="e">
        <f ca="1"/>
        <v>#NAME?</v>
      </c>
      <c r="D111" s="7" t="e">
        <f ca="1"/>
        <v>#NAME?</v>
      </c>
      <c r="E111" s="255" t="e">
        <f ca="1"/>
        <v>#NAME?</v>
      </c>
      <c r="F111" s="177" t="e">
        <f ca="1"/>
        <v>#NAME?</v>
      </c>
    </row>
    <row r="112" spans="2:21" x14ac:dyDescent="0.25">
      <c r="B112" s="317" t="e">
        <f ca="1"/>
        <v>#NAME?</v>
      </c>
      <c r="C112" s="332" t="e">
        <f ca="1"/>
        <v>#NAME?</v>
      </c>
      <c r="D112" s="7" t="e">
        <f ca="1"/>
        <v>#NAME?</v>
      </c>
      <c r="E112" s="255" t="e">
        <f ca="1"/>
        <v>#NAME?</v>
      </c>
      <c r="F112" s="177" t="e">
        <f ca="1"/>
        <v>#NAME?</v>
      </c>
    </row>
    <row r="113" spans="2:6" x14ac:dyDescent="0.25">
      <c r="B113" s="317" t="e">
        <f ca="1"/>
        <v>#NAME?</v>
      </c>
      <c r="C113" s="332" t="e">
        <f ca="1"/>
        <v>#NAME?</v>
      </c>
      <c r="D113" s="7" t="e">
        <f ca="1"/>
        <v>#NAME?</v>
      </c>
      <c r="E113" s="255" t="e">
        <f ca="1"/>
        <v>#NAME?</v>
      </c>
      <c r="F113" s="177" t="e">
        <f ca="1"/>
        <v>#NAME?</v>
      </c>
    </row>
    <row r="114" spans="2:6" x14ac:dyDescent="0.25">
      <c r="B114" s="317" t="e">
        <f ca="1"/>
        <v>#NAME?</v>
      </c>
      <c r="C114" s="332" t="e">
        <f ca="1"/>
        <v>#NAME?</v>
      </c>
      <c r="D114" s="7" t="e">
        <f ca="1"/>
        <v>#NAME?</v>
      </c>
      <c r="E114" s="255" t="e">
        <f ca="1"/>
        <v>#NAME?</v>
      </c>
      <c r="F114" s="177" t="e">
        <f ca="1"/>
        <v>#NAME?</v>
      </c>
    </row>
    <row r="115" spans="2:6" x14ac:dyDescent="0.25">
      <c r="B115" s="317" t="e">
        <f ca="1"/>
        <v>#NAME?</v>
      </c>
      <c r="C115" s="332" t="e">
        <f ca="1"/>
        <v>#NAME?</v>
      </c>
      <c r="D115" s="7" t="e">
        <f ca="1"/>
        <v>#NAME?</v>
      </c>
      <c r="E115" s="255" t="e">
        <f ca="1"/>
        <v>#NAME?</v>
      </c>
      <c r="F115" s="177" t="e">
        <f ca="1"/>
        <v>#NAME?</v>
      </c>
    </row>
    <row r="116" spans="2:6" x14ac:dyDescent="0.25">
      <c r="B116" s="317" t="e">
        <f ca="1"/>
        <v>#NAME?</v>
      </c>
      <c r="C116" s="332" t="e">
        <f ca="1"/>
        <v>#NAME?</v>
      </c>
      <c r="D116" s="7" t="e">
        <f ca="1"/>
        <v>#NAME?</v>
      </c>
      <c r="E116" s="255" t="e">
        <f ca="1"/>
        <v>#NAME?</v>
      </c>
      <c r="F116" s="177" t="e">
        <f ca="1"/>
        <v>#NAME?</v>
      </c>
    </row>
    <row r="117" spans="2:6" x14ac:dyDescent="0.25">
      <c r="B117" s="320" t="e">
        <f ca="1"/>
        <v>#NAME?</v>
      </c>
      <c r="C117" s="372" t="e">
        <f ca="1"/>
        <v>#NAME?</v>
      </c>
      <c r="D117" s="354" t="e">
        <f ca="1"/>
        <v>#NAME?</v>
      </c>
      <c r="E117" s="178" t="e">
        <f ca="1"/>
        <v>#NAME?</v>
      </c>
      <c r="F117" s="179" t="e">
        <f ca="1"/>
        <v>#NAME?</v>
      </c>
    </row>
    <row r="118" spans="2:6" x14ac:dyDescent="0.25">
      <c r="E118" s="45" t="e">
        <f ca="1">SUM(E106:E117)</f>
        <v>#NAME?</v>
      </c>
      <c r="F118" s="45" t="e">
        <f ca="1">SUM(F106:F117)</f>
        <v>#NAME?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Y26"/>
  <sheetViews>
    <sheetView workbookViewId="0"/>
  </sheetViews>
  <sheetFormatPr defaultRowHeight="15" x14ac:dyDescent="0.25"/>
  <cols>
    <col min="1" max="1" width="7" customWidth="1"/>
    <col min="2" max="4" width="7.7109375" customWidth="1"/>
    <col min="5" max="5" width="6" customWidth="1"/>
    <col min="7" max="13" width="9.140625" customWidth="1"/>
    <col min="14" max="14" width="3.85546875" customWidth="1"/>
    <col min="15" max="15" width="10.28515625" customWidth="1"/>
    <col min="19" max="21" width="9.28515625" bestFit="1" customWidth="1"/>
    <col min="22" max="25" width="9.28515625" customWidth="1"/>
  </cols>
  <sheetData>
    <row r="1" spans="1:25" x14ac:dyDescent="0.25">
      <c r="A1" s="1" t="s">
        <v>1222</v>
      </c>
      <c r="B1" s="1"/>
      <c r="C1" s="15"/>
      <c r="D1" s="15"/>
    </row>
    <row r="2" spans="1:25" x14ac:dyDescent="0.25">
      <c r="A2" s="15"/>
      <c r="B2" s="15"/>
      <c r="C2" s="15"/>
      <c r="D2" s="15"/>
    </row>
    <row r="3" spans="1:25" x14ac:dyDescent="0.25">
      <c r="A3" s="294" t="s">
        <v>656</v>
      </c>
      <c r="B3" s="294" t="s">
        <v>657</v>
      </c>
      <c r="C3" s="294" t="s">
        <v>94</v>
      </c>
      <c r="D3" s="294" t="s">
        <v>72</v>
      </c>
      <c r="F3" s="394" t="s">
        <v>928</v>
      </c>
      <c r="O3" s="14" t="s">
        <v>880</v>
      </c>
      <c r="R3" s="394" t="s">
        <v>878</v>
      </c>
    </row>
    <row r="4" spans="1:25" x14ac:dyDescent="0.25">
      <c r="A4" s="315">
        <v>20</v>
      </c>
      <c r="B4" s="316">
        <v>0</v>
      </c>
      <c r="C4" s="313">
        <v>21</v>
      </c>
      <c r="D4" s="314">
        <v>0</v>
      </c>
    </row>
    <row r="5" spans="1:25" x14ac:dyDescent="0.25">
      <c r="A5" s="317">
        <v>21</v>
      </c>
      <c r="B5" s="318">
        <v>0</v>
      </c>
      <c r="C5" s="255">
        <v>90</v>
      </c>
      <c r="D5" s="177">
        <v>6</v>
      </c>
      <c r="F5" s="7" t="e">
        <f t="array" aca="1" ref="F5:M8" ca="1">LogitCoeff(A3:D15,TRUE,,TRUE)</f>
        <v>#NAME?</v>
      </c>
      <c r="G5" s="7" t="e">
        <f ca="1"/>
        <v>#NAME?</v>
      </c>
      <c r="H5" s="7" t="e">
        <f ca="1"/>
        <v>#NAME?</v>
      </c>
      <c r="I5" s="7" t="e">
        <f ca="1"/>
        <v>#NAME?</v>
      </c>
      <c r="J5" s="7" t="e">
        <f ca="1"/>
        <v>#NAME?</v>
      </c>
      <c r="K5" s="7" t="e">
        <f ca="1"/>
        <v>#NAME?</v>
      </c>
      <c r="L5" s="7" t="e">
        <f ca="1"/>
        <v>#NAME?</v>
      </c>
      <c r="M5" s="7" t="e">
        <f ca="1"/>
        <v>#NAME?</v>
      </c>
      <c r="O5" t="e">
        <f t="array" aca="1" ref="O5:P9" ca="1">LogitTest(A4:D15,1)</f>
        <v>#NAME?</v>
      </c>
      <c r="P5" s="391" t="e">
        <f ca="1"/>
        <v>#NAME?</v>
      </c>
      <c r="R5" s="7" t="e">
        <f t="array" aca="1" ref="R5:Y8" ca="1">LogitCoeff(A4:D15,TRUE)</f>
        <v>#NAME?</v>
      </c>
      <c r="S5" s="7" t="e">
        <f ca="1"/>
        <v>#NAME?</v>
      </c>
      <c r="T5" s="7" t="e">
        <f ca="1"/>
        <v>#NAME?</v>
      </c>
      <c r="U5" s="7" t="e">
        <f ca="1"/>
        <v>#NAME?</v>
      </c>
      <c r="V5" s="7" t="e">
        <f ca="1"/>
        <v>#NAME?</v>
      </c>
      <c r="W5" s="7" t="e">
        <f ca="1"/>
        <v>#NAME?</v>
      </c>
      <c r="X5" s="7" t="e">
        <f ca="1"/>
        <v>#NAME?</v>
      </c>
      <c r="Y5" s="7" t="e">
        <f ca="1"/>
        <v>#NAME?</v>
      </c>
    </row>
    <row r="6" spans="1:25" x14ac:dyDescent="0.25">
      <c r="A6" s="317">
        <v>22</v>
      </c>
      <c r="B6" s="318">
        <v>0</v>
      </c>
      <c r="C6" s="255">
        <v>91</v>
      </c>
      <c r="D6" s="177">
        <v>23</v>
      </c>
      <c r="F6" s="7" t="e">
        <f ca="1"/>
        <v>#NAME?</v>
      </c>
      <c r="G6" s="344" t="e">
        <f ca="1"/>
        <v>#NAME?</v>
      </c>
      <c r="H6" s="345" t="e">
        <f ca="1"/>
        <v>#NAME?</v>
      </c>
      <c r="I6" s="345" t="e">
        <f ca="1"/>
        <v>#NAME?</v>
      </c>
      <c r="J6" s="345" t="e">
        <f ca="1"/>
        <v>#NAME?</v>
      </c>
      <c r="K6" s="345" t="e">
        <f ca="1"/>
        <v>#NAME?</v>
      </c>
      <c r="L6" s="345" t="e">
        <f ca="1"/>
        <v>#NAME?</v>
      </c>
      <c r="M6" s="347" t="e">
        <f ca="1"/>
        <v>#NAME?</v>
      </c>
      <c r="O6" t="e">
        <f ca="1"/>
        <v>#NAME?</v>
      </c>
      <c r="P6" s="185" t="e">
        <f ca="1"/>
        <v>#NAME?</v>
      </c>
      <c r="R6" s="7" t="e">
        <f ca="1"/>
        <v>#NAME?</v>
      </c>
      <c r="S6" s="344" t="e">
        <f ca="1"/>
        <v>#NAME?</v>
      </c>
      <c r="T6" s="345" t="e">
        <f ca="1"/>
        <v>#NAME?</v>
      </c>
      <c r="U6" s="345" t="e">
        <f ca="1"/>
        <v>#NAME?</v>
      </c>
      <c r="V6" s="345" t="e">
        <f ca="1"/>
        <v>#NAME?</v>
      </c>
      <c r="W6" s="345" t="e">
        <f ca="1"/>
        <v>#NAME?</v>
      </c>
      <c r="X6" s="345" t="e">
        <f ca="1"/>
        <v>#NAME?</v>
      </c>
      <c r="Y6" s="347" t="e">
        <f ca="1"/>
        <v>#NAME?</v>
      </c>
    </row>
    <row r="7" spans="1:25" x14ac:dyDescent="0.25">
      <c r="A7" s="317">
        <v>23</v>
      </c>
      <c r="B7" s="319">
        <v>0</v>
      </c>
      <c r="C7" s="255">
        <v>61</v>
      </c>
      <c r="D7" s="177">
        <v>73</v>
      </c>
      <c r="F7" s="7" t="e">
        <f ca="1"/>
        <v>#NAME?</v>
      </c>
      <c r="G7" s="214" t="e">
        <f ca="1"/>
        <v>#NAME?</v>
      </c>
      <c r="H7" s="7" t="e">
        <f ca="1"/>
        <v>#NAME?</v>
      </c>
      <c r="I7" s="7" t="e">
        <f ca="1"/>
        <v>#NAME?</v>
      </c>
      <c r="J7" s="7" t="e">
        <f ca="1"/>
        <v>#NAME?</v>
      </c>
      <c r="K7" s="7" t="e">
        <f ca="1"/>
        <v>#NAME?</v>
      </c>
      <c r="L7" s="7" t="e">
        <f ca="1"/>
        <v>#NAME?</v>
      </c>
      <c r="M7" s="215" t="e">
        <f ca="1"/>
        <v>#NAME?</v>
      </c>
      <c r="O7" t="e">
        <f ca="1"/>
        <v>#NAME?</v>
      </c>
      <c r="P7" s="185" t="e">
        <f ca="1"/>
        <v>#NAME?</v>
      </c>
      <c r="R7" s="7" t="e">
        <f ca="1"/>
        <v>#NAME?</v>
      </c>
      <c r="S7" s="214" t="e">
        <f ca="1"/>
        <v>#NAME?</v>
      </c>
      <c r="T7" s="7" t="e">
        <f ca="1"/>
        <v>#NAME?</v>
      </c>
      <c r="U7" s="7" t="e">
        <f ca="1"/>
        <v>#NAME?</v>
      </c>
      <c r="V7" s="7" t="e">
        <f ca="1"/>
        <v>#NAME?</v>
      </c>
      <c r="W7" s="7" t="e">
        <f ca="1"/>
        <v>#NAME?</v>
      </c>
      <c r="X7" s="7" t="e">
        <f ca="1"/>
        <v>#NAME?</v>
      </c>
      <c r="Y7" s="215" t="e">
        <f ca="1"/>
        <v>#NAME?</v>
      </c>
    </row>
    <row r="8" spans="1:25" x14ac:dyDescent="0.25">
      <c r="A8" s="317">
        <v>24</v>
      </c>
      <c r="B8" s="319">
        <v>0</v>
      </c>
      <c r="C8" s="255">
        <v>11</v>
      </c>
      <c r="D8" s="177">
        <v>41</v>
      </c>
      <c r="F8" s="7" t="e">
        <f ca="1"/>
        <v>#NAME?</v>
      </c>
      <c r="G8" s="112" t="e">
        <f ca="1"/>
        <v>#NAME?</v>
      </c>
      <c r="H8" s="354" t="e">
        <f ca="1"/>
        <v>#NAME?</v>
      </c>
      <c r="I8" s="354" t="e">
        <f ca="1"/>
        <v>#NAME?</v>
      </c>
      <c r="J8" s="354" t="e">
        <f ca="1"/>
        <v>#NAME?</v>
      </c>
      <c r="K8" s="354" t="e">
        <f ca="1"/>
        <v>#NAME?</v>
      </c>
      <c r="L8" s="354" t="e">
        <f ca="1"/>
        <v>#NAME?</v>
      </c>
      <c r="M8" s="120" t="e">
        <f ca="1"/>
        <v>#NAME?</v>
      </c>
      <c r="O8" t="e">
        <f ca="1"/>
        <v>#NAME?</v>
      </c>
      <c r="P8" s="185" t="e">
        <f ca="1"/>
        <v>#NAME?</v>
      </c>
      <c r="R8" s="7" t="e">
        <f ca="1"/>
        <v>#NAME?</v>
      </c>
      <c r="S8" s="112" t="e">
        <f ca="1"/>
        <v>#NAME?</v>
      </c>
      <c r="T8" s="354" t="e">
        <f ca="1"/>
        <v>#NAME?</v>
      </c>
      <c r="U8" s="354" t="e">
        <f ca="1"/>
        <v>#NAME?</v>
      </c>
      <c r="V8" s="354" t="e">
        <f ca="1"/>
        <v>#NAME?</v>
      </c>
      <c r="W8" s="354" t="e">
        <f ca="1"/>
        <v>#NAME?</v>
      </c>
      <c r="X8" s="354" t="e">
        <f ca="1"/>
        <v>#NAME?</v>
      </c>
      <c r="Y8" s="120" t="e">
        <f ca="1"/>
        <v>#NAME?</v>
      </c>
    </row>
    <row r="9" spans="1:25" x14ac:dyDescent="0.25">
      <c r="A9" s="317">
        <v>25</v>
      </c>
      <c r="B9" s="319">
        <v>0</v>
      </c>
      <c r="C9" s="214">
        <v>4</v>
      </c>
      <c r="D9" s="215">
        <v>28</v>
      </c>
      <c r="O9" t="e">
        <f ca="1"/>
        <v>#NAME?</v>
      </c>
      <c r="P9" s="123" t="e">
        <f ca="1"/>
        <v>#NAME?</v>
      </c>
    </row>
    <row r="10" spans="1:25" x14ac:dyDescent="0.25">
      <c r="A10" s="317">
        <v>20</v>
      </c>
      <c r="B10" s="319">
        <v>1</v>
      </c>
      <c r="C10" s="255">
        <v>18</v>
      </c>
      <c r="D10" s="177">
        <v>4</v>
      </c>
      <c r="F10" s="14" t="s">
        <v>879</v>
      </c>
    </row>
    <row r="11" spans="1:25" x14ac:dyDescent="0.25">
      <c r="A11" s="317">
        <v>21</v>
      </c>
      <c r="B11" s="319">
        <v>1</v>
      </c>
      <c r="C11" s="255">
        <v>75</v>
      </c>
      <c r="D11" s="177">
        <v>9</v>
      </c>
      <c r="O11" s="14" t="s">
        <v>881</v>
      </c>
    </row>
    <row r="12" spans="1:25" x14ac:dyDescent="0.25">
      <c r="A12" s="317">
        <v>22</v>
      </c>
      <c r="B12" s="319">
        <v>1</v>
      </c>
      <c r="C12" s="255">
        <v>68</v>
      </c>
      <c r="D12" s="177">
        <v>21</v>
      </c>
      <c r="G12" s="344" t="e">
        <f t="array" aca="1" ref="G12:M14" ca="1">LogitCoeff(A4:D15)</f>
        <v>#NAME?</v>
      </c>
      <c r="H12" s="345" t="e">
        <f ca="1"/>
        <v>#NAME?</v>
      </c>
      <c r="I12" s="345" t="e">
        <f ca="1"/>
        <v>#NAME?</v>
      </c>
      <c r="J12" s="345" t="e">
        <f ca="1"/>
        <v>#NAME?</v>
      </c>
      <c r="K12" s="345" t="e">
        <f ca="1"/>
        <v>#NAME?</v>
      </c>
      <c r="L12" s="345" t="e">
        <f ca="1"/>
        <v>#NAME?</v>
      </c>
      <c r="M12" s="347" t="e">
        <f ca="1"/>
        <v>#NAME?</v>
      </c>
    </row>
    <row r="13" spans="1:25" x14ac:dyDescent="0.25">
      <c r="A13" s="317">
        <v>23</v>
      </c>
      <c r="B13" s="319">
        <v>1</v>
      </c>
      <c r="C13" s="255">
        <v>59</v>
      </c>
      <c r="D13" s="177">
        <v>65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7" t="e">
        <f ca="1"/>
        <v>#NAME?</v>
      </c>
      <c r="K13" s="7" t="e">
        <f ca="1"/>
        <v>#NAME?</v>
      </c>
      <c r="L13" s="7" t="e">
        <f ca="1"/>
        <v>#NAME?</v>
      </c>
      <c r="M13" s="215" t="e">
        <f ca="1"/>
        <v>#NAME?</v>
      </c>
      <c r="O13" t="e">
        <f t="array" aca="1" ref="O13:P19" ca="1">LogitRSquare(A4:D15,TRUE)</f>
        <v>#NAME?</v>
      </c>
      <c r="P13" s="391" t="e">
        <f ca="1"/>
        <v>#NAME?</v>
      </c>
    </row>
    <row r="14" spans="1:25" x14ac:dyDescent="0.25">
      <c r="A14" s="317">
        <v>24</v>
      </c>
      <c r="B14" s="319">
        <v>1</v>
      </c>
      <c r="C14" s="255">
        <v>17</v>
      </c>
      <c r="D14" s="177">
        <v>46</v>
      </c>
      <c r="G14" s="112" t="e">
        <f ca="1"/>
        <v>#NAME?</v>
      </c>
      <c r="H14" s="354" t="e">
        <f ca="1"/>
        <v>#NAME?</v>
      </c>
      <c r="I14" s="354" t="e">
        <f ca="1"/>
        <v>#NAME?</v>
      </c>
      <c r="J14" s="354" t="e">
        <f ca="1"/>
        <v>#NAME?</v>
      </c>
      <c r="K14" s="354" t="e">
        <f ca="1"/>
        <v>#NAME?</v>
      </c>
      <c r="L14" s="354" t="e">
        <f ca="1"/>
        <v>#NAME?</v>
      </c>
      <c r="M14" s="120" t="e">
        <f ca="1"/>
        <v>#NAME?</v>
      </c>
      <c r="O14" t="e">
        <f ca="1"/>
        <v>#NAME?</v>
      </c>
      <c r="P14" s="185" t="e">
        <f ca="1"/>
        <v>#NAME?</v>
      </c>
    </row>
    <row r="15" spans="1:25" x14ac:dyDescent="0.25">
      <c r="A15" s="320">
        <v>25</v>
      </c>
      <c r="B15" s="321">
        <v>1</v>
      </c>
      <c r="C15" s="112">
        <v>7</v>
      </c>
      <c r="D15" s="120">
        <v>22</v>
      </c>
      <c r="O15" t="e">
        <f ca="1"/>
        <v>#NAME?</v>
      </c>
      <c r="P15" s="185" t="e">
        <f ca="1"/>
        <v>#NAME?</v>
      </c>
    </row>
    <row r="16" spans="1:25" x14ac:dyDescent="0.25">
      <c r="C16">
        <f>SUM(C4:C15)</f>
        <v>522</v>
      </c>
      <c r="D16">
        <f>SUM(D4:D15)</f>
        <v>338</v>
      </c>
      <c r="F16" s="14" t="s">
        <v>879</v>
      </c>
      <c r="I16" s="14" t="s">
        <v>883</v>
      </c>
      <c r="O16" t="e">
        <f ca="1"/>
        <v>#NAME?</v>
      </c>
      <c r="P16" s="185" t="e">
        <f ca="1"/>
        <v>#NAME?</v>
      </c>
    </row>
    <row r="17" spans="7:16" x14ac:dyDescent="0.25">
      <c r="O17" t="e">
        <f ca="1"/>
        <v>#NAME?</v>
      </c>
      <c r="P17" s="185" t="e">
        <f ca="1"/>
        <v>#NAME?</v>
      </c>
    </row>
    <row r="18" spans="7:16" x14ac:dyDescent="0.25">
      <c r="G18" s="391" t="e">
        <f t="array" aca="1" ref="G18:G20" ca="1">LogitCoeff(A4:D15)</f>
        <v>#NAME?</v>
      </c>
      <c r="I18" t="s">
        <v>656</v>
      </c>
      <c r="J18" t="s">
        <v>657</v>
      </c>
      <c r="K18" t="s">
        <v>882</v>
      </c>
      <c r="O18" t="e">
        <f ca="1"/>
        <v>#NAME?</v>
      </c>
      <c r="P18" s="185" t="e">
        <f ca="1"/>
        <v>#NAME?</v>
      </c>
    </row>
    <row r="19" spans="7:16" x14ac:dyDescent="0.25">
      <c r="G19" s="185" t="e">
        <f ca="1"/>
        <v>#NAME?</v>
      </c>
      <c r="I19" s="344">
        <v>21</v>
      </c>
      <c r="J19" s="345">
        <v>0</v>
      </c>
      <c r="K19" s="347" t="e">
        <f ca="1">LogitPred(I19:J19,$A$4:$D$15)</f>
        <v>#NAME?</v>
      </c>
      <c r="O19" t="e">
        <f ca="1"/>
        <v>#NAME?</v>
      </c>
      <c r="P19" s="123" t="e">
        <f ca="1"/>
        <v>#NAME?</v>
      </c>
    </row>
    <row r="20" spans="7:16" x14ac:dyDescent="0.25">
      <c r="G20" s="123" t="e">
        <f ca="1"/>
        <v>#NAME?</v>
      </c>
      <c r="I20" s="112">
        <v>21.5</v>
      </c>
      <c r="J20" s="354">
        <v>0</v>
      </c>
      <c r="K20" s="120" t="e">
        <f ca="1">LogitPred(I20:J20,$A$4:$D$15)</f>
        <v>#NAME?</v>
      </c>
    </row>
    <row r="22" spans="7:16" x14ac:dyDescent="0.25">
      <c r="I22" s="14" t="s">
        <v>884</v>
      </c>
    </row>
    <row r="24" spans="7:16" x14ac:dyDescent="0.25">
      <c r="I24" t="s">
        <v>656</v>
      </c>
      <c r="J24" t="s">
        <v>657</v>
      </c>
      <c r="K24" t="s">
        <v>882</v>
      </c>
    </row>
    <row r="25" spans="7:16" x14ac:dyDescent="0.25">
      <c r="I25" s="344">
        <v>21</v>
      </c>
      <c r="J25" s="345">
        <v>0</v>
      </c>
      <c r="K25" s="347" t="e">
        <f ca="1">LogitPredC(I25:J25,$G$18:$G$20)</f>
        <v>#NAME?</v>
      </c>
    </row>
    <row r="26" spans="7:16" x14ac:dyDescent="0.25">
      <c r="I26" s="112">
        <v>21.5</v>
      </c>
      <c r="J26" s="354">
        <v>0</v>
      </c>
      <c r="K26" s="120" t="e">
        <f ca="1">LogitPredC(I26:J26,$G$18:$G$20)</f>
        <v>#NAME?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J19"/>
  <sheetViews>
    <sheetView workbookViewId="0"/>
  </sheetViews>
  <sheetFormatPr defaultRowHeight="15" x14ac:dyDescent="0.25"/>
  <cols>
    <col min="4" max="4" width="9.140625" style="12"/>
  </cols>
  <sheetData>
    <row r="1" spans="1:10" x14ac:dyDescent="0.25">
      <c r="A1" s="1" t="s">
        <v>1469</v>
      </c>
    </row>
    <row r="2" spans="1:10" x14ac:dyDescent="0.25">
      <c r="A2" s="1"/>
    </row>
    <row r="3" spans="1:10" x14ac:dyDescent="0.25">
      <c r="A3" s="12" t="s">
        <v>2</v>
      </c>
      <c r="B3" s="12" t="s">
        <v>1224</v>
      </c>
      <c r="C3" s="12" t="s">
        <v>180</v>
      </c>
      <c r="D3" s="12" t="s">
        <v>1228</v>
      </c>
      <c r="F3" t="str">
        <f>A3</f>
        <v>Age</v>
      </c>
      <c r="G3" t="str">
        <f>B3&amp;"#"&amp;1</f>
        <v>Party#1</v>
      </c>
      <c r="H3" t="str">
        <f>B3&amp;"#"&amp;2</f>
        <v>Party#2</v>
      </c>
      <c r="I3" t="str">
        <f>C3&amp;"#"</f>
        <v>Gender#</v>
      </c>
      <c r="J3" t="str">
        <f>D3&amp;"#"</f>
        <v>Vote#</v>
      </c>
    </row>
    <row r="4" spans="1:10" x14ac:dyDescent="0.25">
      <c r="A4" s="418">
        <v>20</v>
      </c>
      <c r="B4" s="429" t="s">
        <v>1225</v>
      </c>
      <c r="C4" s="429" t="s">
        <v>94</v>
      </c>
      <c r="D4" s="424" t="s">
        <v>1229</v>
      </c>
      <c r="F4">
        <f t="shared" ref="F4:F19" si="0">A4</f>
        <v>20</v>
      </c>
      <c r="G4" t="e">
        <f t="array" aca="1" ref="G4:H19" ca="1">TAGCODE(B4:B19)</f>
        <v>#NAME?</v>
      </c>
      <c r="H4" t="e">
        <f ca="1"/>
        <v>#NAME?</v>
      </c>
      <c r="I4" t="e">
        <f t="array" aca="1" ref="I4:I19" ca="1">CATCODE(C4:C19)</f>
        <v>#NAME?</v>
      </c>
      <c r="J4" t="e">
        <f t="array" aca="1" ref="J4:J19" ca="1">CATCODE(D4:D19)</f>
        <v>#NAME?</v>
      </c>
    </row>
    <row r="5" spans="1:10" x14ac:dyDescent="0.25">
      <c r="A5" s="214">
        <v>25</v>
      </c>
      <c r="B5" s="20" t="s">
        <v>1226</v>
      </c>
      <c r="C5" s="20" t="s">
        <v>94</v>
      </c>
      <c r="D5" s="269" t="s">
        <v>1229</v>
      </c>
      <c r="F5">
        <f t="shared" si="0"/>
        <v>25</v>
      </c>
      <c r="G5" t="e">
        <f ca="1"/>
        <v>#NAME?</v>
      </c>
      <c r="H5" t="e">
        <f ca="1"/>
        <v>#NAME?</v>
      </c>
      <c r="I5" t="e">
        <f ca="1"/>
        <v>#NAME?</v>
      </c>
      <c r="J5" t="e">
        <f ca="1"/>
        <v>#NAME?</v>
      </c>
    </row>
    <row r="6" spans="1:10" x14ac:dyDescent="0.25">
      <c r="A6" s="214">
        <v>45</v>
      </c>
      <c r="B6" s="20" t="s">
        <v>1227</v>
      </c>
      <c r="C6" s="20" t="s">
        <v>94</v>
      </c>
      <c r="D6" s="269" t="s">
        <v>226</v>
      </c>
      <c r="F6">
        <f t="shared" si="0"/>
        <v>45</v>
      </c>
      <c r="G6" t="e">
        <f ca="1"/>
        <v>#NAME?</v>
      </c>
      <c r="H6" t="e">
        <f ca="1"/>
        <v>#NAME?</v>
      </c>
      <c r="I6" t="e">
        <f ca="1"/>
        <v>#NAME?</v>
      </c>
      <c r="J6" t="e">
        <f ca="1"/>
        <v>#NAME?</v>
      </c>
    </row>
    <row r="7" spans="1:10" x14ac:dyDescent="0.25">
      <c r="A7" s="214">
        <v>35</v>
      </c>
      <c r="B7" s="20" t="s">
        <v>1225</v>
      </c>
      <c r="C7" s="20" t="s">
        <v>72</v>
      </c>
      <c r="D7" s="269" t="s">
        <v>1229</v>
      </c>
      <c r="F7">
        <f t="shared" si="0"/>
        <v>35</v>
      </c>
      <c r="G7" t="e">
        <f ca="1"/>
        <v>#NAME?</v>
      </c>
      <c r="H7" t="e">
        <f ca="1"/>
        <v>#NAME?</v>
      </c>
      <c r="I7" t="e">
        <f ca="1"/>
        <v>#NAME?</v>
      </c>
      <c r="J7" t="e">
        <f ca="1"/>
        <v>#NAME?</v>
      </c>
    </row>
    <row r="8" spans="1:10" x14ac:dyDescent="0.25">
      <c r="A8" s="214">
        <v>50</v>
      </c>
      <c r="B8" s="20" t="s">
        <v>1226</v>
      </c>
      <c r="C8" s="20" t="s">
        <v>72</v>
      </c>
      <c r="D8" s="269" t="s">
        <v>1229</v>
      </c>
      <c r="F8">
        <f t="shared" si="0"/>
        <v>50</v>
      </c>
      <c r="G8" t="e">
        <f ca="1"/>
        <v>#NAME?</v>
      </c>
      <c r="H8" t="e">
        <f ca="1"/>
        <v>#NAME?</v>
      </c>
      <c r="I8" t="e">
        <f ca="1"/>
        <v>#NAME?</v>
      </c>
      <c r="J8" t="e">
        <f ca="1"/>
        <v>#NAME?</v>
      </c>
    </row>
    <row r="9" spans="1:10" x14ac:dyDescent="0.25">
      <c r="A9" s="214">
        <v>55</v>
      </c>
      <c r="B9" s="20" t="s">
        <v>1227</v>
      </c>
      <c r="C9" s="20" t="s">
        <v>72</v>
      </c>
      <c r="D9" s="269" t="s">
        <v>1229</v>
      </c>
      <c r="F9">
        <f t="shared" si="0"/>
        <v>55</v>
      </c>
      <c r="G9" t="e">
        <f ca="1"/>
        <v>#NAME?</v>
      </c>
      <c r="H9" t="e">
        <f ca="1"/>
        <v>#NAME?</v>
      </c>
      <c r="I9" t="e">
        <f ca="1"/>
        <v>#NAME?</v>
      </c>
      <c r="J9" t="e">
        <f ca="1"/>
        <v>#NAME?</v>
      </c>
    </row>
    <row r="10" spans="1:10" x14ac:dyDescent="0.25">
      <c r="A10" s="214">
        <v>39</v>
      </c>
      <c r="B10" s="20" t="s">
        <v>1225</v>
      </c>
      <c r="C10" s="20" t="s">
        <v>94</v>
      </c>
      <c r="D10" s="269" t="s">
        <v>226</v>
      </c>
      <c r="F10">
        <f t="shared" si="0"/>
        <v>39</v>
      </c>
      <c r="G10" t="e">
        <f ca="1"/>
        <v>#NAME?</v>
      </c>
      <c r="H10" t="e">
        <f ca="1"/>
        <v>#NAME?</v>
      </c>
      <c r="I10" t="e">
        <f ca="1"/>
        <v>#NAME?</v>
      </c>
      <c r="J10" t="e">
        <f ca="1"/>
        <v>#NAME?</v>
      </c>
    </row>
    <row r="11" spans="1:10" x14ac:dyDescent="0.25">
      <c r="A11" s="214">
        <v>48</v>
      </c>
      <c r="B11" s="20" t="s">
        <v>1226</v>
      </c>
      <c r="C11" s="20" t="s">
        <v>94</v>
      </c>
      <c r="D11" s="269" t="s">
        <v>226</v>
      </c>
      <c r="F11">
        <f t="shared" si="0"/>
        <v>48</v>
      </c>
      <c r="G11" t="e">
        <f ca="1"/>
        <v>#NAME?</v>
      </c>
      <c r="H11" t="e">
        <f ca="1"/>
        <v>#NAME?</v>
      </c>
      <c r="I11" t="e">
        <f ca="1"/>
        <v>#NAME?</v>
      </c>
      <c r="J11" t="e">
        <f ca="1"/>
        <v>#NAME?</v>
      </c>
    </row>
    <row r="12" spans="1:10" x14ac:dyDescent="0.25">
      <c r="A12" s="214">
        <v>30</v>
      </c>
      <c r="B12" s="20" t="s">
        <v>1227</v>
      </c>
      <c r="C12" s="20" t="s">
        <v>94</v>
      </c>
      <c r="D12" s="269" t="s">
        <v>1229</v>
      </c>
      <c r="F12">
        <f t="shared" si="0"/>
        <v>30</v>
      </c>
      <c r="G12" t="e">
        <f ca="1"/>
        <v>#NAME?</v>
      </c>
      <c r="H12" t="e">
        <f ca="1"/>
        <v>#NAME?</v>
      </c>
      <c r="I12" t="e">
        <f ca="1"/>
        <v>#NAME?</v>
      </c>
      <c r="J12" t="e">
        <f ca="1"/>
        <v>#NAME?</v>
      </c>
    </row>
    <row r="13" spans="1:10" x14ac:dyDescent="0.25">
      <c r="A13" s="214">
        <v>27</v>
      </c>
      <c r="B13" s="20" t="s">
        <v>1225</v>
      </c>
      <c r="C13" s="20" t="s">
        <v>72</v>
      </c>
      <c r="D13" s="269" t="s">
        <v>1229</v>
      </c>
      <c r="F13">
        <f t="shared" si="0"/>
        <v>27</v>
      </c>
      <c r="G13" t="e">
        <f ca="1"/>
        <v>#NAME?</v>
      </c>
      <c r="H13" t="e">
        <f ca="1"/>
        <v>#NAME?</v>
      </c>
      <c r="I13" t="e">
        <f ca="1"/>
        <v>#NAME?</v>
      </c>
      <c r="J13" t="e">
        <f ca="1"/>
        <v>#NAME?</v>
      </c>
    </row>
    <row r="14" spans="1:10" x14ac:dyDescent="0.25">
      <c r="A14" s="214">
        <v>47</v>
      </c>
      <c r="B14" s="20" t="s">
        <v>1226</v>
      </c>
      <c r="C14" s="20" t="s">
        <v>72</v>
      </c>
      <c r="D14" s="269" t="s">
        <v>226</v>
      </c>
      <c r="F14">
        <f t="shared" si="0"/>
        <v>47</v>
      </c>
      <c r="G14" t="e">
        <f ca="1"/>
        <v>#NAME?</v>
      </c>
      <c r="H14" t="e">
        <f ca="1"/>
        <v>#NAME?</v>
      </c>
      <c r="I14" t="e">
        <f ca="1"/>
        <v>#NAME?</v>
      </c>
      <c r="J14" t="e">
        <f ca="1"/>
        <v>#NAME?</v>
      </c>
    </row>
    <row r="15" spans="1:10" x14ac:dyDescent="0.25">
      <c r="A15" s="214">
        <v>21</v>
      </c>
      <c r="B15" s="20" t="s">
        <v>1227</v>
      </c>
      <c r="C15" s="20" t="s">
        <v>72</v>
      </c>
      <c r="D15" s="269" t="s">
        <v>226</v>
      </c>
      <c r="F15">
        <f t="shared" si="0"/>
        <v>21</v>
      </c>
      <c r="G15" t="e">
        <f ca="1"/>
        <v>#NAME?</v>
      </c>
      <c r="H15" t="e">
        <f ca="1"/>
        <v>#NAME?</v>
      </c>
      <c r="I15" t="e">
        <f ca="1"/>
        <v>#NAME?</v>
      </c>
      <c r="J15" t="e">
        <f ca="1"/>
        <v>#NAME?</v>
      </c>
    </row>
    <row r="16" spans="1:10" x14ac:dyDescent="0.25">
      <c r="A16" s="214">
        <v>48</v>
      </c>
      <c r="B16" s="20" t="s">
        <v>1225</v>
      </c>
      <c r="C16" s="20" t="s">
        <v>94</v>
      </c>
      <c r="D16" s="269" t="s">
        <v>1229</v>
      </c>
      <c r="F16">
        <f t="shared" si="0"/>
        <v>48</v>
      </c>
      <c r="G16" t="e">
        <f ca="1"/>
        <v>#NAME?</v>
      </c>
      <c r="H16" t="e">
        <f ca="1"/>
        <v>#NAME?</v>
      </c>
      <c r="I16" t="e">
        <f ca="1"/>
        <v>#NAME?</v>
      </c>
      <c r="J16" t="e">
        <f ca="1"/>
        <v>#NAME?</v>
      </c>
    </row>
    <row r="17" spans="1:10" x14ac:dyDescent="0.25">
      <c r="A17" s="214">
        <v>24</v>
      </c>
      <c r="B17" s="20" t="s">
        <v>1227</v>
      </c>
      <c r="C17" s="20" t="s">
        <v>94</v>
      </c>
      <c r="D17" s="269" t="s">
        <v>226</v>
      </c>
      <c r="F17">
        <f t="shared" si="0"/>
        <v>24</v>
      </c>
      <c r="G17" t="e">
        <f ca="1"/>
        <v>#NAME?</v>
      </c>
      <c r="H17" t="e">
        <f ca="1"/>
        <v>#NAME?</v>
      </c>
      <c r="I17" t="e">
        <f ca="1"/>
        <v>#NAME?</v>
      </c>
      <c r="J17" t="e">
        <f ca="1"/>
        <v>#NAME?</v>
      </c>
    </row>
    <row r="18" spans="1:10" x14ac:dyDescent="0.25">
      <c r="A18" s="214">
        <v>28</v>
      </c>
      <c r="B18" s="20" t="s">
        <v>1227</v>
      </c>
      <c r="C18" s="20" t="s">
        <v>72</v>
      </c>
      <c r="D18" s="269" t="s">
        <v>226</v>
      </c>
      <c r="F18">
        <f t="shared" si="0"/>
        <v>28</v>
      </c>
      <c r="G18" t="e">
        <f ca="1"/>
        <v>#NAME?</v>
      </c>
      <c r="H18" t="e">
        <f ca="1"/>
        <v>#NAME?</v>
      </c>
      <c r="I18" t="e">
        <f ca="1"/>
        <v>#NAME?</v>
      </c>
      <c r="J18" t="e">
        <f ca="1"/>
        <v>#NAME?</v>
      </c>
    </row>
    <row r="19" spans="1:10" x14ac:dyDescent="0.25">
      <c r="A19" s="112">
        <v>40</v>
      </c>
      <c r="B19" s="428" t="s">
        <v>1226</v>
      </c>
      <c r="C19" s="428" t="s">
        <v>72</v>
      </c>
      <c r="D19" s="426" t="s">
        <v>1229</v>
      </c>
      <c r="F19">
        <f t="shared" si="0"/>
        <v>40</v>
      </c>
      <c r="G19" t="e">
        <f ca="1"/>
        <v>#NAME?</v>
      </c>
      <c r="H19" t="e">
        <f ca="1"/>
        <v>#NAME?</v>
      </c>
      <c r="I19" t="e">
        <f ca="1"/>
        <v>#NAME?</v>
      </c>
      <c r="J19" t="e">
        <f ca="1"/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Q53"/>
  <sheetViews>
    <sheetView workbookViewId="0"/>
  </sheetViews>
  <sheetFormatPr defaultRowHeight="15" x14ac:dyDescent="0.25"/>
  <cols>
    <col min="8" max="8" width="9.140625" customWidth="1"/>
  </cols>
  <sheetData>
    <row r="1" spans="1:17" x14ac:dyDescent="0.25">
      <c r="A1" s="1" t="s">
        <v>804</v>
      </c>
      <c r="F1" t="s">
        <v>618</v>
      </c>
    </row>
    <row r="2" spans="1:17" ht="15.75" thickBot="1" x14ac:dyDescent="0.3"/>
    <row r="3" spans="1:17" ht="15.75" thickTop="1" x14ac:dyDescent="0.25">
      <c r="A3" s="294" t="s">
        <v>656</v>
      </c>
      <c r="B3" s="294" t="s">
        <v>657</v>
      </c>
      <c r="C3" s="294" t="s">
        <v>94</v>
      </c>
      <c r="D3" s="294" t="s">
        <v>72</v>
      </c>
      <c r="F3" s="346" t="str">
        <f t="shared" ref="F3:F15" si="0">A3</f>
        <v>Temp</v>
      </c>
      <c r="G3" s="346" t="str">
        <f t="shared" ref="G3:G15" si="1">B3</f>
        <v>Water</v>
      </c>
      <c r="H3" s="346" t="str">
        <f t="shared" ref="H3:H15" si="2">C3</f>
        <v>Male</v>
      </c>
      <c r="I3" s="346" t="str">
        <f t="shared" ref="I3:I15" si="3">D3</f>
        <v>Female</v>
      </c>
      <c r="J3" s="329" t="s">
        <v>1</v>
      </c>
      <c r="K3" s="329" t="s">
        <v>659</v>
      </c>
      <c r="L3" s="329" t="s">
        <v>806</v>
      </c>
      <c r="M3" s="329" t="s">
        <v>807</v>
      </c>
      <c r="N3" s="329" t="s">
        <v>809</v>
      </c>
      <c r="P3" s="61" t="s">
        <v>811</v>
      </c>
    </row>
    <row r="4" spans="1:17" x14ac:dyDescent="0.25">
      <c r="A4" s="315">
        <v>20</v>
      </c>
      <c r="B4" s="316">
        <v>0</v>
      </c>
      <c r="C4" s="313">
        <v>21</v>
      </c>
      <c r="D4" s="314">
        <v>0</v>
      </c>
      <c r="F4">
        <f t="shared" si="0"/>
        <v>20</v>
      </c>
      <c r="G4">
        <f t="shared" si="1"/>
        <v>0</v>
      </c>
      <c r="H4" s="183">
        <f t="shared" si="2"/>
        <v>21</v>
      </c>
      <c r="I4" s="43">
        <f t="shared" si="3"/>
        <v>0</v>
      </c>
      <c r="J4">
        <f>H4+I4</f>
        <v>21</v>
      </c>
      <c r="K4" t="e">
        <f t="shared" ref="K4:K15" ca="1" si="4">1/(1+EXP(-$Q$5-MMULT(F4:G4,$Q$6:$Q$7)))</f>
        <v>#NAME?</v>
      </c>
      <c r="L4" t="e">
        <f ca="1">J4*K4</f>
        <v>#NAME?</v>
      </c>
      <c r="M4" t="e">
        <f ca="1">J4*(1-K4)</f>
        <v>#NAME?</v>
      </c>
      <c r="N4" t="e">
        <f ca="1">(H4-L4)^2/L4+(I4-M4)^2/M4</f>
        <v>#NAME?</v>
      </c>
    </row>
    <row r="5" spans="1:17" x14ac:dyDescent="0.25">
      <c r="A5" s="317">
        <v>21</v>
      </c>
      <c r="B5" s="318">
        <v>0</v>
      </c>
      <c r="C5" s="255">
        <v>90</v>
      </c>
      <c r="D5" s="177">
        <v>6</v>
      </c>
      <c r="F5">
        <f t="shared" si="0"/>
        <v>21</v>
      </c>
      <c r="G5">
        <f t="shared" si="1"/>
        <v>0</v>
      </c>
      <c r="H5" s="183">
        <f t="shared" si="2"/>
        <v>90</v>
      </c>
      <c r="I5" s="43">
        <f t="shared" si="3"/>
        <v>6</v>
      </c>
      <c r="J5">
        <f t="shared" ref="J5:J15" si="5">H5+I5</f>
        <v>96</v>
      </c>
      <c r="K5" t="e">
        <f t="shared" ca="1" si="4"/>
        <v>#NAME?</v>
      </c>
      <c r="L5" t="e">
        <f t="shared" ref="L5:L15" ca="1" si="6">J5*K5</f>
        <v>#NAME?</v>
      </c>
      <c r="M5" t="e">
        <f t="shared" ref="M5:M15" ca="1" si="7">J5*(1-K5)</f>
        <v>#NAME?</v>
      </c>
      <c r="N5" t="e">
        <f t="shared" ref="N5:N15" ca="1" si="8">(H5-L5)^2/L5+(I5-M5)^2/M5</f>
        <v>#NAME?</v>
      </c>
      <c r="Q5" s="343" t="e">
        <f t="array" aca="1" ref="Q5:Q7" ca="1">LogitCoeff(F4:I15,,,,,20)</f>
        <v>#NAME?</v>
      </c>
    </row>
    <row r="6" spans="1:17" x14ac:dyDescent="0.25">
      <c r="A6" s="317">
        <v>22</v>
      </c>
      <c r="B6" s="318">
        <v>0</v>
      </c>
      <c r="C6" s="255">
        <v>91</v>
      </c>
      <c r="D6" s="177">
        <v>23</v>
      </c>
      <c r="F6">
        <f t="shared" si="0"/>
        <v>22</v>
      </c>
      <c r="G6">
        <f t="shared" si="1"/>
        <v>0</v>
      </c>
      <c r="H6" s="183">
        <f t="shared" si="2"/>
        <v>91</v>
      </c>
      <c r="I6" s="43">
        <f t="shared" si="3"/>
        <v>23</v>
      </c>
      <c r="J6">
        <f t="shared" si="5"/>
        <v>114</v>
      </c>
      <c r="K6" t="e">
        <f t="shared" ca="1" si="4"/>
        <v>#NAME?</v>
      </c>
      <c r="L6" t="e">
        <f t="shared" ca="1" si="6"/>
        <v>#NAME?</v>
      </c>
      <c r="M6" t="e">
        <f t="shared" ca="1" si="7"/>
        <v>#NAME?</v>
      </c>
      <c r="N6" t="e">
        <f t="shared" ca="1" si="8"/>
        <v>#NAME?</v>
      </c>
      <c r="Q6" s="322" t="e">
        <f ca="1"/>
        <v>#NAME?</v>
      </c>
    </row>
    <row r="7" spans="1:17" x14ac:dyDescent="0.25">
      <c r="A7" s="317">
        <v>23</v>
      </c>
      <c r="B7" s="319">
        <v>0</v>
      </c>
      <c r="C7" s="255">
        <v>61</v>
      </c>
      <c r="D7" s="177">
        <v>73</v>
      </c>
      <c r="F7">
        <f t="shared" si="0"/>
        <v>23</v>
      </c>
      <c r="G7">
        <f t="shared" si="1"/>
        <v>0</v>
      </c>
      <c r="H7" s="183">
        <f t="shared" si="2"/>
        <v>61</v>
      </c>
      <c r="I7" s="43">
        <f t="shared" si="3"/>
        <v>73</v>
      </c>
      <c r="J7">
        <f t="shared" si="5"/>
        <v>134</v>
      </c>
      <c r="K7" t="e">
        <f t="shared" ca="1" si="4"/>
        <v>#NAME?</v>
      </c>
      <c r="L7" t="e">
        <f t="shared" ca="1" si="6"/>
        <v>#NAME?</v>
      </c>
      <c r="M7" t="e">
        <f t="shared" ca="1" si="7"/>
        <v>#NAME?</v>
      </c>
      <c r="N7" t="e">
        <f t="shared" ca="1" si="8"/>
        <v>#NAME?</v>
      </c>
      <c r="Q7" s="323" t="e">
        <f ca="1"/>
        <v>#NAME?</v>
      </c>
    </row>
    <row r="8" spans="1:17" x14ac:dyDescent="0.25">
      <c r="A8" s="317">
        <v>24</v>
      </c>
      <c r="B8" s="319">
        <v>0</v>
      </c>
      <c r="C8" s="255">
        <v>11</v>
      </c>
      <c r="D8" s="177">
        <v>41</v>
      </c>
      <c r="F8">
        <f t="shared" si="0"/>
        <v>24</v>
      </c>
      <c r="G8">
        <f t="shared" si="1"/>
        <v>0</v>
      </c>
      <c r="H8" s="183">
        <f t="shared" si="2"/>
        <v>11</v>
      </c>
      <c r="I8" s="43">
        <f t="shared" si="3"/>
        <v>41</v>
      </c>
      <c r="J8">
        <f t="shared" si="5"/>
        <v>52</v>
      </c>
      <c r="K8" t="e">
        <f t="shared" ca="1" si="4"/>
        <v>#NAME?</v>
      </c>
      <c r="L8" t="e">
        <f t="shared" ca="1" si="6"/>
        <v>#NAME?</v>
      </c>
      <c r="M8" t="e">
        <f t="shared" ca="1" si="7"/>
        <v>#NAME?</v>
      </c>
      <c r="N8" t="e">
        <f t="shared" ca="1" si="8"/>
        <v>#NAME?</v>
      </c>
    </row>
    <row r="9" spans="1:17" x14ac:dyDescent="0.25">
      <c r="A9" s="317">
        <v>25</v>
      </c>
      <c r="B9" s="319">
        <v>0</v>
      </c>
      <c r="C9" s="214">
        <v>4</v>
      </c>
      <c r="D9" s="215">
        <v>28</v>
      </c>
      <c r="F9">
        <f t="shared" si="0"/>
        <v>25</v>
      </c>
      <c r="G9">
        <f t="shared" si="1"/>
        <v>0</v>
      </c>
      <c r="H9" s="183">
        <f t="shared" si="2"/>
        <v>4</v>
      </c>
      <c r="I9" s="43">
        <f t="shared" si="3"/>
        <v>28</v>
      </c>
      <c r="J9">
        <f t="shared" si="5"/>
        <v>32</v>
      </c>
      <c r="K9" t="e">
        <f t="shared" ca="1" si="4"/>
        <v>#NAME?</v>
      </c>
      <c r="L9" t="e">
        <f t="shared" ca="1" si="6"/>
        <v>#NAME?</v>
      </c>
      <c r="M9" t="e">
        <f t="shared" ca="1" si="7"/>
        <v>#NAME?</v>
      </c>
      <c r="N9" t="e">
        <f t="shared" ca="1" si="8"/>
        <v>#NAME?</v>
      </c>
    </row>
    <row r="10" spans="1:17" x14ac:dyDescent="0.25">
      <c r="A10" s="317">
        <v>20</v>
      </c>
      <c r="B10" s="319">
        <v>1</v>
      </c>
      <c r="C10" s="255">
        <v>18</v>
      </c>
      <c r="D10" s="177">
        <v>4</v>
      </c>
      <c r="F10">
        <f t="shared" si="0"/>
        <v>20</v>
      </c>
      <c r="G10">
        <f t="shared" si="1"/>
        <v>1</v>
      </c>
      <c r="H10" s="183">
        <f t="shared" si="2"/>
        <v>18</v>
      </c>
      <c r="I10" s="43">
        <f t="shared" si="3"/>
        <v>4</v>
      </c>
      <c r="J10">
        <f t="shared" si="5"/>
        <v>22</v>
      </c>
      <c r="K10" t="e">
        <f t="shared" ca="1" si="4"/>
        <v>#NAME?</v>
      </c>
      <c r="L10" t="e">
        <f t="shared" ca="1" si="6"/>
        <v>#NAME?</v>
      </c>
      <c r="M10" t="e">
        <f t="shared" ca="1" si="7"/>
        <v>#NAME?</v>
      </c>
      <c r="N10" t="e">
        <f t="shared" ca="1" si="8"/>
        <v>#NAME?</v>
      </c>
      <c r="P10" s="55" t="s">
        <v>808</v>
      </c>
    </row>
    <row r="11" spans="1:17" x14ac:dyDescent="0.25">
      <c r="A11" s="317">
        <v>21</v>
      </c>
      <c r="B11" s="319">
        <v>1</v>
      </c>
      <c r="C11" s="255">
        <v>75</v>
      </c>
      <c r="D11" s="177">
        <v>9</v>
      </c>
      <c r="F11">
        <f t="shared" si="0"/>
        <v>21</v>
      </c>
      <c r="G11">
        <f t="shared" si="1"/>
        <v>1</v>
      </c>
      <c r="H11" s="183">
        <f t="shared" si="2"/>
        <v>75</v>
      </c>
      <c r="I11" s="43">
        <f t="shared" si="3"/>
        <v>9</v>
      </c>
      <c r="J11">
        <f t="shared" si="5"/>
        <v>84</v>
      </c>
      <c r="K11" t="e">
        <f t="shared" ca="1" si="4"/>
        <v>#NAME?</v>
      </c>
      <c r="L11" t="e">
        <f t="shared" ca="1" si="6"/>
        <v>#NAME?</v>
      </c>
      <c r="M11" t="e">
        <f t="shared" ca="1" si="7"/>
        <v>#NAME?</v>
      </c>
      <c r="N11" t="e">
        <f t="shared" ca="1" si="8"/>
        <v>#NAME?</v>
      </c>
    </row>
    <row r="12" spans="1:17" x14ac:dyDescent="0.25">
      <c r="A12" s="317">
        <v>22</v>
      </c>
      <c r="B12" s="319">
        <v>1</v>
      </c>
      <c r="C12" s="255">
        <v>68</v>
      </c>
      <c r="D12" s="177">
        <v>21</v>
      </c>
      <c r="F12">
        <f t="shared" si="0"/>
        <v>22</v>
      </c>
      <c r="G12">
        <f t="shared" si="1"/>
        <v>1</v>
      </c>
      <c r="H12" s="183">
        <f t="shared" si="2"/>
        <v>68</v>
      </c>
      <c r="I12" s="43">
        <f t="shared" si="3"/>
        <v>21</v>
      </c>
      <c r="J12">
        <f t="shared" si="5"/>
        <v>89</v>
      </c>
      <c r="K12" t="e">
        <f t="shared" ca="1" si="4"/>
        <v>#NAME?</v>
      </c>
      <c r="L12" t="e">
        <f t="shared" ca="1" si="6"/>
        <v>#NAME?</v>
      </c>
      <c r="M12" t="e">
        <f t="shared" ca="1" si="7"/>
        <v>#NAME?</v>
      </c>
      <c r="N12" t="e">
        <f t="shared" ca="1" si="8"/>
        <v>#NAME?</v>
      </c>
      <c r="P12" t="s">
        <v>810</v>
      </c>
      <c r="Q12" s="348" t="e">
        <f ca="1">N16</f>
        <v>#NAME?</v>
      </c>
    </row>
    <row r="13" spans="1:17" x14ac:dyDescent="0.25">
      <c r="A13" s="317">
        <v>23</v>
      </c>
      <c r="B13" s="319">
        <v>1</v>
      </c>
      <c r="C13" s="255">
        <v>59</v>
      </c>
      <c r="D13" s="177">
        <v>65</v>
      </c>
      <c r="F13">
        <f t="shared" si="0"/>
        <v>23</v>
      </c>
      <c r="G13">
        <f t="shared" si="1"/>
        <v>1</v>
      </c>
      <c r="H13" s="183">
        <f t="shared" si="2"/>
        <v>59</v>
      </c>
      <c r="I13" s="43">
        <f t="shared" si="3"/>
        <v>65</v>
      </c>
      <c r="J13">
        <f t="shared" si="5"/>
        <v>124</v>
      </c>
      <c r="K13" t="e">
        <f t="shared" ca="1" si="4"/>
        <v>#NAME?</v>
      </c>
      <c r="L13" t="e">
        <f t="shared" ca="1" si="6"/>
        <v>#NAME?</v>
      </c>
      <c r="M13" t="e">
        <f t="shared" ca="1" si="7"/>
        <v>#NAME?</v>
      </c>
      <c r="N13" t="e">
        <f t="shared" ca="1" si="8"/>
        <v>#NAME?</v>
      </c>
      <c r="P13" t="s">
        <v>41</v>
      </c>
      <c r="Q13" s="185">
        <f>COUNTA(F4:F15)-2</f>
        <v>10</v>
      </c>
    </row>
    <row r="14" spans="1:17" x14ac:dyDescent="0.25">
      <c r="A14" s="317">
        <v>24</v>
      </c>
      <c r="B14" s="319">
        <v>1</v>
      </c>
      <c r="C14" s="255">
        <v>17</v>
      </c>
      <c r="D14" s="177">
        <v>46</v>
      </c>
      <c r="F14">
        <f t="shared" si="0"/>
        <v>24</v>
      </c>
      <c r="G14">
        <f t="shared" si="1"/>
        <v>1</v>
      </c>
      <c r="H14" s="183">
        <f t="shared" si="2"/>
        <v>17</v>
      </c>
      <c r="I14" s="43">
        <f t="shared" si="3"/>
        <v>46</v>
      </c>
      <c r="J14">
        <f t="shared" si="5"/>
        <v>63</v>
      </c>
      <c r="K14" t="e">
        <f t="shared" ca="1" si="4"/>
        <v>#NAME?</v>
      </c>
      <c r="L14" t="e">
        <f t="shared" ca="1" si="6"/>
        <v>#NAME?</v>
      </c>
      <c r="M14" t="e">
        <f t="shared" ca="1" si="7"/>
        <v>#NAME?</v>
      </c>
      <c r="N14" t="e">
        <f t="shared" ca="1" si="8"/>
        <v>#NAME?</v>
      </c>
      <c r="P14" t="s">
        <v>48</v>
      </c>
      <c r="Q14" s="185" t="e">
        <f ca="1">CHIDIST(Q12,Q13)</f>
        <v>#NAME?</v>
      </c>
    </row>
    <row r="15" spans="1:17" x14ac:dyDescent="0.25">
      <c r="A15" s="320">
        <v>25</v>
      </c>
      <c r="B15" s="321">
        <v>1</v>
      </c>
      <c r="C15" s="112">
        <v>7</v>
      </c>
      <c r="D15" s="120">
        <v>22</v>
      </c>
      <c r="F15">
        <f t="shared" si="0"/>
        <v>25</v>
      </c>
      <c r="G15">
        <f t="shared" si="1"/>
        <v>1</v>
      </c>
      <c r="H15" s="76">
        <f t="shared" si="2"/>
        <v>7</v>
      </c>
      <c r="I15" s="77">
        <f t="shared" si="3"/>
        <v>22</v>
      </c>
      <c r="J15">
        <f t="shared" si="5"/>
        <v>29</v>
      </c>
      <c r="K15" t="e">
        <f t="shared" ca="1" si="4"/>
        <v>#NAME?</v>
      </c>
      <c r="L15" t="e">
        <f t="shared" ca="1" si="6"/>
        <v>#NAME?</v>
      </c>
      <c r="M15" t="e">
        <f t="shared" ca="1" si="7"/>
        <v>#NAME?</v>
      </c>
      <c r="N15" t="e">
        <f t="shared" ca="1" si="8"/>
        <v>#NAME?</v>
      </c>
      <c r="P15" t="s">
        <v>70</v>
      </c>
      <c r="Q15" s="185">
        <v>0.05</v>
      </c>
    </row>
    <row r="16" spans="1:17" x14ac:dyDescent="0.25">
      <c r="C16">
        <f>SUM(C4:C15)</f>
        <v>522</v>
      </c>
      <c r="D16">
        <f>SUM(D4:D15)</f>
        <v>338</v>
      </c>
      <c r="F16" s="345"/>
      <c r="G16" s="345"/>
      <c r="H16">
        <f>SUM(H4:H15)</f>
        <v>522</v>
      </c>
      <c r="I16">
        <f>SUM(I4:I15)</f>
        <v>338</v>
      </c>
      <c r="J16" s="345">
        <f>SUM(J4:J15)</f>
        <v>860</v>
      </c>
      <c r="K16" s="345"/>
      <c r="L16" s="345" t="e">
        <f ca="1">SUM(L4:L15)</f>
        <v>#NAME?</v>
      </c>
      <c r="M16" s="345" t="e">
        <f ca="1">SUM(M4:M15)</f>
        <v>#NAME?</v>
      </c>
      <c r="N16" s="345" t="e">
        <f ca="1">SUM(N4:N15)</f>
        <v>#NAME?</v>
      </c>
      <c r="P16" t="s">
        <v>164</v>
      </c>
      <c r="Q16" s="117" t="e">
        <f ca="1">IF(Q14&lt;Q15,"yes","no")</f>
        <v>#NAME?</v>
      </c>
    </row>
    <row r="20" spans="1:17" x14ac:dyDescent="0.25">
      <c r="A20" t="s">
        <v>813</v>
      </c>
      <c r="F20" t="s">
        <v>618</v>
      </c>
    </row>
    <row r="21" spans="1:17" ht="15.75" thickBot="1" x14ac:dyDescent="0.3"/>
    <row r="22" spans="1:17" ht="15.75" thickTop="1" x14ac:dyDescent="0.25">
      <c r="A22" s="294" t="s">
        <v>656</v>
      </c>
      <c r="B22" s="294" t="s">
        <v>657</v>
      </c>
      <c r="C22" s="294" t="s">
        <v>94</v>
      </c>
      <c r="D22" s="294" t="s">
        <v>72</v>
      </c>
      <c r="F22" s="346" t="str">
        <f>A22</f>
        <v>Temp</v>
      </c>
      <c r="G22" s="346" t="str">
        <f>B22</f>
        <v>Water</v>
      </c>
      <c r="H22" s="346" t="str">
        <f>C22</f>
        <v>Male</v>
      </c>
      <c r="I22" s="346" t="str">
        <f>D22</f>
        <v>Female</v>
      </c>
      <c r="J22" s="329" t="s">
        <v>1</v>
      </c>
      <c r="K22" s="329" t="s">
        <v>659</v>
      </c>
      <c r="L22" s="329" t="s">
        <v>806</v>
      </c>
      <c r="M22" s="329" t="s">
        <v>807</v>
      </c>
      <c r="N22" s="329" t="s">
        <v>809</v>
      </c>
    </row>
    <row r="23" spans="1:17" x14ac:dyDescent="0.25">
      <c r="A23" s="315">
        <v>20</v>
      </c>
      <c r="B23" s="316">
        <v>0</v>
      </c>
      <c r="C23" s="313">
        <v>21</v>
      </c>
      <c r="D23" s="314">
        <v>0</v>
      </c>
      <c r="F23" s="12" t="s">
        <v>812</v>
      </c>
      <c r="G23">
        <f>B23</f>
        <v>0</v>
      </c>
      <c r="H23" s="183">
        <f>H4+H5</f>
        <v>111</v>
      </c>
      <c r="I23" s="43">
        <f>I4+I5</f>
        <v>6</v>
      </c>
      <c r="J23">
        <f t="shared" ref="J23:J32" si="9">H23+I23</f>
        <v>117</v>
      </c>
      <c r="K23" t="e">
        <f ca="1">(J4*K4+J5*K5)/(J4+J5)</f>
        <v>#NAME?</v>
      </c>
      <c r="L23" t="e">
        <f t="shared" ref="L23:L32" ca="1" si="10">J23*K23</f>
        <v>#NAME?</v>
      </c>
      <c r="M23" t="e">
        <f t="shared" ref="M23:M32" ca="1" si="11">J23*(1-K23)</f>
        <v>#NAME?</v>
      </c>
      <c r="N23" t="e">
        <f t="shared" ref="N23:N32" ca="1" si="12">(H23-L23)^2/L23+(I23-M23)^2/M23</f>
        <v>#NAME?</v>
      </c>
    </row>
    <row r="24" spans="1:17" x14ac:dyDescent="0.25">
      <c r="A24" s="317">
        <v>21</v>
      </c>
      <c r="B24" s="318">
        <v>0</v>
      </c>
      <c r="C24" s="255">
        <v>90</v>
      </c>
      <c r="D24" s="177">
        <v>6</v>
      </c>
      <c r="F24">
        <f t="shared" ref="F24:I27" si="13">A25</f>
        <v>22</v>
      </c>
      <c r="G24">
        <f t="shared" si="13"/>
        <v>0</v>
      </c>
      <c r="H24" s="183">
        <f t="shared" si="13"/>
        <v>91</v>
      </c>
      <c r="I24" s="43">
        <f t="shared" si="13"/>
        <v>23</v>
      </c>
      <c r="J24">
        <f t="shared" si="9"/>
        <v>114</v>
      </c>
      <c r="K24" t="e">
        <f ca="1">1/(1+EXP(-$Q$5-MMULT(F24:G24,$Q$6:$Q$7)))</f>
        <v>#NAME?</v>
      </c>
      <c r="L24" t="e">
        <f t="shared" ca="1" si="10"/>
        <v>#NAME?</v>
      </c>
      <c r="M24" t="e">
        <f t="shared" ca="1" si="11"/>
        <v>#NAME?</v>
      </c>
      <c r="N24" t="e">
        <f t="shared" ca="1" si="12"/>
        <v>#NAME?</v>
      </c>
    </row>
    <row r="25" spans="1:17" x14ac:dyDescent="0.25">
      <c r="A25" s="317">
        <v>22</v>
      </c>
      <c r="B25" s="318">
        <v>0</v>
      </c>
      <c r="C25" s="255">
        <v>91</v>
      </c>
      <c r="D25" s="177">
        <v>23</v>
      </c>
      <c r="F25">
        <f t="shared" si="13"/>
        <v>23</v>
      </c>
      <c r="G25">
        <f t="shared" si="13"/>
        <v>0</v>
      </c>
      <c r="H25" s="183">
        <f t="shared" si="13"/>
        <v>61</v>
      </c>
      <c r="I25" s="43">
        <f t="shared" si="13"/>
        <v>73</v>
      </c>
      <c r="J25">
        <f t="shared" si="9"/>
        <v>134</v>
      </c>
      <c r="K25" t="e">
        <f ca="1">1/(1+EXP(-$Q$5-MMULT(F25:G25,$Q$6:$Q$7)))</f>
        <v>#NAME?</v>
      </c>
      <c r="L25" t="e">
        <f t="shared" ca="1" si="10"/>
        <v>#NAME?</v>
      </c>
      <c r="M25" t="e">
        <f t="shared" ca="1" si="11"/>
        <v>#NAME?</v>
      </c>
      <c r="N25" t="e">
        <f t="shared" ca="1" si="12"/>
        <v>#NAME?</v>
      </c>
    </row>
    <row r="26" spans="1:17" x14ac:dyDescent="0.25">
      <c r="A26" s="317">
        <v>23</v>
      </c>
      <c r="B26" s="319">
        <v>0</v>
      </c>
      <c r="C26" s="255">
        <v>61</v>
      </c>
      <c r="D26" s="177">
        <v>73</v>
      </c>
      <c r="F26">
        <f t="shared" si="13"/>
        <v>24</v>
      </c>
      <c r="G26">
        <f t="shared" si="13"/>
        <v>0</v>
      </c>
      <c r="H26" s="183">
        <f t="shared" si="13"/>
        <v>11</v>
      </c>
      <c r="I26" s="43">
        <f t="shared" si="13"/>
        <v>41</v>
      </c>
      <c r="J26">
        <f t="shared" si="9"/>
        <v>52</v>
      </c>
      <c r="K26" t="e">
        <f ca="1">1/(1+EXP(-$Q$5-MMULT(F26:G26,$Q$6:$Q$7)))</f>
        <v>#NAME?</v>
      </c>
      <c r="L26" t="e">
        <f t="shared" ca="1" si="10"/>
        <v>#NAME?</v>
      </c>
      <c r="M26" t="e">
        <f t="shared" ca="1" si="11"/>
        <v>#NAME?</v>
      </c>
      <c r="N26" t="e">
        <f t="shared" ca="1" si="12"/>
        <v>#NAME?</v>
      </c>
    </row>
    <row r="27" spans="1:17" x14ac:dyDescent="0.25">
      <c r="A27" s="317">
        <v>24</v>
      </c>
      <c r="B27" s="319">
        <v>0</v>
      </c>
      <c r="C27" s="255">
        <v>11</v>
      </c>
      <c r="D27" s="177">
        <v>41</v>
      </c>
      <c r="F27">
        <f t="shared" si="13"/>
        <v>25</v>
      </c>
      <c r="G27">
        <f t="shared" si="13"/>
        <v>0</v>
      </c>
      <c r="H27" s="183">
        <f t="shared" si="13"/>
        <v>4</v>
      </c>
      <c r="I27" s="43">
        <f t="shared" si="13"/>
        <v>28</v>
      </c>
      <c r="J27">
        <f t="shared" si="9"/>
        <v>32</v>
      </c>
      <c r="K27" t="e">
        <f ca="1">1/(1+EXP(-$Q$5-MMULT(F27:G27,$Q$6:$Q$7)))</f>
        <v>#NAME?</v>
      </c>
      <c r="L27" t="e">
        <f t="shared" ca="1" si="10"/>
        <v>#NAME?</v>
      </c>
      <c r="M27" t="e">
        <f t="shared" ca="1" si="11"/>
        <v>#NAME?</v>
      </c>
      <c r="N27" t="e">
        <f t="shared" ca="1" si="12"/>
        <v>#NAME?</v>
      </c>
      <c r="P27" s="55" t="s">
        <v>808</v>
      </c>
    </row>
    <row r="28" spans="1:17" x14ac:dyDescent="0.25">
      <c r="A28" s="317">
        <v>25</v>
      </c>
      <c r="B28" s="319">
        <v>0</v>
      </c>
      <c r="C28" s="214">
        <v>4</v>
      </c>
      <c r="D28" s="215">
        <v>28</v>
      </c>
      <c r="F28" s="12" t="s">
        <v>812</v>
      </c>
      <c r="G28">
        <f>B29</f>
        <v>1</v>
      </c>
      <c r="H28" s="183">
        <f>H10+H11</f>
        <v>93</v>
      </c>
      <c r="I28" s="183">
        <f>I10+I11</f>
        <v>13</v>
      </c>
      <c r="J28">
        <f t="shared" si="9"/>
        <v>106</v>
      </c>
      <c r="K28" t="e">
        <f ca="1">(J10*K10+J11*K11)/(J10+J11)</f>
        <v>#NAME?</v>
      </c>
      <c r="L28" t="e">
        <f t="shared" ca="1" si="10"/>
        <v>#NAME?</v>
      </c>
      <c r="M28" t="e">
        <f t="shared" ca="1" si="11"/>
        <v>#NAME?</v>
      </c>
      <c r="N28" t="e">
        <f t="shared" ca="1" si="12"/>
        <v>#NAME?</v>
      </c>
    </row>
    <row r="29" spans="1:17" x14ac:dyDescent="0.25">
      <c r="A29" s="317">
        <v>20</v>
      </c>
      <c r="B29" s="319">
        <v>1</v>
      </c>
      <c r="C29" s="255">
        <v>18</v>
      </c>
      <c r="D29" s="177">
        <v>4</v>
      </c>
      <c r="F29">
        <f t="shared" ref="F29:I32" si="14">A31</f>
        <v>22</v>
      </c>
      <c r="G29">
        <f t="shared" si="14"/>
        <v>1</v>
      </c>
      <c r="H29" s="183">
        <f t="shared" si="14"/>
        <v>68</v>
      </c>
      <c r="I29" s="43">
        <f t="shared" si="14"/>
        <v>21</v>
      </c>
      <c r="J29">
        <f t="shared" si="9"/>
        <v>89</v>
      </c>
      <c r="K29" t="e">
        <f ca="1">1/(1+EXP(-$Q$5-MMULT(F29:G29,$Q$6:$Q$7)))</f>
        <v>#NAME?</v>
      </c>
      <c r="L29" t="e">
        <f t="shared" ca="1" si="10"/>
        <v>#NAME?</v>
      </c>
      <c r="M29" t="e">
        <f t="shared" ca="1" si="11"/>
        <v>#NAME?</v>
      </c>
      <c r="N29" t="e">
        <f t="shared" ca="1" si="12"/>
        <v>#NAME?</v>
      </c>
      <c r="P29" t="s">
        <v>810</v>
      </c>
      <c r="Q29" s="348" t="e">
        <f ca="1">N33</f>
        <v>#NAME?</v>
      </c>
    </row>
    <row r="30" spans="1:17" x14ac:dyDescent="0.25">
      <c r="A30" s="317">
        <v>21</v>
      </c>
      <c r="B30" s="319">
        <v>1</v>
      </c>
      <c r="C30" s="255">
        <v>75</v>
      </c>
      <c r="D30" s="177">
        <v>9</v>
      </c>
      <c r="F30">
        <f t="shared" si="14"/>
        <v>23</v>
      </c>
      <c r="G30">
        <f t="shared" si="14"/>
        <v>1</v>
      </c>
      <c r="H30" s="183">
        <f t="shared" si="14"/>
        <v>59</v>
      </c>
      <c r="I30" s="43">
        <f t="shared" si="14"/>
        <v>65</v>
      </c>
      <c r="J30">
        <f t="shared" si="9"/>
        <v>124</v>
      </c>
      <c r="K30" t="e">
        <f ca="1">1/(1+EXP(-$Q$5-MMULT(F30:G30,$Q$6:$Q$7)))</f>
        <v>#NAME?</v>
      </c>
      <c r="L30" t="e">
        <f t="shared" ca="1" si="10"/>
        <v>#NAME?</v>
      </c>
      <c r="M30" t="e">
        <f t="shared" ca="1" si="11"/>
        <v>#NAME?</v>
      </c>
      <c r="N30" t="e">
        <f t="shared" ca="1" si="12"/>
        <v>#NAME?</v>
      </c>
      <c r="P30" t="s">
        <v>41</v>
      </c>
      <c r="Q30" s="185">
        <f>COUNTA(F23:F32)-2</f>
        <v>8</v>
      </c>
    </row>
    <row r="31" spans="1:17" x14ac:dyDescent="0.25">
      <c r="A31" s="317">
        <v>22</v>
      </c>
      <c r="B31" s="319">
        <v>1</v>
      </c>
      <c r="C31" s="255">
        <v>68</v>
      </c>
      <c r="D31" s="177">
        <v>21</v>
      </c>
      <c r="F31">
        <f t="shared" si="14"/>
        <v>24</v>
      </c>
      <c r="G31">
        <f t="shared" si="14"/>
        <v>1</v>
      </c>
      <c r="H31" s="183">
        <f t="shared" si="14"/>
        <v>17</v>
      </c>
      <c r="I31" s="43">
        <f t="shared" si="14"/>
        <v>46</v>
      </c>
      <c r="J31">
        <f t="shared" si="9"/>
        <v>63</v>
      </c>
      <c r="K31" t="e">
        <f ca="1">1/(1+EXP(-$Q$5-MMULT(F31:G31,$Q$6:$Q$7)))</f>
        <v>#NAME?</v>
      </c>
      <c r="L31" t="e">
        <f t="shared" ca="1" si="10"/>
        <v>#NAME?</v>
      </c>
      <c r="M31" t="e">
        <f t="shared" ca="1" si="11"/>
        <v>#NAME?</v>
      </c>
      <c r="N31" t="e">
        <f t="shared" ca="1" si="12"/>
        <v>#NAME?</v>
      </c>
      <c r="P31" t="s">
        <v>48</v>
      </c>
      <c r="Q31" s="185" t="e">
        <f ca="1">CHIDIST(Q29,Q30)</f>
        <v>#NAME?</v>
      </c>
    </row>
    <row r="32" spans="1:17" x14ac:dyDescent="0.25">
      <c r="A32" s="317">
        <v>23</v>
      </c>
      <c r="B32" s="319">
        <v>1</v>
      </c>
      <c r="C32" s="255">
        <v>59</v>
      </c>
      <c r="D32" s="177">
        <v>65</v>
      </c>
      <c r="F32">
        <f t="shared" si="14"/>
        <v>25</v>
      </c>
      <c r="G32">
        <f t="shared" si="14"/>
        <v>1</v>
      </c>
      <c r="H32" s="76">
        <f t="shared" si="14"/>
        <v>7</v>
      </c>
      <c r="I32" s="77">
        <f t="shared" si="14"/>
        <v>22</v>
      </c>
      <c r="J32">
        <f t="shared" si="9"/>
        <v>29</v>
      </c>
      <c r="K32" t="e">
        <f ca="1">1/(1+EXP(-$Q$5-MMULT(F32:G32,$Q$6:$Q$7)))</f>
        <v>#NAME?</v>
      </c>
      <c r="L32" t="e">
        <f t="shared" ca="1" si="10"/>
        <v>#NAME?</v>
      </c>
      <c r="M32" t="e">
        <f t="shared" ca="1" si="11"/>
        <v>#NAME?</v>
      </c>
      <c r="N32" t="e">
        <f t="shared" ca="1" si="12"/>
        <v>#NAME?</v>
      </c>
      <c r="P32" t="s">
        <v>70</v>
      </c>
      <c r="Q32" s="185">
        <v>0.05</v>
      </c>
    </row>
    <row r="33" spans="1:17" x14ac:dyDescent="0.25">
      <c r="A33" s="317">
        <v>24</v>
      </c>
      <c r="B33" s="319">
        <v>1</v>
      </c>
      <c r="C33" s="255">
        <v>17</v>
      </c>
      <c r="D33" s="177">
        <v>46</v>
      </c>
      <c r="F33" s="345"/>
      <c r="G33" s="345"/>
      <c r="H33">
        <f>SUM(H23:H32)</f>
        <v>522</v>
      </c>
      <c r="I33">
        <f>SUM(I23:I32)</f>
        <v>338</v>
      </c>
      <c r="J33" s="345">
        <f>SUM(J23:J32)</f>
        <v>860</v>
      </c>
      <c r="K33" s="345"/>
      <c r="L33" s="345" t="e">
        <f ca="1">SUM(L23:L32)</f>
        <v>#NAME?</v>
      </c>
      <c r="M33" s="345" t="e">
        <f ca="1">SUM(M23:M32)</f>
        <v>#NAME?</v>
      </c>
      <c r="N33" s="345" t="e">
        <f ca="1">SUM(N23:N32)</f>
        <v>#NAME?</v>
      </c>
      <c r="P33" t="s">
        <v>164</v>
      </c>
      <c r="Q33" s="117" t="e">
        <f ca="1">IF(Q31&lt;Q32,"yes","no")</f>
        <v>#NAME?</v>
      </c>
    </row>
    <row r="34" spans="1:17" x14ac:dyDescent="0.25">
      <c r="A34" s="320">
        <v>25</v>
      </c>
      <c r="B34" s="321">
        <v>1</v>
      </c>
      <c r="C34" s="112">
        <v>7</v>
      </c>
      <c r="D34" s="120">
        <v>22</v>
      </c>
    </row>
    <row r="35" spans="1:17" x14ac:dyDescent="0.25">
      <c r="C35">
        <f>SUM(C23:C34)</f>
        <v>522</v>
      </c>
      <c r="D35">
        <f>SUM(D23:D34)</f>
        <v>338</v>
      </c>
    </row>
    <row r="38" spans="1:17" x14ac:dyDescent="0.25">
      <c r="A38" t="s">
        <v>943</v>
      </c>
    </row>
    <row r="40" spans="1:17" x14ac:dyDescent="0.25">
      <c r="A40" s="294" t="s">
        <v>656</v>
      </c>
      <c r="B40" s="294" t="s">
        <v>657</v>
      </c>
      <c r="C40" s="294" t="s">
        <v>94</v>
      </c>
      <c r="D40" s="294" t="s">
        <v>72</v>
      </c>
      <c r="F40" s="12" t="e">
        <f t="array" aca="1" ref="F40:K50" ca="1">HOSMER(A41:D52,TRUE)</f>
        <v>#NAME?</v>
      </c>
      <c r="G40" s="12" t="e">
        <f ca="1"/>
        <v>#NAME?</v>
      </c>
      <c r="H40" s="12" t="e">
        <f ca="1"/>
        <v>#NAME?</v>
      </c>
      <c r="I40" s="12" t="e">
        <f ca="1"/>
        <v>#NAME?</v>
      </c>
      <c r="J40" s="12" t="e">
        <f ca="1"/>
        <v>#NAME?</v>
      </c>
      <c r="K40" s="12" t="e">
        <f ca="1"/>
        <v>#NAME?</v>
      </c>
      <c r="L40" s="12" t="s">
        <v>940</v>
      </c>
      <c r="M40" s="12" t="s">
        <v>941</v>
      </c>
      <c r="O40" t="e">
        <f t="array" aca="1" ref="O40:P42" ca="1">HLTEST(A41:D52,TRUE)</f>
        <v>#NAME?</v>
      </c>
      <c r="P40" s="391" t="e">
        <f ca="1"/>
        <v>#NAME?</v>
      </c>
    </row>
    <row r="41" spans="1:17" x14ac:dyDescent="0.25">
      <c r="A41" s="315">
        <v>20</v>
      </c>
      <c r="B41" s="316">
        <v>0</v>
      </c>
      <c r="C41" s="313">
        <v>21</v>
      </c>
      <c r="D41" s="314">
        <v>0</v>
      </c>
      <c r="F41" t="e">
        <f ca="1"/>
        <v>#NAME?</v>
      </c>
      <c r="G41" s="344" t="e">
        <f ca="1"/>
        <v>#NAME?</v>
      </c>
      <c r="H41" s="344" t="e">
        <f ca="1"/>
        <v>#NAME?</v>
      </c>
      <c r="I41" s="347" t="e">
        <f ca="1"/>
        <v>#NAME?</v>
      </c>
      <c r="J41" s="387" t="e">
        <f ca="1"/>
        <v>#NAME?</v>
      </c>
      <c r="K41" s="347" t="e">
        <f ca="1"/>
        <v>#NAME?</v>
      </c>
      <c r="L41" s="344" t="e">
        <f ca="1">(H41-I41)^2/I41</f>
        <v>#NAME?</v>
      </c>
      <c r="M41" s="347" t="e">
        <f ca="1">(K41-J41)^2/K41</f>
        <v>#NAME?</v>
      </c>
      <c r="O41" t="e">
        <f ca="1"/>
        <v>#NAME?</v>
      </c>
      <c r="P41" s="185" t="e">
        <f ca="1"/>
        <v>#NAME?</v>
      </c>
    </row>
    <row r="42" spans="1:17" x14ac:dyDescent="0.25">
      <c r="A42" s="317">
        <v>21</v>
      </c>
      <c r="B42" s="318">
        <v>0</v>
      </c>
      <c r="C42" s="255">
        <v>90</v>
      </c>
      <c r="D42" s="177">
        <v>6</v>
      </c>
      <c r="F42" t="e">
        <f ca="1"/>
        <v>#NAME?</v>
      </c>
      <c r="G42" s="214" t="e">
        <f ca="1"/>
        <v>#NAME?</v>
      </c>
      <c r="H42" s="214" t="e">
        <f ca="1"/>
        <v>#NAME?</v>
      </c>
      <c r="I42" s="215" t="e">
        <f ca="1"/>
        <v>#NAME?</v>
      </c>
      <c r="J42" s="7" t="e">
        <f ca="1"/>
        <v>#NAME?</v>
      </c>
      <c r="K42" s="215" t="e">
        <f ca="1"/>
        <v>#NAME?</v>
      </c>
      <c r="L42" s="214" t="e">
        <f t="shared" ref="L42:L50" ca="1" si="15">(H42-I42)^2/I42</f>
        <v>#NAME?</v>
      </c>
      <c r="M42" s="215" t="e">
        <f t="shared" ref="M42:M50" ca="1" si="16">(K42-J42)^2/K42</f>
        <v>#NAME?</v>
      </c>
      <c r="O42" t="e">
        <f ca="1"/>
        <v>#NAME?</v>
      </c>
      <c r="P42" s="123" t="e">
        <f ca="1"/>
        <v>#NAME?</v>
      </c>
    </row>
    <row r="43" spans="1:17" x14ac:dyDescent="0.25">
      <c r="A43" s="317">
        <v>22</v>
      </c>
      <c r="B43" s="318">
        <v>0</v>
      </c>
      <c r="C43" s="255">
        <v>91</v>
      </c>
      <c r="D43" s="177">
        <v>23</v>
      </c>
      <c r="F43" t="e">
        <f ca="1"/>
        <v>#NAME?</v>
      </c>
      <c r="G43" s="214" t="e">
        <f ca="1"/>
        <v>#NAME?</v>
      </c>
      <c r="H43" s="214" t="e">
        <f ca="1"/>
        <v>#NAME?</v>
      </c>
      <c r="I43" s="215" t="e">
        <f ca="1"/>
        <v>#NAME?</v>
      </c>
      <c r="J43" s="7" t="e">
        <f ca="1"/>
        <v>#NAME?</v>
      </c>
      <c r="K43" s="215" t="e">
        <f ca="1"/>
        <v>#NAME?</v>
      </c>
      <c r="L43" s="214" t="e">
        <f t="shared" ca="1" si="15"/>
        <v>#NAME?</v>
      </c>
      <c r="M43" s="215" t="e">
        <f t="shared" ca="1" si="16"/>
        <v>#NAME?</v>
      </c>
    </row>
    <row r="44" spans="1:17" x14ac:dyDescent="0.25">
      <c r="A44" s="317">
        <v>23</v>
      </c>
      <c r="B44" s="319">
        <v>0</v>
      </c>
      <c r="C44" s="255">
        <v>61</v>
      </c>
      <c r="D44" s="177">
        <v>73</v>
      </c>
      <c r="F44" t="e">
        <f ca="1"/>
        <v>#NAME?</v>
      </c>
      <c r="G44" s="214" t="e">
        <f ca="1"/>
        <v>#NAME?</v>
      </c>
      <c r="H44" s="214" t="e">
        <f ca="1"/>
        <v>#NAME?</v>
      </c>
      <c r="I44" s="215" t="e">
        <f ca="1"/>
        <v>#NAME?</v>
      </c>
      <c r="J44" s="7" t="e">
        <f ca="1"/>
        <v>#NAME?</v>
      </c>
      <c r="K44" s="215" t="e">
        <f ca="1"/>
        <v>#NAME?</v>
      </c>
      <c r="L44" s="214" t="e">
        <f t="shared" ca="1" si="15"/>
        <v>#NAME?</v>
      </c>
      <c r="M44" s="215" t="e">
        <f t="shared" ca="1" si="16"/>
        <v>#NAME?</v>
      </c>
    </row>
    <row r="45" spans="1:17" x14ac:dyDescent="0.25">
      <c r="A45" s="317">
        <v>24</v>
      </c>
      <c r="B45" s="319">
        <v>0</v>
      </c>
      <c r="C45" s="255">
        <v>11</v>
      </c>
      <c r="D45" s="177">
        <v>41</v>
      </c>
      <c r="F45" t="e">
        <f ca="1"/>
        <v>#NAME?</v>
      </c>
      <c r="G45" s="214" t="e">
        <f ca="1"/>
        <v>#NAME?</v>
      </c>
      <c r="H45" s="214" t="e">
        <f ca="1"/>
        <v>#NAME?</v>
      </c>
      <c r="I45" s="215" t="e">
        <f ca="1"/>
        <v>#NAME?</v>
      </c>
      <c r="J45" s="7" t="e">
        <f ca="1"/>
        <v>#NAME?</v>
      </c>
      <c r="K45" s="215" t="e">
        <f ca="1"/>
        <v>#NAME?</v>
      </c>
      <c r="L45" s="214" t="e">
        <f t="shared" ca="1" si="15"/>
        <v>#NAME?</v>
      </c>
      <c r="M45" s="215" t="e">
        <f t="shared" ca="1" si="16"/>
        <v>#NAME?</v>
      </c>
    </row>
    <row r="46" spans="1:17" x14ac:dyDescent="0.25">
      <c r="A46" s="317">
        <v>25</v>
      </c>
      <c r="B46" s="319">
        <v>0</v>
      </c>
      <c r="C46" s="214">
        <v>4</v>
      </c>
      <c r="D46" s="215">
        <v>28</v>
      </c>
      <c r="F46" t="e">
        <f ca="1"/>
        <v>#NAME?</v>
      </c>
      <c r="G46" s="214" t="e">
        <f ca="1"/>
        <v>#NAME?</v>
      </c>
      <c r="H46" s="214" t="e">
        <f ca="1"/>
        <v>#NAME?</v>
      </c>
      <c r="I46" s="215" t="e">
        <f ca="1"/>
        <v>#NAME?</v>
      </c>
      <c r="J46" s="7" t="e">
        <f ca="1"/>
        <v>#NAME?</v>
      </c>
      <c r="K46" s="215" t="e">
        <f ca="1"/>
        <v>#NAME?</v>
      </c>
      <c r="L46" s="214" t="e">
        <f t="shared" ca="1" si="15"/>
        <v>#NAME?</v>
      </c>
      <c r="M46" s="215" t="e">
        <f t="shared" ca="1" si="16"/>
        <v>#NAME?</v>
      </c>
    </row>
    <row r="47" spans="1:17" x14ac:dyDescent="0.25">
      <c r="A47" s="317">
        <v>20</v>
      </c>
      <c r="B47" s="319">
        <v>1</v>
      </c>
      <c r="C47" s="255">
        <v>18</v>
      </c>
      <c r="D47" s="177">
        <v>4</v>
      </c>
      <c r="F47" t="e">
        <f ca="1"/>
        <v>#NAME?</v>
      </c>
      <c r="G47" s="214" t="e">
        <f ca="1"/>
        <v>#NAME?</v>
      </c>
      <c r="H47" s="214" t="e">
        <f ca="1"/>
        <v>#NAME?</v>
      </c>
      <c r="I47" s="215" t="e">
        <f ca="1"/>
        <v>#NAME?</v>
      </c>
      <c r="J47" s="7" t="e">
        <f ca="1"/>
        <v>#NAME?</v>
      </c>
      <c r="K47" s="215" t="e">
        <f ca="1"/>
        <v>#NAME?</v>
      </c>
      <c r="L47" s="214" t="e">
        <f t="shared" ca="1" si="15"/>
        <v>#NAME?</v>
      </c>
      <c r="M47" s="215" t="e">
        <f t="shared" ca="1" si="16"/>
        <v>#NAME?</v>
      </c>
    </row>
    <row r="48" spans="1:17" x14ac:dyDescent="0.25">
      <c r="A48" s="317">
        <v>21</v>
      </c>
      <c r="B48" s="319">
        <v>1</v>
      </c>
      <c r="C48" s="255">
        <v>75</v>
      </c>
      <c r="D48" s="177">
        <v>9</v>
      </c>
      <c r="F48" t="e">
        <f ca="1"/>
        <v>#NAME?</v>
      </c>
      <c r="G48" s="214" t="e">
        <f ca="1"/>
        <v>#NAME?</v>
      </c>
      <c r="H48" s="214" t="e">
        <f ca="1"/>
        <v>#NAME?</v>
      </c>
      <c r="I48" s="215" t="e">
        <f ca="1"/>
        <v>#NAME?</v>
      </c>
      <c r="J48" s="7" t="e">
        <f ca="1"/>
        <v>#NAME?</v>
      </c>
      <c r="K48" s="215" t="e">
        <f ca="1"/>
        <v>#NAME?</v>
      </c>
      <c r="L48" s="214" t="e">
        <f t="shared" ca="1" si="15"/>
        <v>#NAME?</v>
      </c>
      <c r="M48" s="215" t="e">
        <f t="shared" ca="1" si="16"/>
        <v>#NAME?</v>
      </c>
    </row>
    <row r="49" spans="1:13" x14ac:dyDescent="0.25">
      <c r="A49" s="317">
        <v>22</v>
      </c>
      <c r="B49" s="319">
        <v>1</v>
      </c>
      <c r="C49" s="255">
        <v>68</v>
      </c>
      <c r="D49" s="177">
        <v>21</v>
      </c>
      <c r="F49" t="e">
        <f ca="1"/>
        <v>#NAME?</v>
      </c>
      <c r="G49" s="214" t="e">
        <f ca="1"/>
        <v>#NAME?</v>
      </c>
      <c r="H49" s="214" t="e">
        <f ca="1"/>
        <v>#NAME?</v>
      </c>
      <c r="I49" s="215" t="e">
        <f ca="1"/>
        <v>#NAME?</v>
      </c>
      <c r="J49" s="7" t="e">
        <f ca="1"/>
        <v>#NAME?</v>
      </c>
      <c r="K49" s="215" t="e">
        <f ca="1"/>
        <v>#NAME?</v>
      </c>
      <c r="L49" s="214" t="e">
        <f t="shared" ca="1" si="15"/>
        <v>#NAME?</v>
      </c>
      <c r="M49" s="215" t="e">
        <f t="shared" ca="1" si="16"/>
        <v>#NAME?</v>
      </c>
    </row>
    <row r="50" spans="1:13" x14ac:dyDescent="0.25">
      <c r="A50" s="317">
        <v>23</v>
      </c>
      <c r="B50" s="319">
        <v>1</v>
      </c>
      <c r="C50" s="255">
        <v>59</v>
      </c>
      <c r="D50" s="177">
        <v>65</v>
      </c>
      <c r="F50" t="e">
        <f ca="1"/>
        <v>#NAME?</v>
      </c>
      <c r="G50" s="112" t="e">
        <f ca="1"/>
        <v>#NAME?</v>
      </c>
      <c r="H50" s="112" t="e">
        <f ca="1"/>
        <v>#NAME?</v>
      </c>
      <c r="I50" s="120" t="e">
        <f ca="1"/>
        <v>#NAME?</v>
      </c>
      <c r="J50" s="354" t="e">
        <f ca="1"/>
        <v>#NAME?</v>
      </c>
      <c r="K50" s="120" t="e">
        <f ca="1"/>
        <v>#NAME?</v>
      </c>
      <c r="L50" s="112" t="e">
        <f t="shared" ca="1" si="15"/>
        <v>#NAME?</v>
      </c>
      <c r="M50" s="120" t="e">
        <f t="shared" ca="1" si="16"/>
        <v>#NAME?</v>
      </c>
    </row>
    <row r="51" spans="1:13" x14ac:dyDescent="0.25">
      <c r="A51" s="317">
        <v>24</v>
      </c>
      <c r="B51" s="319">
        <v>1</v>
      </c>
      <c r="C51" s="255">
        <v>17</v>
      </c>
      <c r="D51" s="177">
        <v>46</v>
      </c>
      <c r="G51" t="e">
        <f t="shared" ref="G51:M51" ca="1" si="17">SUM(G41:G50)</f>
        <v>#NAME?</v>
      </c>
      <c r="H51" t="e">
        <f ca="1">SUM(H41:H50)</f>
        <v>#NAME?</v>
      </c>
      <c r="I51" t="e">
        <f t="shared" ca="1" si="17"/>
        <v>#NAME?</v>
      </c>
      <c r="J51" t="e">
        <f t="shared" ca="1" si="17"/>
        <v>#NAME?</v>
      </c>
      <c r="K51" t="e">
        <f t="shared" ca="1" si="17"/>
        <v>#NAME?</v>
      </c>
      <c r="L51" t="e">
        <f t="shared" ca="1" si="17"/>
        <v>#NAME?</v>
      </c>
      <c r="M51" t="e">
        <f t="shared" ca="1" si="17"/>
        <v>#NAME?</v>
      </c>
    </row>
    <row r="52" spans="1:13" x14ac:dyDescent="0.25">
      <c r="A52" s="320">
        <v>25</v>
      </c>
      <c r="B52" s="321">
        <v>1</v>
      </c>
      <c r="C52" s="112">
        <v>7</v>
      </c>
      <c r="D52" s="120">
        <v>22</v>
      </c>
    </row>
    <row r="53" spans="1:13" x14ac:dyDescent="0.25">
      <c r="C53">
        <f>SUM(C41:C52)</f>
        <v>522</v>
      </c>
      <c r="D53">
        <f>SUM(D41:D52)</f>
        <v>338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AR26"/>
  <sheetViews>
    <sheetView workbookViewId="0"/>
  </sheetViews>
  <sheetFormatPr defaultRowHeight="15" x14ac:dyDescent="0.25"/>
  <sheetData>
    <row r="1" spans="1:44" x14ac:dyDescent="0.25">
      <c r="A1" t="s">
        <v>1478</v>
      </c>
      <c r="F1" t="s">
        <v>1479</v>
      </c>
      <c r="AF1" t="s">
        <v>827</v>
      </c>
      <c r="AK1" t="s">
        <v>831</v>
      </c>
    </row>
    <row r="2" spans="1:44" ht="15.75" thickBot="1" x14ac:dyDescent="0.3"/>
    <row r="3" spans="1:44" ht="15.75" thickTop="1" x14ac:dyDescent="0.25">
      <c r="A3" s="294" t="s">
        <v>656</v>
      </c>
      <c r="B3" s="294" t="s">
        <v>657</v>
      </c>
      <c r="C3" s="294" t="s">
        <v>94</v>
      </c>
      <c r="D3" s="294" t="s">
        <v>72</v>
      </c>
      <c r="F3" s="386" t="str">
        <f>A3</f>
        <v>Temp</v>
      </c>
      <c r="G3" s="386" t="str">
        <f t="shared" ref="G3:I15" si="0">B3</f>
        <v>Water</v>
      </c>
      <c r="H3" s="386" t="str">
        <f t="shared" si="0"/>
        <v>Male</v>
      </c>
      <c r="I3" s="386" t="str">
        <f t="shared" si="0"/>
        <v>Female</v>
      </c>
      <c r="J3" s="386" t="s">
        <v>1</v>
      </c>
      <c r="K3" s="386" t="s">
        <v>658</v>
      </c>
      <c r="L3" s="386" t="s">
        <v>659</v>
      </c>
      <c r="M3" s="386" t="s">
        <v>825</v>
      </c>
      <c r="N3" s="386" t="s">
        <v>826</v>
      </c>
      <c r="O3" s="386" t="s">
        <v>626</v>
      </c>
      <c r="P3" s="386" t="s">
        <v>753</v>
      </c>
      <c r="Q3" s="386" t="s">
        <v>117</v>
      </c>
      <c r="R3" s="386" t="s">
        <v>1480</v>
      </c>
      <c r="S3" s="386" t="s">
        <v>437</v>
      </c>
      <c r="U3" t="s">
        <v>660</v>
      </c>
      <c r="W3" t="s">
        <v>625</v>
      </c>
      <c r="X3" s="671">
        <f>H16*LN(H16/J16)+I16*LN(I16/J16)</f>
        <v>-576.26986120489823</v>
      </c>
      <c r="Z3" t="s">
        <v>754</v>
      </c>
      <c r="AD3" t="s">
        <v>837</v>
      </c>
      <c r="AG3" s="700" t="s">
        <v>828</v>
      </c>
      <c r="AH3" s="700" t="s">
        <v>829</v>
      </c>
      <c r="AK3" s="386" t="s">
        <v>659</v>
      </c>
      <c r="AL3" s="386" t="s">
        <v>816</v>
      </c>
      <c r="AM3" s="386" t="s">
        <v>815</v>
      </c>
      <c r="AN3" s="386" t="s">
        <v>832</v>
      </c>
      <c r="AO3" s="386" t="s">
        <v>833</v>
      </c>
      <c r="AP3" s="386" t="s">
        <v>834</v>
      </c>
      <c r="AQ3" s="386" t="s">
        <v>835</v>
      </c>
      <c r="AR3" s="386" t="s">
        <v>836</v>
      </c>
    </row>
    <row r="4" spans="1:44" x14ac:dyDescent="0.25">
      <c r="A4" s="701">
        <v>20</v>
      </c>
      <c r="B4" s="702">
        <v>0</v>
      </c>
      <c r="C4" s="703">
        <v>21</v>
      </c>
      <c r="D4" s="704">
        <v>0</v>
      </c>
      <c r="F4">
        <f t="shared" ref="F4:F15" si="1">A4</f>
        <v>20</v>
      </c>
      <c r="G4">
        <f t="shared" si="0"/>
        <v>0</v>
      </c>
      <c r="H4" s="183">
        <f t="shared" si="0"/>
        <v>21</v>
      </c>
      <c r="I4" s="7">
        <f t="shared" si="0"/>
        <v>0</v>
      </c>
      <c r="J4" s="43">
        <f>H4+I4</f>
        <v>21</v>
      </c>
      <c r="K4">
        <f>IF(J4=0,"",H4/J4)</f>
        <v>1</v>
      </c>
      <c r="L4">
        <f>NORMSDIST(Q4)</f>
        <v>0.9713352735823394</v>
      </c>
      <c r="M4" s="648">
        <f>J4*L4</f>
        <v>20.398040745229128</v>
      </c>
      <c r="N4" s="650">
        <f>J4-M4</f>
        <v>0.60195925477087187</v>
      </c>
      <c r="O4" s="648">
        <f>J4*(K4*LN(L4)+(1-K4)*LN(1-L4))</f>
        <v>-0.61075525110818218</v>
      </c>
      <c r="P4" s="650">
        <f>100*IF(L4&gt;=$AG$10,H4/J4,I4/J4)</f>
        <v>100</v>
      </c>
      <c r="Q4">
        <f>$U$5+MMULT(F4:G4,$U$6:$U$7)</f>
        <v>1.9007905463268742</v>
      </c>
      <c r="R4">
        <f>NORMDIST(Q4,0,1,FALSE)</f>
        <v>6.5517310834607045E-2</v>
      </c>
      <c r="S4">
        <f>(H4*(Q4*R4/L4+(R4/L4)^2)-I4*(Q4*R4/(1-L4)-(R4/(1-L4))^2))</f>
        <v>2.7879471819048667</v>
      </c>
      <c r="W4" t="s">
        <v>653</v>
      </c>
      <c r="X4" s="349">
        <f>O16</f>
        <v>-447.69607955173467</v>
      </c>
      <c r="Z4" s="648" t="e">
        <f t="array" aca="1" ref="Z4:AB6" ca="1">MINVERSE(MMULT(TRANSPOSE(DESIGN(F4:G15)),S4:S15*DESIGN(F4:G15)))</f>
        <v>#NAME?</v>
      </c>
      <c r="AA4" s="649" t="e">
        <f ca="1"/>
        <v>#NAME?</v>
      </c>
      <c r="AB4" s="650" t="e">
        <f ca="1"/>
        <v>#NAME?</v>
      </c>
      <c r="AD4" s="671" t="e">
        <f t="array" aca="1" ref="AD4:AD6" ca="1">MMULT(Z4:AB6,MMULT(TRANSPOSE(DESIGN(F4:G15)),J4:J15*(K4:K15-L4:L15)))</f>
        <v>#NAME?</v>
      </c>
      <c r="AF4" t="s">
        <v>825</v>
      </c>
      <c r="AG4" s="648">
        <f>SUMIF(L4:L15,"&gt;="&amp;AG10,H4:H15)</f>
        <v>483</v>
      </c>
      <c r="AH4" s="650">
        <f>SUMIF(L4:L15,"&gt;="&amp;AG10,I4:I15)</f>
        <v>201</v>
      </c>
      <c r="AI4">
        <f>AG4+AH4</f>
        <v>684</v>
      </c>
      <c r="AN4">
        <v>0</v>
      </c>
      <c r="AO4">
        <v>0</v>
      </c>
      <c r="AP4" t="e">
        <f ca="1">1-AN4/AN$16</f>
        <v>#NAME?</v>
      </c>
      <c r="AQ4" t="e">
        <f ca="1">1-AO4/AO$16</f>
        <v>#NAME?</v>
      </c>
      <c r="AR4" t="e">
        <f ca="1">(AP4-AP5)*AQ4</f>
        <v>#NAME?</v>
      </c>
    </row>
    <row r="5" spans="1:44" x14ac:dyDescent="0.25">
      <c r="A5" s="317">
        <v>21</v>
      </c>
      <c r="B5" s="318">
        <v>0</v>
      </c>
      <c r="C5" s="255">
        <v>90</v>
      </c>
      <c r="D5" s="177">
        <v>6</v>
      </c>
      <c r="F5">
        <f t="shared" si="1"/>
        <v>21</v>
      </c>
      <c r="G5">
        <f t="shared" si="0"/>
        <v>0</v>
      </c>
      <c r="H5" s="183">
        <f t="shared" si="0"/>
        <v>90</v>
      </c>
      <c r="I5" s="7">
        <f t="shared" si="0"/>
        <v>6</v>
      </c>
      <c r="J5" s="43">
        <f t="shared" ref="J5:J15" si="2">H5+I5</f>
        <v>96</v>
      </c>
      <c r="K5">
        <f t="shared" ref="K5:K15" si="3">IF(J5=0,"",H5/J5)</f>
        <v>0.9375</v>
      </c>
      <c r="L5">
        <f t="shared" ref="L5:L15" si="4">NORMSDIST(Q5)</f>
        <v>0.89989664051861795</v>
      </c>
      <c r="M5" s="183">
        <f t="shared" ref="M5:M15" si="5">J5*L5</f>
        <v>86.39007748978733</v>
      </c>
      <c r="N5" s="43">
        <f t="shared" ref="N5:N15" si="6">J5-M5</f>
        <v>9.6099225102126695</v>
      </c>
      <c r="O5" s="183">
        <f t="shared" ref="O5:O15" si="7">J5*(K5*LN(L5)+(1-K5)*LN(1-L5))</f>
        <v>-23.302095142727516</v>
      </c>
      <c r="P5" s="43">
        <f t="shared" ref="P5:P15" si="8">100*IF(L5&gt;=$AG$10,H5/J5,I5/J5)</f>
        <v>93.75</v>
      </c>
      <c r="Q5">
        <f t="shared" ref="Q5:Q15" si="9">$U$5+MMULT(F5:G5,$U$6:$U$7)</f>
        <v>1.280962839146925</v>
      </c>
      <c r="R5">
        <f t="shared" ref="R5:R15" si="10">NORMDIST(Q5,0,1,FALSE)</f>
        <v>0.17563076200861324</v>
      </c>
      <c r="S5">
        <f t="shared" ref="S5:S15" si="11">(H5*(Q5*R5/L5+(R5/L5)^2)-I5*(Q5*R5/(1-L5)-(R5/(1-L5))^2))</f>
        <v>30.91321888541664</v>
      </c>
      <c r="U5" s="671">
        <v>14.297344689925856</v>
      </c>
      <c r="Z5" s="183" t="e">
        <f ca="1"/>
        <v>#NAME?</v>
      </c>
      <c r="AA5" s="7" t="e">
        <f ca="1"/>
        <v>#NAME?</v>
      </c>
      <c r="AB5" s="43" t="e">
        <f ca="1"/>
        <v>#NAME?</v>
      </c>
      <c r="AD5" s="322" t="e">
        <f ca="1"/>
        <v>#NAME?</v>
      </c>
      <c r="AF5" t="s">
        <v>826</v>
      </c>
      <c r="AG5" s="351">
        <f>AG6-AG4</f>
        <v>39</v>
      </c>
      <c r="AH5" s="353">
        <f>AH6-AH4</f>
        <v>137</v>
      </c>
      <c r="AI5">
        <f>AG5+AH5</f>
        <v>176</v>
      </c>
      <c r="AK5" t="e">
        <f t="array" aca="1" ref="AK5:AM16" ca="1">SelectCols(H4:L15,"5,2,1",1)</f>
        <v>#NAME?</v>
      </c>
      <c r="AL5" t="e">
        <f ca="1"/>
        <v>#NAME?</v>
      </c>
      <c r="AM5" t="e">
        <f ca="1"/>
        <v>#NAME?</v>
      </c>
      <c r="AN5" t="e">
        <f ca="1">AN4+AL5</f>
        <v>#NAME?</v>
      </c>
      <c r="AO5" t="e">
        <f ca="1">AO4+AM5</f>
        <v>#NAME?</v>
      </c>
      <c r="AP5" t="e">
        <f t="shared" ref="AP5:AQ16" ca="1" si="12">1-AN5/AN$16</f>
        <v>#NAME?</v>
      </c>
      <c r="AQ5" t="e">
        <f t="shared" ca="1" si="12"/>
        <v>#NAME?</v>
      </c>
      <c r="AR5" t="e">
        <f t="shared" ref="AR5:AR16" ca="1" si="13">(AP5-AP6)*AQ5</f>
        <v>#NAME?</v>
      </c>
    </row>
    <row r="6" spans="1:44" x14ac:dyDescent="0.25">
      <c r="A6" s="317">
        <v>22</v>
      </c>
      <c r="B6" s="318">
        <v>0</v>
      </c>
      <c r="C6" s="255">
        <v>91</v>
      </c>
      <c r="D6" s="177">
        <v>23</v>
      </c>
      <c r="F6">
        <f t="shared" si="1"/>
        <v>22</v>
      </c>
      <c r="G6">
        <f t="shared" si="0"/>
        <v>0</v>
      </c>
      <c r="H6" s="183">
        <f t="shared" si="0"/>
        <v>91</v>
      </c>
      <c r="I6" s="7">
        <f t="shared" si="0"/>
        <v>23</v>
      </c>
      <c r="J6" s="43">
        <f t="shared" si="2"/>
        <v>114</v>
      </c>
      <c r="K6">
        <f t="shared" si="3"/>
        <v>0.79824561403508776</v>
      </c>
      <c r="L6">
        <f t="shared" si="4"/>
        <v>0.74573717160976449</v>
      </c>
      <c r="M6" s="183">
        <f t="shared" si="5"/>
        <v>85.014037563513156</v>
      </c>
      <c r="N6" s="43">
        <f t="shared" si="6"/>
        <v>28.985962436486844</v>
      </c>
      <c r="O6" s="183">
        <f t="shared" si="7"/>
        <v>-58.193663412578331</v>
      </c>
      <c r="P6" s="43">
        <f t="shared" si="8"/>
        <v>79.824561403508781</v>
      </c>
      <c r="Q6">
        <f t="shared" si="9"/>
        <v>0.66113513196697582</v>
      </c>
      <c r="R6">
        <f t="shared" si="10"/>
        <v>0.32062330020848245</v>
      </c>
      <c r="S6">
        <f t="shared" si="11"/>
        <v>60.085532339989818</v>
      </c>
      <c r="U6" s="322">
        <v>-0.61982770717994906</v>
      </c>
      <c r="W6" t="s">
        <v>664</v>
      </c>
      <c r="X6" s="671">
        <f>2*(X4-X3)</f>
        <v>257.14756330632713</v>
      </c>
      <c r="Z6" s="351" t="e">
        <f ca="1"/>
        <v>#NAME?</v>
      </c>
      <c r="AA6" s="352" t="e">
        <f ca="1"/>
        <v>#NAME?</v>
      </c>
      <c r="AB6" s="353" t="e">
        <f ca="1"/>
        <v>#NAME?</v>
      </c>
      <c r="AD6" s="349" t="e">
        <f ca="1"/>
        <v>#NAME?</v>
      </c>
      <c r="AG6">
        <f>H16</f>
        <v>522</v>
      </c>
      <c r="AH6">
        <f>I16</f>
        <v>338</v>
      </c>
      <c r="AI6">
        <f>AG6+AH6</f>
        <v>860</v>
      </c>
      <c r="AK6" t="e">
        <f ca="1"/>
        <v>#NAME?</v>
      </c>
      <c r="AL6" t="e">
        <f ca="1"/>
        <v>#NAME?</v>
      </c>
      <c r="AM6" t="e">
        <f ca="1"/>
        <v>#NAME?</v>
      </c>
      <c r="AN6" t="e">
        <f t="shared" ref="AN6:AO16" ca="1" si="14">AN5+AL6</f>
        <v>#NAME?</v>
      </c>
      <c r="AO6" t="e">
        <f t="shared" ca="1" si="14"/>
        <v>#NAME?</v>
      </c>
      <c r="AP6" t="e">
        <f t="shared" ca="1" si="12"/>
        <v>#NAME?</v>
      </c>
      <c r="AQ6" t="e">
        <f t="shared" ca="1" si="12"/>
        <v>#NAME?</v>
      </c>
      <c r="AR6" t="e">
        <f t="shared" ca="1" si="13"/>
        <v>#NAME?</v>
      </c>
    </row>
    <row r="7" spans="1:44" x14ac:dyDescent="0.25">
      <c r="A7" s="317">
        <v>23</v>
      </c>
      <c r="B7" s="319">
        <v>0</v>
      </c>
      <c r="C7" s="255">
        <v>61</v>
      </c>
      <c r="D7" s="177">
        <v>73</v>
      </c>
      <c r="F7">
        <f t="shared" si="1"/>
        <v>23</v>
      </c>
      <c r="G7">
        <f t="shared" si="0"/>
        <v>0</v>
      </c>
      <c r="H7" s="183">
        <f t="shared" si="0"/>
        <v>61</v>
      </c>
      <c r="I7" s="7">
        <f t="shared" si="0"/>
        <v>73</v>
      </c>
      <c r="J7" s="43">
        <f t="shared" si="2"/>
        <v>134</v>
      </c>
      <c r="K7">
        <f t="shared" si="3"/>
        <v>0.45522388059701491</v>
      </c>
      <c r="L7">
        <f t="shared" si="4"/>
        <v>0.51647459300001919</v>
      </c>
      <c r="M7" s="183">
        <f t="shared" si="5"/>
        <v>69.207595462002573</v>
      </c>
      <c r="N7" s="43">
        <f t="shared" si="6"/>
        <v>64.792404537997427</v>
      </c>
      <c r="O7" s="183">
        <f t="shared" si="7"/>
        <v>-93.350033591605438</v>
      </c>
      <c r="P7" s="43">
        <f t="shared" si="8"/>
        <v>45.522388059701491</v>
      </c>
      <c r="Q7">
        <f t="shared" si="9"/>
        <v>4.1307424787026648E-2</v>
      </c>
      <c r="R7">
        <f t="shared" si="10"/>
        <v>0.39860206727550312</v>
      </c>
      <c r="S7">
        <f t="shared" si="11"/>
        <v>85.40199747069758</v>
      </c>
      <c r="U7" s="349">
        <v>-4.1213127481863371E-2</v>
      </c>
      <c r="W7" t="s">
        <v>41</v>
      </c>
      <c r="X7" s="322">
        <f>COUNT(F4:G4)</f>
        <v>2</v>
      </c>
      <c r="AK7" t="e">
        <f ca="1"/>
        <v>#NAME?</v>
      </c>
      <c r="AL7" t="e">
        <f ca="1"/>
        <v>#NAME?</v>
      </c>
      <c r="AM7" t="e">
        <f ca="1"/>
        <v>#NAME?</v>
      </c>
      <c r="AN7" t="e">
        <f t="shared" ca="1" si="14"/>
        <v>#NAME?</v>
      </c>
      <c r="AO7" t="e">
        <f t="shared" ca="1" si="14"/>
        <v>#NAME?</v>
      </c>
      <c r="AP7" t="e">
        <f t="shared" ca="1" si="12"/>
        <v>#NAME?</v>
      </c>
      <c r="AQ7" t="e">
        <f t="shared" ca="1" si="12"/>
        <v>#NAME?</v>
      </c>
      <c r="AR7" t="e">
        <f t="shared" ca="1" si="13"/>
        <v>#NAME?</v>
      </c>
    </row>
    <row r="8" spans="1:44" x14ac:dyDescent="0.25">
      <c r="A8" s="317">
        <v>24</v>
      </c>
      <c r="B8" s="319">
        <v>0</v>
      </c>
      <c r="C8" s="255">
        <v>11</v>
      </c>
      <c r="D8" s="177">
        <v>41</v>
      </c>
      <c r="F8">
        <f t="shared" si="1"/>
        <v>24</v>
      </c>
      <c r="G8">
        <f t="shared" si="0"/>
        <v>0</v>
      </c>
      <c r="H8" s="183">
        <f t="shared" si="0"/>
        <v>11</v>
      </c>
      <c r="I8" s="7">
        <f t="shared" si="0"/>
        <v>41</v>
      </c>
      <c r="J8" s="43">
        <f t="shared" si="2"/>
        <v>52</v>
      </c>
      <c r="K8">
        <f t="shared" si="3"/>
        <v>0.21153846153846154</v>
      </c>
      <c r="L8">
        <f t="shared" si="4"/>
        <v>0.28145645397763269</v>
      </c>
      <c r="M8" s="183">
        <f t="shared" si="5"/>
        <v>14.635735606836899</v>
      </c>
      <c r="N8" s="43">
        <f t="shared" si="6"/>
        <v>37.364264393163097</v>
      </c>
      <c r="O8" s="183">
        <f t="shared" si="7"/>
        <v>-27.497240604217648</v>
      </c>
      <c r="P8" s="43">
        <f t="shared" si="8"/>
        <v>78.84615384615384</v>
      </c>
      <c r="Q8">
        <f t="shared" si="9"/>
        <v>-0.57852028239292075</v>
      </c>
      <c r="R8">
        <f t="shared" si="10"/>
        <v>0.33746907861860265</v>
      </c>
      <c r="S8">
        <f t="shared" si="11"/>
        <v>28.367347400963443</v>
      </c>
      <c r="W8" t="s">
        <v>48</v>
      </c>
      <c r="X8" s="322">
        <f>CHIDIST(X6,X7)</f>
        <v>1.4491592410467178E-56</v>
      </c>
      <c r="AF8" t="s">
        <v>853</v>
      </c>
      <c r="AG8" s="705">
        <f>AG4/AG6</f>
        <v>0.92528735632183912</v>
      </c>
      <c r="AH8" s="706">
        <f>AH5/AH6</f>
        <v>0.40532544378698226</v>
      </c>
      <c r="AI8">
        <f>(AG4+AH5)/AI6</f>
        <v>0.72093023255813948</v>
      </c>
      <c r="AK8" t="e">
        <f ca="1"/>
        <v>#NAME?</v>
      </c>
      <c r="AL8" t="e">
        <f ca="1"/>
        <v>#NAME?</v>
      </c>
      <c r="AM8" t="e">
        <f ca="1"/>
        <v>#NAME?</v>
      </c>
      <c r="AN8" t="e">
        <f t="shared" ca="1" si="14"/>
        <v>#NAME?</v>
      </c>
      <c r="AO8" t="e">
        <f t="shared" ca="1" si="14"/>
        <v>#NAME?</v>
      </c>
      <c r="AP8" t="e">
        <f t="shared" ca="1" si="12"/>
        <v>#NAME?</v>
      </c>
      <c r="AQ8" t="e">
        <f t="shared" ca="1" si="12"/>
        <v>#NAME?</v>
      </c>
      <c r="AR8" t="e">
        <f t="shared" ca="1" si="13"/>
        <v>#NAME?</v>
      </c>
    </row>
    <row r="9" spans="1:44" x14ac:dyDescent="0.25">
      <c r="A9" s="317">
        <v>25</v>
      </c>
      <c r="B9" s="319">
        <v>0</v>
      </c>
      <c r="C9" s="214">
        <v>4</v>
      </c>
      <c r="D9" s="215">
        <v>28</v>
      </c>
      <c r="F9">
        <f t="shared" si="1"/>
        <v>25</v>
      </c>
      <c r="G9">
        <f t="shared" si="0"/>
        <v>0</v>
      </c>
      <c r="H9" s="183">
        <f t="shared" si="0"/>
        <v>4</v>
      </c>
      <c r="I9" s="7">
        <f t="shared" si="0"/>
        <v>28</v>
      </c>
      <c r="J9" s="43">
        <f t="shared" si="2"/>
        <v>32</v>
      </c>
      <c r="K9">
        <f t="shared" si="3"/>
        <v>0.125</v>
      </c>
      <c r="L9">
        <f t="shared" si="4"/>
        <v>0.11539078564981185</v>
      </c>
      <c r="M9" s="183">
        <f t="shared" si="5"/>
        <v>3.6925051407939793</v>
      </c>
      <c r="N9" s="43">
        <f t="shared" si="6"/>
        <v>28.30749485920602</v>
      </c>
      <c r="O9" s="183">
        <f t="shared" si="7"/>
        <v>-12.070783422179284</v>
      </c>
      <c r="P9" s="43">
        <f t="shared" si="8"/>
        <v>87.5</v>
      </c>
      <c r="Q9">
        <f t="shared" si="9"/>
        <v>-1.1983479895728699</v>
      </c>
      <c r="R9">
        <f t="shared" si="10"/>
        <v>0.19457112816634303</v>
      </c>
      <c r="S9">
        <f t="shared" si="11"/>
        <v>12.025201890937167</v>
      </c>
      <c r="W9" t="s">
        <v>70</v>
      </c>
      <c r="X9" s="322">
        <v>0.05</v>
      </c>
      <c r="AK9" t="e">
        <f ca="1"/>
        <v>#NAME?</v>
      </c>
      <c r="AL9" t="e">
        <f ca="1"/>
        <v>#NAME?</v>
      </c>
      <c r="AM9" t="e">
        <f ca="1"/>
        <v>#NAME?</v>
      </c>
      <c r="AN9" t="e">
        <f t="shared" ca="1" si="14"/>
        <v>#NAME?</v>
      </c>
      <c r="AO9" t="e">
        <f t="shared" ca="1" si="14"/>
        <v>#NAME?</v>
      </c>
      <c r="AP9" t="e">
        <f t="shared" ca="1" si="12"/>
        <v>#NAME?</v>
      </c>
      <c r="AQ9" t="e">
        <f t="shared" ca="1" si="12"/>
        <v>#NAME?</v>
      </c>
      <c r="AR9" t="e">
        <f t="shared" ca="1" si="13"/>
        <v>#NAME?</v>
      </c>
    </row>
    <row r="10" spans="1:44" x14ac:dyDescent="0.25">
      <c r="A10" s="317">
        <v>20</v>
      </c>
      <c r="B10" s="319">
        <v>1</v>
      </c>
      <c r="C10" s="255">
        <v>18</v>
      </c>
      <c r="D10" s="177">
        <v>4</v>
      </c>
      <c r="F10">
        <f t="shared" si="1"/>
        <v>20</v>
      </c>
      <c r="G10">
        <f t="shared" si="0"/>
        <v>1</v>
      </c>
      <c r="H10" s="183">
        <f t="shared" si="0"/>
        <v>18</v>
      </c>
      <c r="I10" s="7">
        <f t="shared" si="0"/>
        <v>4</v>
      </c>
      <c r="J10" s="43">
        <f t="shared" si="2"/>
        <v>22</v>
      </c>
      <c r="K10">
        <f t="shared" si="3"/>
        <v>0.81818181818181823</v>
      </c>
      <c r="L10">
        <f t="shared" si="4"/>
        <v>0.96852733171170524</v>
      </c>
      <c r="M10" s="183">
        <f t="shared" si="5"/>
        <v>21.307601297657516</v>
      </c>
      <c r="N10" s="43">
        <f t="shared" si="6"/>
        <v>0.69239870234248357</v>
      </c>
      <c r="O10" s="183">
        <f t="shared" si="7"/>
        <v>-14.410157498410525</v>
      </c>
      <c r="P10" s="43">
        <f t="shared" si="8"/>
        <v>81.818181818181827</v>
      </c>
      <c r="Q10">
        <f t="shared" si="9"/>
        <v>1.85957741884501</v>
      </c>
      <c r="R10">
        <f t="shared" si="10"/>
        <v>7.0796011009474219E-2</v>
      </c>
      <c r="S10">
        <f t="shared" si="11"/>
        <v>6.0508267910859361</v>
      </c>
      <c r="W10" t="s">
        <v>164</v>
      </c>
      <c r="X10" s="350" t="str">
        <f>IF(X8&lt;X9,"yes","no")</f>
        <v>yes</v>
      </c>
      <c r="AF10" t="s">
        <v>830</v>
      </c>
      <c r="AG10" s="679">
        <v>0.5</v>
      </c>
      <c r="AK10" t="e">
        <f ca="1"/>
        <v>#NAME?</v>
      </c>
      <c r="AL10" t="e">
        <f ca="1"/>
        <v>#NAME?</v>
      </c>
      <c r="AM10" t="e">
        <f ca="1"/>
        <v>#NAME?</v>
      </c>
      <c r="AN10" t="e">
        <f t="shared" ca="1" si="14"/>
        <v>#NAME?</v>
      </c>
      <c r="AO10" t="e">
        <f t="shared" ca="1" si="14"/>
        <v>#NAME?</v>
      </c>
      <c r="AP10" t="e">
        <f t="shared" ca="1" si="12"/>
        <v>#NAME?</v>
      </c>
      <c r="AQ10" t="e">
        <f t="shared" ca="1" si="12"/>
        <v>#NAME?</v>
      </c>
      <c r="AR10" t="e">
        <f t="shared" ca="1" si="13"/>
        <v>#NAME?</v>
      </c>
    </row>
    <row r="11" spans="1:44" x14ac:dyDescent="0.25">
      <c r="A11" s="317">
        <v>21</v>
      </c>
      <c r="B11" s="319">
        <v>1</v>
      </c>
      <c r="C11" s="255">
        <v>75</v>
      </c>
      <c r="D11" s="177">
        <v>9</v>
      </c>
      <c r="F11">
        <f t="shared" si="1"/>
        <v>21</v>
      </c>
      <c r="G11">
        <f t="shared" si="0"/>
        <v>1</v>
      </c>
      <c r="H11" s="183">
        <f t="shared" si="0"/>
        <v>75</v>
      </c>
      <c r="I11" s="7">
        <f t="shared" si="0"/>
        <v>9</v>
      </c>
      <c r="J11" s="43">
        <f t="shared" si="2"/>
        <v>84</v>
      </c>
      <c r="K11">
        <f t="shared" si="3"/>
        <v>0.8928571428571429</v>
      </c>
      <c r="L11">
        <f t="shared" si="4"/>
        <v>0.89246600809817322</v>
      </c>
      <c r="M11" s="183">
        <f t="shared" si="5"/>
        <v>74.967144680246548</v>
      </c>
      <c r="N11" s="43">
        <f t="shared" si="6"/>
        <v>9.0328553197534518</v>
      </c>
      <c r="O11" s="183">
        <f t="shared" si="7"/>
        <v>-28.602048415286578</v>
      </c>
      <c r="P11" s="43">
        <f t="shared" si="8"/>
        <v>89.285714285714292</v>
      </c>
      <c r="Q11">
        <f t="shared" si="9"/>
        <v>1.2397497116650609</v>
      </c>
      <c r="R11">
        <f t="shared" si="10"/>
        <v>0.18499468075525541</v>
      </c>
      <c r="S11">
        <f t="shared" si="11"/>
        <v>29.93706976919767</v>
      </c>
      <c r="AK11" t="e">
        <f ca="1"/>
        <v>#NAME?</v>
      </c>
      <c r="AL11" t="e">
        <f ca="1"/>
        <v>#NAME?</v>
      </c>
      <c r="AM11" t="e">
        <f ca="1"/>
        <v>#NAME?</v>
      </c>
      <c r="AN11" t="e">
        <f t="shared" ca="1" si="14"/>
        <v>#NAME?</v>
      </c>
      <c r="AO11" t="e">
        <f t="shared" ca="1" si="14"/>
        <v>#NAME?</v>
      </c>
      <c r="AP11" t="e">
        <f t="shared" ca="1" si="12"/>
        <v>#NAME?</v>
      </c>
      <c r="AQ11" t="e">
        <f t="shared" ca="1" si="12"/>
        <v>#NAME?</v>
      </c>
      <c r="AR11" t="e">
        <f t="shared" ca="1" si="13"/>
        <v>#NAME?</v>
      </c>
    </row>
    <row r="12" spans="1:44" x14ac:dyDescent="0.25">
      <c r="A12" s="317">
        <v>22</v>
      </c>
      <c r="B12" s="319">
        <v>1</v>
      </c>
      <c r="C12" s="255">
        <v>68</v>
      </c>
      <c r="D12" s="177">
        <v>21</v>
      </c>
      <c r="F12">
        <f t="shared" si="1"/>
        <v>22</v>
      </c>
      <c r="G12">
        <f t="shared" si="0"/>
        <v>1</v>
      </c>
      <c r="H12" s="183">
        <f t="shared" si="0"/>
        <v>68</v>
      </c>
      <c r="I12" s="7">
        <f t="shared" si="0"/>
        <v>21</v>
      </c>
      <c r="J12" s="43">
        <f t="shared" si="2"/>
        <v>89</v>
      </c>
      <c r="K12">
        <f t="shared" si="3"/>
        <v>0.7640449438202247</v>
      </c>
      <c r="L12">
        <f t="shared" si="4"/>
        <v>0.73234543103773708</v>
      </c>
      <c r="M12" s="183">
        <f t="shared" si="5"/>
        <v>65.178743362358603</v>
      </c>
      <c r="N12" s="43">
        <f t="shared" si="6"/>
        <v>23.821256637641397</v>
      </c>
      <c r="O12" s="183">
        <f t="shared" si="7"/>
        <v>-48.861421452595778</v>
      </c>
      <c r="P12" s="43">
        <f t="shared" si="8"/>
        <v>76.404494382022463</v>
      </c>
      <c r="Q12">
        <f t="shared" si="9"/>
        <v>0.6199220044851117</v>
      </c>
      <c r="R12">
        <f t="shared" si="10"/>
        <v>0.32919987857530364</v>
      </c>
      <c r="S12">
        <f t="shared" si="11"/>
        <v>48.445563305892613</v>
      </c>
      <c r="W12" t="s">
        <v>661</v>
      </c>
      <c r="X12" s="671">
        <f>1-X4/X3</f>
        <v>0.22311384007543633</v>
      </c>
      <c r="AK12" t="e">
        <f ca="1"/>
        <v>#NAME?</v>
      </c>
      <c r="AL12" t="e">
        <f ca="1"/>
        <v>#NAME?</v>
      </c>
      <c r="AM12" t="e">
        <f ca="1"/>
        <v>#NAME?</v>
      </c>
      <c r="AN12" t="e">
        <f t="shared" ca="1" si="14"/>
        <v>#NAME?</v>
      </c>
      <c r="AO12" t="e">
        <f t="shared" ca="1" si="14"/>
        <v>#NAME?</v>
      </c>
      <c r="AP12" t="e">
        <f t="shared" ca="1" si="12"/>
        <v>#NAME?</v>
      </c>
      <c r="AQ12" t="e">
        <f t="shared" ca="1" si="12"/>
        <v>#NAME?</v>
      </c>
      <c r="AR12" t="e">
        <f t="shared" ca="1" si="13"/>
        <v>#NAME?</v>
      </c>
    </row>
    <row r="13" spans="1:44" x14ac:dyDescent="0.25">
      <c r="A13" s="317">
        <v>23</v>
      </c>
      <c r="B13" s="319">
        <v>1</v>
      </c>
      <c r="C13" s="255">
        <v>59</v>
      </c>
      <c r="D13" s="177">
        <v>65</v>
      </c>
      <c r="F13">
        <f t="shared" si="1"/>
        <v>23</v>
      </c>
      <c r="G13">
        <f t="shared" si="0"/>
        <v>1</v>
      </c>
      <c r="H13" s="183">
        <f t="shared" si="0"/>
        <v>59</v>
      </c>
      <c r="I13" s="7">
        <f t="shared" si="0"/>
        <v>65</v>
      </c>
      <c r="J13" s="43">
        <f t="shared" si="2"/>
        <v>124</v>
      </c>
      <c r="K13">
        <f t="shared" si="3"/>
        <v>0.47580645161290325</v>
      </c>
      <c r="L13">
        <f t="shared" si="4"/>
        <v>0.50003761918190148</v>
      </c>
      <c r="M13" s="183">
        <f t="shared" si="5"/>
        <v>62.004664778555785</v>
      </c>
      <c r="N13" s="43">
        <f t="shared" si="6"/>
        <v>61.995335221444215</v>
      </c>
      <c r="O13" s="183">
        <f t="shared" si="7"/>
        <v>-85.950702170587206</v>
      </c>
      <c r="P13" s="43">
        <f t="shared" si="8"/>
        <v>47.580645161290327</v>
      </c>
      <c r="Q13">
        <f t="shared" si="9"/>
        <v>9.4297305162527323E-5</v>
      </c>
      <c r="R13">
        <f t="shared" si="10"/>
        <v>0.39894227862773896</v>
      </c>
      <c r="S13">
        <f t="shared" si="11"/>
        <v>78.940975058884504</v>
      </c>
      <c r="W13" t="s">
        <v>662</v>
      </c>
      <c r="X13" s="322">
        <f>1-EXP((-2/J16)*(X4-X3))</f>
        <v>0.25844711221186234</v>
      </c>
      <c r="AK13" t="e">
        <f ca="1"/>
        <v>#NAME?</v>
      </c>
      <c r="AL13" t="e">
        <f ca="1"/>
        <v>#NAME?</v>
      </c>
      <c r="AM13" t="e">
        <f ca="1"/>
        <v>#NAME?</v>
      </c>
      <c r="AN13" t="e">
        <f t="shared" ca="1" si="14"/>
        <v>#NAME?</v>
      </c>
      <c r="AO13" t="e">
        <f t="shared" ca="1" si="14"/>
        <v>#NAME?</v>
      </c>
      <c r="AP13" t="e">
        <f t="shared" ca="1" si="12"/>
        <v>#NAME?</v>
      </c>
      <c r="AQ13" t="e">
        <f t="shared" ca="1" si="12"/>
        <v>#NAME?</v>
      </c>
      <c r="AR13" t="e">
        <f t="shared" ca="1" si="13"/>
        <v>#NAME?</v>
      </c>
    </row>
    <row r="14" spans="1:44" x14ac:dyDescent="0.25">
      <c r="A14" s="317">
        <v>24</v>
      </c>
      <c r="B14" s="319">
        <v>1</v>
      </c>
      <c r="C14" s="255">
        <v>17</v>
      </c>
      <c r="D14" s="177">
        <v>46</v>
      </c>
      <c r="F14">
        <f t="shared" si="1"/>
        <v>24</v>
      </c>
      <c r="G14">
        <f t="shared" si="0"/>
        <v>1</v>
      </c>
      <c r="H14" s="183">
        <f t="shared" si="0"/>
        <v>17</v>
      </c>
      <c r="I14" s="7">
        <f t="shared" si="0"/>
        <v>46</v>
      </c>
      <c r="J14" s="43">
        <f t="shared" si="2"/>
        <v>63</v>
      </c>
      <c r="K14">
        <f t="shared" si="3"/>
        <v>0.26984126984126983</v>
      </c>
      <c r="L14">
        <f t="shared" si="4"/>
        <v>0.26771665791417604</v>
      </c>
      <c r="M14" s="183">
        <f t="shared" si="5"/>
        <v>16.866149448593092</v>
      </c>
      <c r="N14" s="43">
        <f t="shared" si="6"/>
        <v>46.133850551406908</v>
      </c>
      <c r="O14" s="183">
        <f t="shared" si="7"/>
        <v>-36.736080759739586</v>
      </c>
      <c r="P14" s="43">
        <f t="shared" si="8"/>
        <v>73.015873015873012</v>
      </c>
      <c r="Q14">
        <f t="shared" si="9"/>
        <v>-0.61973340987478487</v>
      </c>
      <c r="R14">
        <f t="shared" si="10"/>
        <v>0.32923836302789505</v>
      </c>
      <c r="S14">
        <f t="shared" si="11"/>
        <v>34.870352704038545</v>
      </c>
      <c r="W14" t="s">
        <v>663</v>
      </c>
      <c r="X14" s="349">
        <f>X13/(1-EXP(2*X3/J16))</f>
        <v>0.35010594449181748</v>
      </c>
      <c r="AK14" t="e">
        <f ca="1"/>
        <v>#NAME?</v>
      </c>
      <c r="AL14" t="e">
        <f ca="1"/>
        <v>#NAME?</v>
      </c>
      <c r="AM14" t="e">
        <f ca="1"/>
        <v>#NAME?</v>
      </c>
      <c r="AN14" t="e">
        <f t="shared" ca="1" si="14"/>
        <v>#NAME?</v>
      </c>
      <c r="AO14" t="e">
        <f t="shared" ca="1" si="14"/>
        <v>#NAME?</v>
      </c>
      <c r="AP14" t="e">
        <f t="shared" ca="1" si="12"/>
        <v>#NAME?</v>
      </c>
      <c r="AQ14" t="e">
        <f t="shared" ca="1" si="12"/>
        <v>#NAME?</v>
      </c>
      <c r="AR14" t="e">
        <f t="shared" ca="1" si="13"/>
        <v>#NAME?</v>
      </c>
    </row>
    <row r="15" spans="1:44" x14ac:dyDescent="0.25">
      <c r="A15" s="320">
        <v>25</v>
      </c>
      <c r="B15" s="321">
        <v>1</v>
      </c>
      <c r="C15" s="112">
        <v>7</v>
      </c>
      <c r="D15" s="120">
        <v>22</v>
      </c>
      <c r="F15">
        <f t="shared" si="1"/>
        <v>25</v>
      </c>
      <c r="G15">
        <f t="shared" si="0"/>
        <v>1</v>
      </c>
      <c r="H15" s="351">
        <f t="shared" si="0"/>
        <v>7</v>
      </c>
      <c r="I15" s="352">
        <f t="shared" si="0"/>
        <v>22</v>
      </c>
      <c r="J15" s="43">
        <f t="shared" si="2"/>
        <v>29</v>
      </c>
      <c r="K15">
        <f t="shared" si="3"/>
        <v>0.2413793103448276</v>
      </c>
      <c r="L15">
        <f t="shared" si="4"/>
        <v>0.10756888498036782</v>
      </c>
      <c r="M15" s="183">
        <f t="shared" si="5"/>
        <v>3.1194976644306669</v>
      </c>
      <c r="N15" s="43">
        <f t="shared" si="6"/>
        <v>25.880502335569332</v>
      </c>
      <c r="O15" s="183">
        <f t="shared" si="7"/>
        <v>-18.111097830698625</v>
      </c>
      <c r="P15" s="43">
        <f t="shared" si="8"/>
        <v>75.862068965517238</v>
      </c>
      <c r="Q15">
        <f t="shared" si="9"/>
        <v>-1.239561117054734</v>
      </c>
      <c r="R15">
        <f t="shared" si="10"/>
        <v>0.18503793614886435</v>
      </c>
      <c r="S15">
        <f t="shared" si="11"/>
        <v>12.387332294140055</v>
      </c>
      <c r="AK15" t="e">
        <f ca="1"/>
        <v>#NAME?</v>
      </c>
      <c r="AL15" t="e">
        <f ca="1"/>
        <v>#NAME?</v>
      </c>
      <c r="AM15" t="e">
        <f ca="1"/>
        <v>#NAME?</v>
      </c>
      <c r="AN15" t="e">
        <f t="shared" ca="1" si="14"/>
        <v>#NAME?</v>
      </c>
      <c r="AO15" t="e">
        <f t="shared" ca="1" si="14"/>
        <v>#NAME?</v>
      </c>
      <c r="AP15" t="e">
        <f t="shared" ca="1" si="12"/>
        <v>#NAME?</v>
      </c>
      <c r="AQ15" t="e">
        <f t="shared" ca="1" si="12"/>
        <v>#NAME?</v>
      </c>
      <c r="AR15" t="e">
        <f t="shared" ca="1" si="13"/>
        <v>#NAME?</v>
      </c>
    </row>
    <row r="16" spans="1:44" x14ac:dyDescent="0.25">
      <c r="C16">
        <f>SUM(C4:C15)</f>
        <v>522</v>
      </c>
      <c r="D16">
        <f>SUM(D4:D15)</f>
        <v>338</v>
      </c>
      <c r="F16" s="664"/>
      <c r="G16" s="664"/>
      <c r="H16" s="664">
        <f>SUM(H4:H15)</f>
        <v>522</v>
      </c>
      <c r="I16" s="664">
        <f>SUM(I4:I15)</f>
        <v>338</v>
      </c>
      <c r="J16" s="664">
        <f>SUM(J4:J15)</f>
        <v>860</v>
      </c>
      <c r="K16" s="664"/>
      <c r="L16" s="664"/>
      <c r="M16" s="664">
        <f>SUM(M4:M15)</f>
        <v>522.7817932400053</v>
      </c>
      <c r="N16" s="664">
        <f>SUM(N4:N15)</f>
        <v>337.2182067599947</v>
      </c>
      <c r="O16" s="664">
        <f>SUM(O4:O15)</f>
        <v>-447.69607955173467</v>
      </c>
      <c r="P16" s="664">
        <f>SUMPRODUCT(P4:P15,J4:J15)/J16</f>
        <v>72.093023255813947</v>
      </c>
      <c r="Q16" s="664"/>
      <c r="R16" s="664"/>
      <c r="S16" s="664"/>
      <c r="AK16" s="354" t="e">
        <f ca="1"/>
        <v>#NAME?</v>
      </c>
      <c r="AL16" s="354" t="e">
        <f ca="1"/>
        <v>#NAME?</v>
      </c>
      <c r="AM16" s="354" t="e">
        <f ca="1"/>
        <v>#NAME?</v>
      </c>
      <c r="AN16" s="354" t="e">
        <f t="shared" ca="1" si="14"/>
        <v>#NAME?</v>
      </c>
      <c r="AO16" s="354" t="e">
        <f t="shared" ca="1" si="14"/>
        <v>#NAME?</v>
      </c>
      <c r="AP16" s="354" t="e">
        <f t="shared" ca="1" si="12"/>
        <v>#NAME?</v>
      </c>
      <c r="AQ16" s="354" t="e">
        <f t="shared" ca="1" si="12"/>
        <v>#NAME?</v>
      </c>
      <c r="AR16" s="354" t="e">
        <f t="shared" ca="1" si="13"/>
        <v>#NAME?</v>
      </c>
    </row>
    <row r="17" spans="6:44" ht="15.75" thickBot="1" x14ac:dyDescent="0.3">
      <c r="AR17" t="e">
        <f ca="1">SUM(AR4:AR16)</f>
        <v>#NAME?</v>
      </c>
    </row>
    <row r="18" spans="6:44" ht="15.75" thickTop="1" x14ac:dyDescent="0.25">
      <c r="F18" s="386"/>
      <c r="G18" s="386" t="s">
        <v>755</v>
      </c>
      <c r="H18" s="386" t="s">
        <v>148</v>
      </c>
      <c r="I18" s="386" t="s">
        <v>756</v>
      </c>
      <c r="J18" s="386" t="s">
        <v>48</v>
      </c>
      <c r="K18" s="386" t="s">
        <v>15</v>
      </c>
      <c r="L18" s="386" t="s">
        <v>16</v>
      </c>
    </row>
    <row r="19" spans="6:44" x14ac:dyDescent="0.25">
      <c r="F19" t="s">
        <v>127</v>
      </c>
      <c r="G19">
        <f t="array" ref="G19:G21">U5:U7</f>
        <v>14.297344689925856</v>
      </c>
      <c r="H19" t="e">
        <f t="array" aca="1" ref="H19:H21" ca="1">SQRT(DIAG(Z4:AB6))</f>
        <v>#NAME?</v>
      </c>
      <c r="I19" t="e">
        <f ca="1">(G19/H19)^2</f>
        <v>#NAME?</v>
      </c>
      <c r="J19" t="e">
        <f ca="1">CHIDIST(I19,1)</f>
        <v>#NAME?</v>
      </c>
      <c r="K19" t="e">
        <f ca="1">G19-H19*NORMSINV(1-$X$9/2)</f>
        <v>#NAME?</v>
      </c>
      <c r="L19" t="e">
        <f ca="1">G19+H19*NORMSINV(1-$X$9/2)</f>
        <v>#NAME?</v>
      </c>
    </row>
    <row r="20" spans="6:44" x14ac:dyDescent="0.25">
      <c r="F20" t="str">
        <f t="array" ref="F20:F21">TRANSPOSE(F3:G3)</f>
        <v>Temp</v>
      </c>
      <c r="G20">
        <v>-0.61982770717994906</v>
      </c>
      <c r="H20" t="e">
        <f ca="1"/>
        <v>#NAME?</v>
      </c>
      <c r="I20" t="e">
        <f ca="1">(G20/H20)^2</f>
        <v>#NAME?</v>
      </c>
      <c r="J20" t="e">
        <f ca="1">CHIDIST(I20,1)</f>
        <v>#NAME?</v>
      </c>
      <c r="K20" t="e">
        <f ca="1">G20-H20*NORMSINV(1-$X$9/2)</f>
        <v>#NAME?</v>
      </c>
      <c r="L20" t="e">
        <f ca="1">G20+H20*NORMSINV(1-$X$9/2)</f>
        <v>#NAME?</v>
      </c>
    </row>
    <row r="21" spans="6:44" x14ac:dyDescent="0.25">
      <c r="F21" s="354" t="str">
        <v>Water</v>
      </c>
      <c r="G21" s="354">
        <v>-4.1213127481863371E-2</v>
      </c>
      <c r="H21" s="354" t="e">
        <f ca="1"/>
        <v>#NAME?</v>
      </c>
      <c r="I21" s="354" t="e">
        <f ca="1">(G21/H21)^2</f>
        <v>#NAME?</v>
      </c>
      <c r="J21" s="354" t="e">
        <f ca="1">CHIDIST(I21,1)</f>
        <v>#NAME?</v>
      </c>
      <c r="K21" s="354" t="e">
        <f ca="1">G21-H21*NORMSINV(1-$X$9/2)</f>
        <v>#NAME?</v>
      </c>
      <c r="L21" s="354" t="e">
        <f ca="1">G21+H21*NORMSINV(1-$X$9/2)</f>
        <v>#NAME?</v>
      </c>
    </row>
    <row r="23" spans="6:44" x14ac:dyDescent="0.25">
      <c r="F23" s="294" t="s">
        <v>656</v>
      </c>
      <c r="G23" s="294" t="s">
        <v>657</v>
      </c>
      <c r="H23" s="294" t="s">
        <v>882</v>
      </c>
    </row>
    <row r="24" spans="6:44" x14ac:dyDescent="0.25">
      <c r="F24" s="701">
        <v>20</v>
      </c>
      <c r="G24" s="702">
        <v>0</v>
      </c>
      <c r="H24" s="704" t="e">
        <f t="array" aca="1" ref="H24:H26" ca="1">ProbitPredC(F24:G26,G19:G21)</f>
        <v>#NAME?</v>
      </c>
    </row>
    <row r="25" spans="6:44" x14ac:dyDescent="0.25">
      <c r="F25" s="317">
        <v>21</v>
      </c>
      <c r="G25" s="318">
        <v>1</v>
      </c>
      <c r="H25" s="177" t="e">
        <f ca="1"/>
        <v>#NAME?</v>
      </c>
    </row>
    <row r="26" spans="6:44" x14ac:dyDescent="0.25">
      <c r="F26" s="320">
        <v>21.5</v>
      </c>
      <c r="G26" s="472">
        <v>0</v>
      </c>
      <c r="H26" s="179" t="e">
        <f ca="1"/>
        <v>#NAME?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AR30"/>
  <sheetViews>
    <sheetView workbookViewId="0"/>
  </sheetViews>
  <sheetFormatPr defaultRowHeight="15" x14ac:dyDescent="0.25"/>
  <sheetData>
    <row r="1" spans="1:44" x14ac:dyDescent="0.25">
      <c r="A1" t="s">
        <v>1481</v>
      </c>
      <c r="F1" t="s">
        <v>1479</v>
      </c>
      <c r="AF1" t="s">
        <v>827</v>
      </c>
      <c r="AK1" t="s">
        <v>831</v>
      </c>
    </row>
    <row r="2" spans="1:44" ht="15.75" thickBot="1" x14ac:dyDescent="0.3"/>
    <row r="3" spans="1:44" ht="15.75" thickTop="1" x14ac:dyDescent="0.25">
      <c r="A3" s="294" t="s">
        <v>656</v>
      </c>
      <c r="B3" s="294" t="s">
        <v>657</v>
      </c>
      <c r="C3" s="294" t="s">
        <v>94</v>
      </c>
      <c r="D3" s="294" t="s">
        <v>72</v>
      </c>
      <c r="F3" s="386" t="str">
        <f>A3</f>
        <v>Temp</v>
      </c>
      <c r="G3" s="386" t="str">
        <f t="shared" ref="G3:I15" si="0">B3</f>
        <v>Water</v>
      </c>
      <c r="H3" s="386" t="str">
        <f t="shared" si="0"/>
        <v>Male</v>
      </c>
      <c r="I3" s="386" t="str">
        <f t="shared" si="0"/>
        <v>Female</v>
      </c>
      <c r="J3" s="386" t="s">
        <v>1</v>
      </c>
      <c r="K3" s="386" t="s">
        <v>658</v>
      </c>
      <c r="L3" s="386" t="s">
        <v>659</v>
      </c>
      <c r="M3" s="386" t="s">
        <v>825</v>
      </c>
      <c r="N3" s="386" t="s">
        <v>826</v>
      </c>
      <c r="O3" s="386" t="s">
        <v>626</v>
      </c>
      <c r="P3" s="386" t="s">
        <v>753</v>
      </c>
      <c r="Q3" s="386" t="s">
        <v>117</v>
      </c>
      <c r="R3" s="386" t="s">
        <v>1480</v>
      </c>
      <c r="S3" s="386" t="s">
        <v>437</v>
      </c>
      <c r="U3" t="s">
        <v>660</v>
      </c>
      <c r="W3" t="s">
        <v>625</v>
      </c>
      <c r="X3" s="671">
        <f>H16*LN(H16/J16)+I16*LN(I16/J16)</f>
        <v>-576.26986120489823</v>
      </c>
      <c r="Z3" t="s">
        <v>754</v>
      </c>
      <c r="AD3" t="s">
        <v>837</v>
      </c>
      <c r="AG3" s="700" t="s">
        <v>828</v>
      </c>
      <c r="AH3" s="700" t="s">
        <v>829</v>
      </c>
      <c r="AK3" s="386" t="s">
        <v>659</v>
      </c>
      <c r="AL3" s="386" t="s">
        <v>816</v>
      </c>
      <c r="AM3" s="386" t="s">
        <v>815</v>
      </c>
      <c r="AN3" s="386" t="s">
        <v>832</v>
      </c>
      <c r="AO3" s="386" t="s">
        <v>833</v>
      </c>
      <c r="AP3" s="386" t="s">
        <v>834</v>
      </c>
      <c r="AQ3" s="386" t="s">
        <v>835</v>
      </c>
      <c r="AR3" s="386" t="s">
        <v>836</v>
      </c>
    </row>
    <row r="4" spans="1:44" x14ac:dyDescent="0.25">
      <c r="A4" s="701">
        <v>20</v>
      </c>
      <c r="B4" s="702">
        <v>0</v>
      </c>
      <c r="C4" s="703">
        <v>21</v>
      </c>
      <c r="D4" s="704">
        <v>0</v>
      </c>
      <c r="F4">
        <f t="shared" ref="F4:F15" si="1">A4</f>
        <v>20</v>
      </c>
      <c r="G4">
        <f t="shared" si="0"/>
        <v>0</v>
      </c>
      <c r="H4" s="183">
        <f t="shared" si="0"/>
        <v>21</v>
      </c>
      <c r="I4" s="7">
        <f t="shared" si="0"/>
        <v>0</v>
      </c>
      <c r="J4" s="43">
        <f>H4+I4</f>
        <v>21</v>
      </c>
      <c r="K4">
        <f>IF(J4=0,"",H4/J4)</f>
        <v>1</v>
      </c>
      <c r="L4" t="e">
        <f ca="1">NORMSDIST(Q4)</f>
        <v>#NAME?</v>
      </c>
      <c r="M4" s="648" t="e">
        <f ca="1">J4*L4</f>
        <v>#NAME?</v>
      </c>
      <c r="N4" s="650" t="e">
        <f ca="1">J4-M4</f>
        <v>#NAME?</v>
      </c>
      <c r="O4" s="648" t="e">
        <f ca="1">J4*(K4*LN(L4)+(1-K4)*LN(1-L4))</f>
        <v>#NAME?</v>
      </c>
      <c r="P4" s="650" t="e">
        <f ca="1">100*IF(L4&gt;=$AG$10,H4/J4,I4/J4)</f>
        <v>#NAME?</v>
      </c>
      <c r="Q4" t="e">
        <f ca="1">$U$5+MMULT(F4:G4,$U$6:$U$7)</f>
        <v>#NAME?</v>
      </c>
      <c r="R4" t="e">
        <f ca="1">NORMDIST(Q4,0,1,FALSE)</f>
        <v>#NAME?</v>
      </c>
      <c r="S4" t="e">
        <f ca="1">(H4*(Q4*R4/L4+(R4/L4)^2)-I4*(Q4*R4/(1-L4)-(R4/(1-L4))^2))</f>
        <v>#NAME?</v>
      </c>
      <c r="W4" t="s">
        <v>653</v>
      </c>
      <c r="X4" s="349" t="e">
        <f ca="1">O16</f>
        <v>#NAME?</v>
      </c>
      <c r="Z4" s="648" t="e">
        <f t="array" aca="1" ref="Z4:AB6" ca="1">MINVERSE(MMULT(TRANSPOSE(DESIGN(F4:G15)),S4:S15*DESIGN(F4:G15)))</f>
        <v>#NAME?</v>
      </c>
      <c r="AA4" s="649" t="e">
        <f ca="1"/>
        <v>#NAME?</v>
      </c>
      <c r="AB4" s="650" t="e">
        <f ca="1"/>
        <v>#NAME?</v>
      </c>
      <c r="AD4" s="671" t="e">
        <f t="array" aca="1" ref="AD4:AD6" ca="1">MMULT(Z4:AB6,MMULT(TRANSPOSE(DESIGN(F4:G15)),J4:J15*(K4:K15-L4:L15)))</f>
        <v>#NAME?</v>
      </c>
      <c r="AF4" t="s">
        <v>825</v>
      </c>
      <c r="AG4" s="648">
        <f ca="1">SUMIF(L4:L15,"&gt;="&amp;AG10,H4:H15)</f>
        <v>0</v>
      </c>
      <c r="AH4" s="650">
        <f ca="1">SUMIF(L4:L15,"&gt;="&amp;AG10,I4:I15)</f>
        <v>0</v>
      </c>
      <c r="AI4">
        <f ca="1">AG4+AH4</f>
        <v>0</v>
      </c>
      <c r="AN4">
        <v>0</v>
      </c>
      <c r="AO4">
        <v>0</v>
      </c>
      <c r="AP4" t="e">
        <f ca="1">1-AN4/AN$16</f>
        <v>#NAME?</v>
      </c>
      <c r="AQ4" t="e">
        <f ca="1">1-AO4/AO$16</f>
        <v>#NAME?</v>
      </c>
      <c r="AR4" t="e">
        <f ca="1">(AP4-AP5)*AQ4</f>
        <v>#NAME?</v>
      </c>
    </row>
    <row r="5" spans="1:44" x14ac:dyDescent="0.25">
      <c r="A5" s="317">
        <v>21</v>
      </c>
      <c r="B5" s="318">
        <v>0</v>
      </c>
      <c r="C5" s="255">
        <v>90</v>
      </c>
      <c r="D5" s="177">
        <v>6</v>
      </c>
      <c r="F5">
        <f t="shared" si="1"/>
        <v>21</v>
      </c>
      <c r="G5">
        <f t="shared" si="0"/>
        <v>0</v>
      </c>
      <c r="H5" s="183">
        <f t="shared" si="0"/>
        <v>90</v>
      </c>
      <c r="I5" s="7">
        <f t="shared" si="0"/>
        <v>6</v>
      </c>
      <c r="J5" s="43">
        <f t="shared" ref="J5:J15" si="2">H5+I5</f>
        <v>96</v>
      </c>
      <c r="K5">
        <f t="shared" ref="K5:K15" si="3">IF(J5=0,"",H5/J5)</f>
        <v>0.9375</v>
      </c>
      <c r="L5" t="e">
        <f t="shared" ref="L5:L15" ca="1" si="4">NORMSDIST(Q5)</f>
        <v>#NAME?</v>
      </c>
      <c r="M5" s="183" t="e">
        <f t="shared" ref="M5:M15" ca="1" si="5">J5*L5</f>
        <v>#NAME?</v>
      </c>
      <c r="N5" s="43" t="e">
        <f t="shared" ref="N5:N15" ca="1" si="6">J5-M5</f>
        <v>#NAME?</v>
      </c>
      <c r="O5" s="183" t="e">
        <f t="shared" ref="O5:O15" ca="1" si="7">J5*(K5*LN(L5)+(1-K5)*LN(1-L5))</f>
        <v>#NAME?</v>
      </c>
      <c r="P5" s="43" t="e">
        <f t="shared" ref="P5:P15" ca="1" si="8">100*IF(L5&gt;=$AG$10,H5/J5,I5/J5)</f>
        <v>#NAME?</v>
      </c>
      <c r="Q5" t="e">
        <f t="shared" ref="Q5:Q15" ca="1" si="9">$U$5+MMULT(F5:G5,$U$6:$U$7)</f>
        <v>#NAME?</v>
      </c>
      <c r="R5" t="e">
        <f t="shared" ref="R5:R15" ca="1" si="10">NORMDIST(Q5,0,1,FALSE)</f>
        <v>#NAME?</v>
      </c>
      <c r="S5" t="e">
        <f t="shared" ref="S5:S15" ca="1" si="11">(H5*(Q5*R5/L5+(R5/L5)^2)-I5*(Q5*R5/(1-L5)-(R5/(1-L5))^2))</f>
        <v>#NAME?</v>
      </c>
      <c r="U5" s="671" t="e">
        <f t="array" aca="1" ref="U5:U7" ca="1">ProbitCoeff(F4:I15,,,,,20)</f>
        <v>#NAME?</v>
      </c>
      <c r="Z5" s="183" t="e">
        <f ca="1"/>
        <v>#NAME?</v>
      </c>
      <c r="AA5" s="7" t="e">
        <f ca="1"/>
        <v>#NAME?</v>
      </c>
      <c r="AB5" s="43" t="e">
        <f ca="1"/>
        <v>#NAME?</v>
      </c>
      <c r="AD5" s="322" t="e">
        <f ca="1"/>
        <v>#NAME?</v>
      </c>
      <c r="AF5" t="s">
        <v>826</v>
      </c>
      <c r="AG5" s="351">
        <f ca="1">AG6-AG4</f>
        <v>522</v>
      </c>
      <c r="AH5" s="353">
        <f ca="1">AH6-AH4</f>
        <v>338</v>
      </c>
      <c r="AI5">
        <f ca="1">AG5+AH5</f>
        <v>860</v>
      </c>
      <c r="AK5" t="e">
        <f t="array" aca="1" ref="AK5:AM16" ca="1">SelectCols(H4:L15,"5,2,1",1)</f>
        <v>#NAME?</v>
      </c>
      <c r="AL5" t="e">
        <f ca="1"/>
        <v>#NAME?</v>
      </c>
      <c r="AM5" t="e">
        <f ca="1"/>
        <v>#NAME?</v>
      </c>
      <c r="AN5" t="e">
        <f ca="1">AN4+AL5</f>
        <v>#NAME?</v>
      </c>
      <c r="AO5" t="e">
        <f ca="1">AO4+AM5</f>
        <v>#NAME?</v>
      </c>
      <c r="AP5" t="e">
        <f t="shared" ref="AP5:AQ16" ca="1" si="12">1-AN5/AN$16</f>
        <v>#NAME?</v>
      </c>
      <c r="AQ5" t="e">
        <f t="shared" ca="1" si="12"/>
        <v>#NAME?</v>
      </c>
      <c r="AR5" t="e">
        <f t="shared" ref="AR5:AR16" ca="1" si="13">(AP5-AP6)*AQ5</f>
        <v>#NAME?</v>
      </c>
    </row>
    <row r="6" spans="1:44" x14ac:dyDescent="0.25">
      <c r="A6" s="317">
        <v>22</v>
      </c>
      <c r="B6" s="318">
        <v>0</v>
      </c>
      <c r="C6" s="255">
        <v>91</v>
      </c>
      <c r="D6" s="177">
        <v>23</v>
      </c>
      <c r="F6">
        <f t="shared" si="1"/>
        <v>22</v>
      </c>
      <c r="G6">
        <f t="shared" si="0"/>
        <v>0</v>
      </c>
      <c r="H6" s="183">
        <f t="shared" si="0"/>
        <v>91</v>
      </c>
      <c r="I6" s="7">
        <f t="shared" si="0"/>
        <v>23</v>
      </c>
      <c r="J6" s="43">
        <f t="shared" si="2"/>
        <v>114</v>
      </c>
      <c r="K6">
        <f t="shared" si="3"/>
        <v>0.79824561403508776</v>
      </c>
      <c r="L6" t="e">
        <f t="shared" ca="1" si="4"/>
        <v>#NAME?</v>
      </c>
      <c r="M6" s="183" t="e">
        <f t="shared" ca="1" si="5"/>
        <v>#NAME?</v>
      </c>
      <c r="N6" s="43" t="e">
        <f t="shared" ca="1" si="6"/>
        <v>#NAME?</v>
      </c>
      <c r="O6" s="183" t="e">
        <f t="shared" ca="1" si="7"/>
        <v>#NAME?</v>
      </c>
      <c r="P6" s="43" t="e">
        <f t="shared" ca="1" si="8"/>
        <v>#NAME?</v>
      </c>
      <c r="Q6" t="e">
        <f t="shared" ca="1" si="9"/>
        <v>#NAME?</v>
      </c>
      <c r="R6" t="e">
        <f t="shared" ca="1" si="10"/>
        <v>#NAME?</v>
      </c>
      <c r="S6" t="e">
        <f t="shared" ca="1" si="11"/>
        <v>#NAME?</v>
      </c>
      <c r="U6" s="322" t="e">
        <f ca="1"/>
        <v>#NAME?</v>
      </c>
      <c r="W6" t="s">
        <v>664</v>
      </c>
      <c r="X6" s="671" t="e">
        <f ca="1">2*(X4-X3)</f>
        <v>#NAME?</v>
      </c>
      <c r="Z6" s="351" t="e">
        <f ca="1"/>
        <v>#NAME?</v>
      </c>
      <c r="AA6" s="352" t="e">
        <f ca="1"/>
        <v>#NAME?</v>
      </c>
      <c r="AB6" s="353" t="e">
        <f ca="1"/>
        <v>#NAME?</v>
      </c>
      <c r="AD6" s="349" t="e">
        <f ca="1"/>
        <v>#NAME?</v>
      </c>
      <c r="AG6">
        <f>H16</f>
        <v>522</v>
      </c>
      <c r="AH6">
        <f>I16</f>
        <v>338</v>
      </c>
      <c r="AI6">
        <f>AG6+AH6</f>
        <v>860</v>
      </c>
      <c r="AK6" t="e">
        <f ca="1"/>
        <v>#NAME?</v>
      </c>
      <c r="AL6" t="e">
        <f ca="1"/>
        <v>#NAME?</v>
      </c>
      <c r="AM6" t="e">
        <f ca="1"/>
        <v>#NAME?</v>
      </c>
      <c r="AN6" t="e">
        <f t="shared" ref="AN6:AO16" ca="1" si="14">AN5+AL6</f>
        <v>#NAME?</v>
      </c>
      <c r="AO6" t="e">
        <f t="shared" ca="1" si="14"/>
        <v>#NAME?</v>
      </c>
      <c r="AP6" t="e">
        <f t="shared" ca="1" si="12"/>
        <v>#NAME?</v>
      </c>
      <c r="AQ6" t="e">
        <f t="shared" ca="1" si="12"/>
        <v>#NAME?</v>
      </c>
      <c r="AR6" t="e">
        <f t="shared" ca="1" si="13"/>
        <v>#NAME?</v>
      </c>
    </row>
    <row r="7" spans="1:44" x14ac:dyDescent="0.25">
      <c r="A7" s="317">
        <v>23</v>
      </c>
      <c r="B7" s="319">
        <v>0</v>
      </c>
      <c r="C7" s="255">
        <v>61</v>
      </c>
      <c r="D7" s="177">
        <v>73</v>
      </c>
      <c r="F7">
        <f t="shared" si="1"/>
        <v>23</v>
      </c>
      <c r="G7">
        <f t="shared" si="0"/>
        <v>0</v>
      </c>
      <c r="H7" s="183">
        <f t="shared" si="0"/>
        <v>61</v>
      </c>
      <c r="I7" s="7">
        <f t="shared" si="0"/>
        <v>73</v>
      </c>
      <c r="J7" s="43">
        <f t="shared" si="2"/>
        <v>134</v>
      </c>
      <c r="K7">
        <f t="shared" si="3"/>
        <v>0.45522388059701491</v>
      </c>
      <c r="L7" t="e">
        <f t="shared" ca="1" si="4"/>
        <v>#NAME?</v>
      </c>
      <c r="M7" s="183" t="e">
        <f t="shared" ca="1" si="5"/>
        <v>#NAME?</v>
      </c>
      <c r="N7" s="43" t="e">
        <f t="shared" ca="1" si="6"/>
        <v>#NAME?</v>
      </c>
      <c r="O7" s="183" t="e">
        <f t="shared" ca="1" si="7"/>
        <v>#NAME?</v>
      </c>
      <c r="P7" s="43" t="e">
        <f t="shared" ca="1" si="8"/>
        <v>#NAME?</v>
      </c>
      <c r="Q7" t="e">
        <f t="shared" ca="1" si="9"/>
        <v>#NAME?</v>
      </c>
      <c r="R7" t="e">
        <f t="shared" ca="1" si="10"/>
        <v>#NAME?</v>
      </c>
      <c r="S7" t="e">
        <f t="shared" ca="1" si="11"/>
        <v>#NAME?</v>
      </c>
      <c r="U7" s="349" t="e">
        <f ca="1"/>
        <v>#NAME?</v>
      </c>
      <c r="W7" t="s">
        <v>41</v>
      </c>
      <c r="X7" s="322">
        <f>COUNT(F4:G4)</f>
        <v>2</v>
      </c>
      <c r="AK7" t="e">
        <f ca="1"/>
        <v>#NAME?</v>
      </c>
      <c r="AL7" t="e">
        <f ca="1"/>
        <v>#NAME?</v>
      </c>
      <c r="AM7" t="e">
        <f ca="1"/>
        <v>#NAME?</v>
      </c>
      <c r="AN7" t="e">
        <f t="shared" ca="1" si="14"/>
        <v>#NAME?</v>
      </c>
      <c r="AO7" t="e">
        <f t="shared" ca="1" si="14"/>
        <v>#NAME?</v>
      </c>
      <c r="AP7" t="e">
        <f t="shared" ca="1" si="12"/>
        <v>#NAME?</v>
      </c>
      <c r="AQ7" t="e">
        <f t="shared" ca="1" si="12"/>
        <v>#NAME?</v>
      </c>
      <c r="AR7" t="e">
        <f t="shared" ca="1" si="13"/>
        <v>#NAME?</v>
      </c>
    </row>
    <row r="8" spans="1:44" x14ac:dyDescent="0.25">
      <c r="A8" s="317">
        <v>24</v>
      </c>
      <c r="B8" s="319">
        <v>0</v>
      </c>
      <c r="C8" s="255">
        <v>11</v>
      </c>
      <c r="D8" s="177">
        <v>41</v>
      </c>
      <c r="F8">
        <f t="shared" si="1"/>
        <v>24</v>
      </c>
      <c r="G8">
        <f t="shared" si="0"/>
        <v>0</v>
      </c>
      <c r="H8" s="183">
        <f t="shared" si="0"/>
        <v>11</v>
      </c>
      <c r="I8" s="7">
        <f t="shared" si="0"/>
        <v>41</v>
      </c>
      <c r="J8" s="43">
        <f t="shared" si="2"/>
        <v>52</v>
      </c>
      <c r="K8">
        <f t="shared" si="3"/>
        <v>0.21153846153846154</v>
      </c>
      <c r="L8" t="e">
        <f t="shared" ca="1" si="4"/>
        <v>#NAME?</v>
      </c>
      <c r="M8" s="183" t="e">
        <f t="shared" ca="1" si="5"/>
        <v>#NAME?</v>
      </c>
      <c r="N8" s="43" t="e">
        <f t="shared" ca="1" si="6"/>
        <v>#NAME?</v>
      </c>
      <c r="O8" s="183" t="e">
        <f t="shared" ca="1" si="7"/>
        <v>#NAME?</v>
      </c>
      <c r="P8" s="43" t="e">
        <f t="shared" ca="1" si="8"/>
        <v>#NAME?</v>
      </c>
      <c r="Q8" t="e">
        <f t="shared" ca="1" si="9"/>
        <v>#NAME?</v>
      </c>
      <c r="R8" t="e">
        <f t="shared" ca="1" si="10"/>
        <v>#NAME?</v>
      </c>
      <c r="S8" t="e">
        <f t="shared" ca="1" si="11"/>
        <v>#NAME?</v>
      </c>
      <c r="W8" t="s">
        <v>48</v>
      </c>
      <c r="X8" s="322" t="e">
        <f ca="1">CHIDIST(X6,X7)</f>
        <v>#NAME?</v>
      </c>
      <c r="AF8" t="s">
        <v>853</v>
      </c>
      <c r="AG8" s="705">
        <f ca="1">AG4/AG6</f>
        <v>0</v>
      </c>
      <c r="AH8" s="706">
        <f ca="1">AH5/AH6</f>
        <v>1</v>
      </c>
      <c r="AI8">
        <f ca="1">(AG4+AH5)/AI6</f>
        <v>0.39302325581395348</v>
      </c>
      <c r="AK8" t="e">
        <f ca="1"/>
        <v>#NAME?</v>
      </c>
      <c r="AL8" t="e">
        <f ca="1"/>
        <v>#NAME?</v>
      </c>
      <c r="AM8" t="e">
        <f ca="1"/>
        <v>#NAME?</v>
      </c>
      <c r="AN8" t="e">
        <f t="shared" ca="1" si="14"/>
        <v>#NAME?</v>
      </c>
      <c r="AO8" t="e">
        <f t="shared" ca="1" si="14"/>
        <v>#NAME?</v>
      </c>
      <c r="AP8" t="e">
        <f t="shared" ca="1" si="12"/>
        <v>#NAME?</v>
      </c>
      <c r="AQ8" t="e">
        <f t="shared" ca="1" si="12"/>
        <v>#NAME?</v>
      </c>
      <c r="AR8" t="e">
        <f t="shared" ca="1" si="13"/>
        <v>#NAME?</v>
      </c>
    </row>
    <row r="9" spans="1:44" x14ac:dyDescent="0.25">
      <c r="A9" s="317">
        <v>25</v>
      </c>
      <c r="B9" s="319">
        <v>0</v>
      </c>
      <c r="C9" s="214">
        <v>4</v>
      </c>
      <c r="D9" s="215">
        <v>28</v>
      </c>
      <c r="F9">
        <f t="shared" si="1"/>
        <v>25</v>
      </c>
      <c r="G9">
        <f t="shared" si="0"/>
        <v>0</v>
      </c>
      <c r="H9" s="183">
        <f t="shared" si="0"/>
        <v>4</v>
      </c>
      <c r="I9" s="7">
        <f t="shared" si="0"/>
        <v>28</v>
      </c>
      <c r="J9" s="43">
        <f t="shared" si="2"/>
        <v>32</v>
      </c>
      <c r="K9">
        <f t="shared" si="3"/>
        <v>0.125</v>
      </c>
      <c r="L9" t="e">
        <f t="shared" ca="1" si="4"/>
        <v>#NAME?</v>
      </c>
      <c r="M9" s="183" t="e">
        <f t="shared" ca="1" si="5"/>
        <v>#NAME?</v>
      </c>
      <c r="N9" s="43" t="e">
        <f t="shared" ca="1" si="6"/>
        <v>#NAME?</v>
      </c>
      <c r="O9" s="183" t="e">
        <f t="shared" ca="1" si="7"/>
        <v>#NAME?</v>
      </c>
      <c r="P9" s="43" t="e">
        <f t="shared" ca="1" si="8"/>
        <v>#NAME?</v>
      </c>
      <c r="Q9" t="e">
        <f t="shared" ca="1" si="9"/>
        <v>#NAME?</v>
      </c>
      <c r="R9" t="e">
        <f t="shared" ca="1" si="10"/>
        <v>#NAME?</v>
      </c>
      <c r="S9" t="e">
        <f t="shared" ca="1" si="11"/>
        <v>#NAME?</v>
      </c>
      <c r="W9" t="s">
        <v>70</v>
      </c>
      <c r="X9" s="322">
        <v>0.05</v>
      </c>
      <c r="AK9" t="e">
        <f ca="1"/>
        <v>#NAME?</v>
      </c>
      <c r="AL9" t="e">
        <f ca="1"/>
        <v>#NAME?</v>
      </c>
      <c r="AM9" t="e">
        <f ca="1"/>
        <v>#NAME?</v>
      </c>
      <c r="AN9" t="e">
        <f t="shared" ca="1" si="14"/>
        <v>#NAME?</v>
      </c>
      <c r="AO9" t="e">
        <f t="shared" ca="1" si="14"/>
        <v>#NAME?</v>
      </c>
      <c r="AP9" t="e">
        <f t="shared" ca="1" si="12"/>
        <v>#NAME?</v>
      </c>
      <c r="AQ9" t="e">
        <f t="shared" ca="1" si="12"/>
        <v>#NAME?</v>
      </c>
      <c r="AR9" t="e">
        <f t="shared" ca="1" si="13"/>
        <v>#NAME?</v>
      </c>
    </row>
    <row r="10" spans="1:44" x14ac:dyDescent="0.25">
      <c r="A10" s="317">
        <v>20</v>
      </c>
      <c r="B10" s="319">
        <v>1</v>
      </c>
      <c r="C10" s="255">
        <v>18</v>
      </c>
      <c r="D10" s="177">
        <v>4</v>
      </c>
      <c r="F10">
        <f t="shared" si="1"/>
        <v>20</v>
      </c>
      <c r="G10">
        <f t="shared" si="0"/>
        <v>1</v>
      </c>
      <c r="H10" s="183">
        <f t="shared" si="0"/>
        <v>18</v>
      </c>
      <c r="I10" s="7">
        <f t="shared" si="0"/>
        <v>4</v>
      </c>
      <c r="J10" s="43">
        <f t="shared" si="2"/>
        <v>22</v>
      </c>
      <c r="K10">
        <f t="shared" si="3"/>
        <v>0.81818181818181823</v>
      </c>
      <c r="L10" t="e">
        <f t="shared" ca="1" si="4"/>
        <v>#NAME?</v>
      </c>
      <c r="M10" s="183" t="e">
        <f t="shared" ca="1" si="5"/>
        <v>#NAME?</v>
      </c>
      <c r="N10" s="43" t="e">
        <f t="shared" ca="1" si="6"/>
        <v>#NAME?</v>
      </c>
      <c r="O10" s="183" t="e">
        <f t="shared" ca="1" si="7"/>
        <v>#NAME?</v>
      </c>
      <c r="P10" s="43" t="e">
        <f t="shared" ca="1" si="8"/>
        <v>#NAME?</v>
      </c>
      <c r="Q10" t="e">
        <f t="shared" ca="1" si="9"/>
        <v>#NAME?</v>
      </c>
      <c r="R10" t="e">
        <f t="shared" ca="1" si="10"/>
        <v>#NAME?</v>
      </c>
      <c r="S10" t="e">
        <f t="shared" ca="1" si="11"/>
        <v>#NAME?</v>
      </c>
      <c r="W10" t="s">
        <v>164</v>
      </c>
      <c r="X10" s="350" t="e">
        <f ca="1">IF(X8&lt;X9,"yes","no")</f>
        <v>#NAME?</v>
      </c>
      <c r="AF10" t="s">
        <v>830</v>
      </c>
      <c r="AG10" s="679">
        <v>0.5</v>
      </c>
      <c r="AK10" t="e">
        <f ca="1"/>
        <v>#NAME?</v>
      </c>
      <c r="AL10" t="e">
        <f ca="1"/>
        <v>#NAME?</v>
      </c>
      <c r="AM10" t="e">
        <f ca="1"/>
        <v>#NAME?</v>
      </c>
      <c r="AN10" t="e">
        <f t="shared" ca="1" si="14"/>
        <v>#NAME?</v>
      </c>
      <c r="AO10" t="e">
        <f t="shared" ca="1" si="14"/>
        <v>#NAME?</v>
      </c>
      <c r="AP10" t="e">
        <f t="shared" ca="1" si="12"/>
        <v>#NAME?</v>
      </c>
      <c r="AQ10" t="e">
        <f t="shared" ca="1" si="12"/>
        <v>#NAME?</v>
      </c>
      <c r="AR10" t="e">
        <f t="shared" ca="1" si="13"/>
        <v>#NAME?</v>
      </c>
    </row>
    <row r="11" spans="1:44" x14ac:dyDescent="0.25">
      <c r="A11" s="317">
        <v>21</v>
      </c>
      <c r="B11" s="319">
        <v>1</v>
      </c>
      <c r="C11" s="255">
        <v>75</v>
      </c>
      <c r="D11" s="177">
        <v>9</v>
      </c>
      <c r="F11">
        <f t="shared" si="1"/>
        <v>21</v>
      </c>
      <c r="G11">
        <f t="shared" si="0"/>
        <v>1</v>
      </c>
      <c r="H11" s="183">
        <f t="shared" si="0"/>
        <v>75</v>
      </c>
      <c r="I11" s="7">
        <f t="shared" si="0"/>
        <v>9</v>
      </c>
      <c r="J11" s="43">
        <f t="shared" si="2"/>
        <v>84</v>
      </c>
      <c r="K11">
        <f t="shared" si="3"/>
        <v>0.8928571428571429</v>
      </c>
      <c r="L11" t="e">
        <f t="shared" ca="1" si="4"/>
        <v>#NAME?</v>
      </c>
      <c r="M11" s="183" t="e">
        <f t="shared" ca="1" si="5"/>
        <v>#NAME?</v>
      </c>
      <c r="N11" s="43" t="e">
        <f t="shared" ca="1" si="6"/>
        <v>#NAME?</v>
      </c>
      <c r="O11" s="183" t="e">
        <f t="shared" ca="1" si="7"/>
        <v>#NAME?</v>
      </c>
      <c r="P11" s="43" t="e">
        <f t="shared" ca="1" si="8"/>
        <v>#NAME?</v>
      </c>
      <c r="Q11" t="e">
        <f t="shared" ca="1" si="9"/>
        <v>#NAME?</v>
      </c>
      <c r="R11" t="e">
        <f t="shared" ca="1" si="10"/>
        <v>#NAME?</v>
      </c>
      <c r="S11" t="e">
        <f t="shared" ca="1" si="11"/>
        <v>#NAME?</v>
      </c>
      <c r="AK11" t="e">
        <f ca="1"/>
        <v>#NAME?</v>
      </c>
      <c r="AL11" t="e">
        <f ca="1"/>
        <v>#NAME?</v>
      </c>
      <c r="AM11" t="e">
        <f ca="1"/>
        <v>#NAME?</v>
      </c>
      <c r="AN11" t="e">
        <f t="shared" ca="1" si="14"/>
        <v>#NAME?</v>
      </c>
      <c r="AO11" t="e">
        <f t="shared" ca="1" si="14"/>
        <v>#NAME?</v>
      </c>
      <c r="AP11" t="e">
        <f t="shared" ca="1" si="12"/>
        <v>#NAME?</v>
      </c>
      <c r="AQ11" t="e">
        <f t="shared" ca="1" si="12"/>
        <v>#NAME?</v>
      </c>
      <c r="AR11" t="e">
        <f t="shared" ca="1" si="13"/>
        <v>#NAME?</v>
      </c>
    </row>
    <row r="12" spans="1:44" x14ac:dyDescent="0.25">
      <c r="A12" s="317">
        <v>22</v>
      </c>
      <c r="B12" s="319">
        <v>1</v>
      </c>
      <c r="C12" s="255">
        <v>68</v>
      </c>
      <c r="D12" s="177">
        <v>21</v>
      </c>
      <c r="F12">
        <f t="shared" si="1"/>
        <v>22</v>
      </c>
      <c r="G12">
        <f t="shared" si="0"/>
        <v>1</v>
      </c>
      <c r="H12" s="183">
        <f t="shared" si="0"/>
        <v>68</v>
      </c>
      <c r="I12" s="7">
        <f t="shared" si="0"/>
        <v>21</v>
      </c>
      <c r="J12" s="43">
        <f t="shared" si="2"/>
        <v>89</v>
      </c>
      <c r="K12">
        <f t="shared" si="3"/>
        <v>0.7640449438202247</v>
      </c>
      <c r="L12" t="e">
        <f t="shared" ca="1" si="4"/>
        <v>#NAME?</v>
      </c>
      <c r="M12" s="183" t="e">
        <f t="shared" ca="1" si="5"/>
        <v>#NAME?</v>
      </c>
      <c r="N12" s="43" t="e">
        <f t="shared" ca="1" si="6"/>
        <v>#NAME?</v>
      </c>
      <c r="O12" s="183" t="e">
        <f t="shared" ca="1" si="7"/>
        <v>#NAME?</v>
      </c>
      <c r="P12" s="43" t="e">
        <f t="shared" ca="1" si="8"/>
        <v>#NAME?</v>
      </c>
      <c r="Q12" t="e">
        <f t="shared" ca="1" si="9"/>
        <v>#NAME?</v>
      </c>
      <c r="R12" t="e">
        <f t="shared" ca="1" si="10"/>
        <v>#NAME?</v>
      </c>
      <c r="S12" t="e">
        <f t="shared" ca="1" si="11"/>
        <v>#NAME?</v>
      </c>
      <c r="W12" t="s">
        <v>661</v>
      </c>
      <c r="X12" s="671" t="e">
        <f ca="1">1-X4/X3</f>
        <v>#NAME?</v>
      </c>
      <c r="AK12" t="e">
        <f ca="1"/>
        <v>#NAME?</v>
      </c>
      <c r="AL12" t="e">
        <f ca="1"/>
        <v>#NAME?</v>
      </c>
      <c r="AM12" t="e">
        <f ca="1"/>
        <v>#NAME?</v>
      </c>
      <c r="AN12" t="e">
        <f t="shared" ca="1" si="14"/>
        <v>#NAME?</v>
      </c>
      <c r="AO12" t="e">
        <f t="shared" ca="1" si="14"/>
        <v>#NAME?</v>
      </c>
      <c r="AP12" t="e">
        <f t="shared" ca="1" si="12"/>
        <v>#NAME?</v>
      </c>
      <c r="AQ12" t="e">
        <f t="shared" ca="1" si="12"/>
        <v>#NAME?</v>
      </c>
      <c r="AR12" t="e">
        <f t="shared" ca="1" si="13"/>
        <v>#NAME?</v>
      </c>
    </row>
    <row r="13" spans="1:44" x14ac:dyDescent="0.25">
      <c r="A13" s="317">
        <v>23</v>
      </c>
      <c r="B13" s="319">
        <v>1</v>
      </c>
      <c r="C13" s="255">
        <v>59</v>
      </c>
      <c r="D13" s="177">
        <v>65</v>
      </c>
      <c r="F13">
        <f t="shared" si="1"/>
        <v>23</v>
      </c>
      <c r="G13">
        <f t="shared" si="0"/>
        <v>1</v>
      </c>
      <c r="H13" s="183">
        <f t="shared" si="0"/>
        <v>59</v>
      </c>
      <c r="I13" s="7">
        <f t="shared" si="0"/>
        <v>65</v>
      </c>
      <c r="J13" s="43">
        <f t="shared" si="2"/>
        <v>124</v>
      </c>
      <c r="K13">
        <f t="shared" si="3"/>
        <v>0.47580645161290325</v>
      </c>
      <c r="L13" t="e">
        <f t="shared" ca="1" si="4"/>
        <v>#NAME?</v>
      </c>
      <c r="M13" s="183" t="e">
        <f t="shared" ca="1" si="5"/>
        <v>#NAME?</v>
      </c>
      <c r="N13" s="43" t="e">
        <f t="shared" ca="1" si="6"/>
        <v>#NAME?</v>
      </c>
      <c r="O13" s="183" t="e">
        <f t="shared" ca="1" si="7"/>
        <v>#NAME?</v>
      </c>
      <c r="P13" s="43" t="e">
        <f t="shared" ca="1" si="8"/>
        <v>#NAME?</v>
      </c>
      <c r="Q13" t="e">
        <f t="shared" ca="1" si="9"/>
        <v>#NAME?</v>
      </c>
      <c r="R13" t="e">
        <f t="shared" ca="1" si="10"/>
        <v>#NAME?</v>
      </c>
      <c r="S13" t="e">
        <f t="shared" ca="1" si="11"/>
        <v>#NAME?</v>
      </c>
      <c r="W13" t="s">
        <v>662</v>
      </c>
      <c r="X13" s="322" t="e">
        <f ca="1">1-EXP((-2/J16)*(X4-X3))</f>
        <v>#NAME?</v>
      </c>
      <c r="AK13" t="e">
        <f ca="1"/>
        <v>#NAME?</v>
      </c>
      <c r="AL13" t="e">
        <f ca="1"/>
        <v>#NAME?</v>
      </c>
      <c r="AM13" t="e">
        <f ca="1"/>
        <v>#NAME?</v>
      </c>
      <c r="AN13" t="e">
        <f t="shared" ca="1" si="14"/>
        <v>#NAME?</v>
      </c>
      <c r="AO13" t="e">
        <f t="shared" ca="1" si="14"/>
        <v>#NAME?</v>
      </c>
      <c r="AP13" t="e">
        <f t="shared" ca="1" si="12"/>
        <v>#NAME?</v>
      </c>
      <c r="AQ13" t="e">
        <f t="shared" ca="1" si="12"/>
        <v>#NAME?</v>
      </c>
      <c r="AR13" t="e">
        <f t="shared" ca="1" si="13"/>
        <v>#NAME?</v>
      </c>
    </row>
    <row r="14" spans="1:44" x14ac:dyDescent="0.25">
      <c r="A14" s="317">
        <v>24</v>
      </c>
      <c r="B14" s="319">
        <v>1</v>
      </c>
      <c r="C14" s="255">
        <v>17</v>
      </c>
      <c r="D14" s="177">
        <v>46</v>
      </c>
      <c r="F14">
        <f t="shared" si="1"/>
        <v>24</v>
      </c>
      <c r="G14">
        <f t="shared" si="0"/>
        <v>1</v>
      </c>
      <c r="H14" s="183">
        <f t="shared" si="0"/>
        <v>17</v>
      </c>
      <c r="I14" s="7">
        <f t="shared" si="0"/>
        <v>46</v>
      </c>
      <c r="J14" s="43">
        <f t="shared" si="2"/>
        <v>63</v>
      </c>
      <c r="K14">
        <f t="shared" si="3"/>
        <v>0.26984126984126983</v>
      </c>
      <c r="L14" t="e">
        <f t="shared" ca="1" si="4"/>
        <v>#NAME?</v>
      </c>
      <c r="M14" s="183" t="e">
        <f t="shared" ca="1" si="5"/>
        <v>#NAME?</v>
      </c>
      <c r="N14" s="43" t="e">
        <f t="shared" ca="1" si="6"/>
        <v>#NAME?</v>
      </c>
      <c r="O14" s="183" t="e">
        <f t="shared" ca="1" si="7"/>
        <v>#NAME?</v>
      </c>
      <c r="P14" s="43" t="e">
        <f t="shared" ca="1" si="8"/>
        <v>#NAME?</v>
      </c>
      <c r="Q14" t="e">
        <f t="shared" ca="1" si="9"/>
        <v>#NAME?</v>
      </c>
      <c r="R14" t="e">
        <f t="shared" ca="1" si="10"/>
        <v>#NAME?</v>
      </c>
      <c r="S14" t="e">
        <f t="shared" ca="1" si="11"/>
        <v>#NAME?</v>
      </c>
      <c r="W14" t="s">
        <v>663</v>
      </c>
      <c r="X14" s="349" t="e">
        <f ca="1">X13/(1-EXP(2*X3/J16))</f>
        <v>#NAME?</v>
      </c>
      <c r="AK14" t="e">
        <f ca="1"/>
        <v>#NAME?</v>
      </c>
      <c r="AL14" t="e">
        <f ca="1"/>
        <v>#NAME?</v>
      </c>
      <c r="AM14" t="e">
        <f ca="1"/>
        <v>#NAME?</v>
      </c>
      <c r="AN14" t="e">
        <f t="shared" ca="1" si="14"/>
        <v>#NAME?</v>
      </c>
      <c r="AO14" t="e">
        <f t="shared" ca="1" si="14"/>
        <v>#NAME?</v>
      </c>
      <c r="AP14" t="e">
        <f t="shared" ca="1" si="12"/>
        <v>#NAME?</v>
      </c>
      <c r="AQ14" t="e">
        <f t="shared" ca="1" si="12"/>
        <v>#NAME?</v>
      </c>
      <c r="AR14" t="e">
        <f t="shared" ca="1" si="13"/>
        <v>#NAME?</v>
      </c>
    </row>
    <row r="15" spans="1:44" x14ac:dyDescent="0.25">
      <c r="A15" s="320">
        <v>25</v>
      </c>
      <c r="B15" s="321">
        <v>1</v>
      </c>
      <c r="C15" s="112">
        <v>7</v>
      </c>
      <c r="D15" s="120">
        <v>22</v>
      </c>
      <c r="F15">
        <f t="shared" si="1"/>
        <v>25</v>
      </c>
      <c r="G15">
        <f t="shared" si="0"/>
        <v>1</v>
      </c>
      <c r="H15" s="351">
        <f t="shared" si="0"/>
        <v>7</v>
      </c>
      <c r="I15" s="352">
        <f t="shared" si="0"/>
        <v>22</v>
      </c>
      <c r="J15" s="43">
        <f t="shared" si="2"/>
        <v>29</v>
      </c>
      <c r="K15">
        <f t="shared" si="3"/>
        <v>0.2413793103448276</v>
      </c>
      <c r="L15" t="e">
        <f t="shared" ca="1" si="4"/>
        <v>#NAME?</v>
      </c>
      <c r="M15" s="183" t="e">
        <f t="shared" ca="1" si="5"/>
        <v>#NAME?</v>
      </c>
      <c r="N15" s="43" t="e">
        <f t="shared" ca="1" si="6"/>
        <v>#NAME?</v>
      </c>
      <c r="O15" s="183" t="e">
        <f t="shared" ca="1" si="7"/>
        <v>#NAME?</v>
      </c>
      <c r="P15" s="43" t="e">
        <f t="shared" ca="1" si="8"/>
        <v>#NAME?</v>
      </c>
      <c r="Q15" t="e">
        <f t="shared" ca="1" si="9"/>
        <v>#NAME?</v>
      </c>
      <c r="R15" t="e">
        <f t="shared" ca="1" si="10"/>
        <v>#NAME?</v>
      </c>
      <c r="S15" t="e">
        <f t="shared" ca="1" si="11"/>
        <v>#NAME?</v>
      </c>
      <c r="AK15" t="e">
        <f ca="1"/>
        <v>#NAME?</v>
      </c>
      <c r="AL15" t="e">
        <f ca="1"/>
        <v>#NAME?</v>
      </c>
      <c r="AM15" t="e">
        <f ca="1"/>
        <v>#NAME?</v>
      </c>
      <c r="AN15" t="e">
        <f t="shared" ca="1" si="14"/>
        <v>#NAME?</v>
      </c>
      <c r="AO15" t="e">
        <f t="shared" ca="1" si="14"/>
        <v>#NAME?</v>
      </c>
      <c r="AP15" t="e">
        <f t="shared" ca="1" si="12"/>
        <v>#NAME?</v>
      </c>
      <c r="AQ15" t="e">
        <f t="shared" ca="1" si="12"/>
        <v>#NAME?</v>
      </c>
      <c r="AR15" t="e">
        <f t="shared" ca="1" si="13"/>
        <v>#NAME?</v>
      </c>
    </row>
    <row r="16" spans="1:44" x14ac:dyDescent="0.25">
      <c r="C16">
        <f>SUM(C4:C15)</f>
        <v>522</v>
      </c>
      <c r="D16">
        <f>SUM(D4:D15)</f>
        <v>338</v>
      </c>
      <c r="F16" s="664"/>
      <c r="G16" s="664"/>
      <c r="H16" s="664">
        <f>SUM(H4:H15)</f>
        <v>522</v>
      </c>
      <c r="I16" s="664">
        <f>SUM(I4:I15)</f>
        <v>338</v>
      </c>
      <c r="J16" s="664">
        <f>SUM(J4:J15)</f>
        <v>860</v>
      </c>
      <c r="K16" s="664"/>
      <c r="L16" s="664"/>
      <c r="M16" s="664" t="e">
        <f ca="1">SUM(M4:M15)</f>
        <v>#NAME?</v>
      </c>
      <c r="N16" s="664" t="e">
        <f ca="1">SUM(N4:N15)</f>
        <v>#NAME?</v>
      </c>
      <c r="O16" s="664" t="e">
        <f ca="1">SUM(O4:O15)</f>
        <v>#NAME?</v>
      </c>
      <c r="P16" s="664" t="e">
        <f ca="1">SUMPRODUCT(P4:P15,J4:J15)/J16</f>
        <v>#NAME?</v>
      </c>
      <c r="Q16" s="664"/>
      <c r="R16" s="664"/>
      <c r="S16" s="664"/>
      <c r="AK16" s="354" t="e">
        <f ca="1"/>
        <v>#NAME?</v>
      </c>
      <c r="AL16" s="354" t="e">
        <f ca="1"/>
        <v>#NAME?</v>
      </c>
      <c r="AM16" s="354" t="e">
        <f ca="1"/>
        <v>#NAME?</v>
      </c>
      <c r="AN16" s="354" t="e">
        <f t="shared" ca="1" si="14"/>
        <v>#NAME?</v>
      </c>
      <c r="AO16" s="354" t="e">
        <f t="shared" ca="1" si="14"/>
        <v>#NAME?</v>
      </c>
      <c r="AP16" s="354" t="e">
        <f t="shared" ca="1" si="12"/>
        <v>#NAME?</v>
      </c>
      <c r="AQ16" s="354" t="e">
        <f t="shared" ca="1" si="12"/>
        <v>#NAME?</v>
      </c>
      <c r="AR16" s="354" t="e">
        <f t="shared" ca="1" si="13"/>
        <v>#NAME?</v>
      </c>
    </row>
    <row r="17" spans="6:44" ht="15.75" thickBot="1" x14ac:dyDescent="0.3">
      <c r="AR17" t="e">
        <f ca="1">SUM(AR4:AR16)</f>
        <v>#NAME?</v>
      </c>
    </row>
    <row r="18" spans="6:44" ht="15.75" thickTop="1" x14ac:dyDescent="0.25">
      <c r="F18" s="386"/>
      <c r="G18" s="386" t="s">
        <v>755</v>
      </c>
      <c r="H18" s="386" t="s">
        <v>148</v>
      </c>
      <c r="I18" s="386" t="s">
        <v>756</v>
      </c>
      <c r="J18" s="386" t="s">
        <v>48</v>
      </c>
      <c r="K18" s="386" t="s">
        <v>15</v>
      </c>
      <c r="L18" s="386" t="s">
        <v>16</v>
      </c>
      <c r="R18" t="e">
        <f t="array" aca="1" ref="R18:S22" ca="1">ProbitTest(A4:D15,TRUE,FALSE)</f>
        <v>#NAME?</v>
      </c>
      <c r="S18" s="574" t="e">
        <f ca="1"/>
        <v>#NAME?</v>
      </c>
    </row>
    <row r="19" spans="6:44" x14ac:dyDescent="0.25">
      <c r="F19" t="s">
        <v>127</v>
      </c>
      <c r="G19" t="e">
        <f t="array" ref="G19:G21" ca="1">U5:U7</f>
        <v>#NAME?</v>
      </c>
      <c r="H19" t="e">
        <f t="array" aca="1" ref="H19:H21" ca="1">SQRT(DIAG(Z4:AB6))</f>
        <v>#NAME?</v>
      </c>
      <c r="I19" t="e">
        <f ca="1">(G19/H19)^2</f>
        <v>#NAME?</v>
      </c>
      <c r="J19" t="e">
        <f ca="1">CHIDIST(I19,1)</f>
        <v>#NAME?</v>
      </c>
      <c r="K19" t="e">
        <f ca="1">G19-H19*NORMSINV(1-$X$9/2)</f>
        <v>#NAME?</v>
      </c>
      <c r="L19" t="e">
        <f ca="1">G19+H19*NORMSINV(1-$X$9/2)</f>
        <v>#NAME?</v>
      </c>
      <c r="R19" t="e">
        <f ca="1"/>
        <v>#NAME?</v>
      </c>
      <c r="S19" s="185" t="e">
        <f ca="1"/>
        <v>#NAME?</v>
      </c>
    </row>
    <row r="20" spans="6:44" x14ac:dyDescent="0.25">
      <c r="F20" t="str">
        <f t="array" ref="F20:F21">TRANSPOSE(F3:G3)</f>
        <v>Temp</v>
      </c>
      <c r="G20" t="e">
        <f ca="1"/>
        <v>#NAME?</v>
      </c>
      <c r="H20" t="e">
        <f ca="1"/>
        <v>#NAME?</v>
      </c>
      <c r="I20" t="e">
        <f ca="1">(G20/H20)^2</f>
        <v>#NAME?</v>
      </c>
      <c r="J20" t="e">
        <f ca="1">CHIDIST(I20,1)</f>
        <v>#NAME?</v>
      </c>
      <c r="K20" t="e">
        <f ca="1">G20-H20*NORMSINV(1-$X$9/2)</f>
        <v>#NAME?</v>
      </c>
      <c r="L20" t="e">
        <f ca="1">G20+H20*NORMSINV(1-$X$9/2)</f>
        <v>#NAME?</v>
      </c>
      <c r="R20" t="e">
        <f ca="1"/>
        <v>#NAME?</v>
      </c>
      <c r="S20" s="185" t="e">
        <f ca="1"/>
        <v>#NAME?</v>
      </c>
    </row>
    <row r="21" spans="6:44" x14ac:dyDescent="0.25">
      <c r="F21" s="354" t="str">
        <v>Water</v>
      </c>
      <c r="G21" s="354" t="e">
        <f ca="1"/>
        <v>#NAME?</v>
      </c>
      <c r="H21" s="354" t="e">
        <f ca="1"/>
        <v>#NAME?</v>
      </c>
      <c r="I21" s="354" t="e">
        <f ca="1">(G21/H21)^2</f>
        <v>#NAME?</v>
      </c>
      <c r="J21" s="354" t="e">
        <f ca="1">CHIDIST(I21,1)</f>
        <v>#NAME?</v>
      </c>
      <c r="K21" s="354" t="e">
        <f ca="1">G21-H21*NORMSINV(1-$X$9/2)</f>
        <v>#NAME?</v>
      </c>
      <c r="L21" s="354" t="e">
        <f ca="1">G21+H21*NORMSINV(1-$X$9/2)</f>
        <v>#NAME?</v>
      </c>
      <c r="R21" t="e">
        <f ca="1"/>
        <v>#NAME?</v>
      </c>
      <c r="S21" s="185" t="e">
        <f ca="1"/>
        <v>#NAME?</v>
      </c>
    </row>
    <row r="22" spans="6:44" ht="15.75" thickBot="1" x14ac:dyDescent="0.3">
      <c r="R22" t="e">
        <f ca="1"/>
        <v>#NAME?</v>
      </c>
      <c r="S22" s="123" t="e">
        <f ca="1"/>
        <v>#NAME?</v>
      </c>
    </row>
    <row r="23" spans="6:44" ht="15.75" thickTop="1" x14ac:dyDescent="0.25">
      <c r="F23" s="386" t="e">
        <f t="array" aca="1" ref="F23:L26" ca="1">ProbitCoeff(A3:D15,TRUE,FALSE,TRUE)</f>
        <v>#NAME?</v>
      </c>
      <c r="G23" s="386" t="e">
        <f ca="1"/>
        <v>#NAME?</v>
      </c>
      <c r="H23" s="386" t="e">
        <f ca="1"/>
        <v>#NAME?</v>
      </c>
      <c r="I23" s="386" t="e">
        <f ca="1"/>
        <v>#NAME?</v>
      </c>
      <c r="J23" s="386" t="e">
        <f ca="1"/>
        <v>#NAME?</v>
      </c>
      <c r="K23" s="386" t="e">
        <f ca="1"/>
        <v>#NAME?</v>
      </c>
      <c r="L23" s="386" t="e">
        <f ca="1"/>
        <v>#NAME?</v>
      </c>
      <c r="N23" s="294" t="s">
        <v>656</v>
      </c>
      <c r="O23" s="294" t="s">
        <v>657</v>
      </c>
      <c r="P23" s="294" t="s">
        <v>882</v>
      </c>
    </row>
    <row r="24" spans="6:44" x14ac:dyDescent="0.25">
      <c r="F24" t="e">
        <f ca="1"/>
        <v>#NAME?</v>
      </c>
      <c r="G24" t="e">
        <f ca="1"/>
        <v>#NAME?</v>
      </c>
      <c r="H24" t="e">
        <f ca="1"/>
        <v>#NAME?</v>
      </c>
      <c r="I24" t="e">
        <f ca="1"/>
        <v>#NAME?</v>
      </c>
      <c r="J24" t="e">
        <f ca="1"/>
        <v>#NAME?</v>
      </c>
      <c r="K24" t="e">
        <f ca="1"/>
        <v>#NAME?</v>
      </c>
      <c r="L24" t="e">
        <f ca="1"/>
        <v>#NAME?</v>
      </c>
      <c r="N24" s="701">
        <v>20</v>
      </c>
      <c r="O24" s="702">
        <v>0</v>
      </c>
      <c r="P24" s="704" t="e">
        <f t="array" aca="1" ref="P24:P26" ca="1">ProbitPred(N24:O26,$A$4:$D$15,FALSE)</f>
        <v>#NAME?</v>
      </c>
      <c r="R24" t="e">
        <f t="array" aca="1" ref="R24:S30" ca="1">ProbitRSquare(A4:D15,TRUE,FALSE)</f>
        <v>#NAME?</v>
      </c>
      <c r="S24" s="574" t="e">
        <f ca="1"/>
        <v>#NAME?</v>
      </c>
    </row>
    <row r="25" spans="6:44" x14ac:dyDescent="0.25">
      <c r="F25" t="e">
        <f ca="1"/>
        <v>#NAME?</v>
      </c>
      <c r="G25" t="e">
        <f ca="1"/>
        <v>#NAME?</v>
      </c>
      <c r="H25" t="e">
        <f ca="1"/>
        <v>#NAME?</v>
      </c>
      <c r="I25" t="e">
        <f ca="1"/>
        <v>#NAME?</v>
      </c>
      <c r="J25" t="e">
        <f ca="1"/>
        <v>#NAME?</v>
      </c>
      <c r="K25" t="e">
        <f ca="1"/>
        <v>#NAME?</v>
      </c>
      <c r="L25" t="e">
        <f ca="1"/>
        <v>#NAME?</v>
      </c>
      <c r="N25" s="317">
        <v>21</v>
      </c>
      <c r="O25" s="318">
        <v>1</v>
      </c>
      <c r="P25" s="177" t="e">
        <f ca="1"/>
        <v>#NAME?</v>
      </c>
      <c r="R25" t="e">
        <f ca="1"/>
        <v>#NAME?</v>
      </c>
      <c r="S25" s="185" t="e">
        <f ca="1"/>
        <v>#NAME?</v>
      </c>
    </row>
    <row r="26" spans="6:44" x14ac:dyDescent="0.25">
      <c r="F26" s="354" t="e">
        <f ca="1"/>
        <v>#NAME?</v>
      </c>
      <c r="G26" s="354" t="e">
        <f ca="1"/>
        <v>#NAME?</v>
      </c>
      <c r="H26" s="354" t="e">
        <f ca="1"/>
        <v>#NAME?</v>
      </c>
      <c r="I26" s="354" t="e">
        <f ca="1"/>
        <v>#NAME?</v>
      </c>
      <c r="J26" s="354" t="e">
        <f ca="1"/>
        <v>#NAME?</v>
      </c>
      <c r="K26" s="354" t="e">
        <f ca="1"/>
        <v>#NAME?</v>
      </c>
      <c r="L26" s="354" t="e">
        <f ca="1"/>
        <v>#NAME?</v>
      </c>
      <c r="N26" s="320">
        <v>21.5</v>
      </c>
      <c r="O26" s="472">
        <v>0</v>
      </c>
      <c r="P26" s="179" t="e">
        <f ca="1"/>
        <v>#NAME?</v>
      </c>
      <c r="R26" t="e">
        <f ca="1"/>
        <v>#NAME?</v>
      </c>
      <c r="S26" s="185" t="e">
        <f ca="1"/>
        <v>#NAME?</v>
      </c>
    </row>
    <row r="27" spans="6:44" x14ac:dyDescent="0.25">
      <c r="R27" t="e">
        <f ca="1"/>
        <v>#NAME?</v>
      </c>
      <c r="S27" s="185" t="e">
        <f ca="1"/>
        <v>#NAME?</v>
      </c>
    </row>
    <row r="28" spans="6:44" x14ac:dyDescent="0.25">
      <c r="R28" t="e">
        <f ca="1"/>
        <v>#NAME?</v>
      </c>
      <c r="S28" s="185" t="e">
        <f ca="1"/>
        <v>#NAME?</v>
      </c>
    </row>
    <row r="29" spans="6:44" x14ac:dyDescent="0.25">
      <c r="R29" t="e">
        <f ca="1"/>
        <v>#NAME?</v>
      </c>
      <c r="S29" s="185" t="e">
        <f ca="1"/>
        <v>#NAME?</v>
      </c>
    </row>
    <row r="30" spans="6:44" x14ac:dyDescent="0.25">
      <c r="R30" t="e">
        <f ca="1"/>
        <v>#NAME?</v>
      </c>
      <c r="S30" s="123" t="e">
        <f ca="1"/>
        <v>#NAME?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AL31"/>
  <sheetViews>
    <sheetView workbookViewId="0"/>
  </sheetViews>
  <sheetFormatPr defaultRowHeight="15" x14ac:dyDescent="0.25"/>
  <cols>
    <col min="1" max="5" width="9.28515625" customWidth="1"/>
    <col min="6" max="6" width="5.140625" customWidth="1"/>
    <col min="7" max="12" width="9.28515625" customWidth="1"/>
    <col min="13" max="14" width="9.28515625" bestFit="1" customWidth="1"/>
    <col min="22" max="22" width="9.140625" customWidth="1"/>
    <col min="23" max="23" width="3.42578125" customWidth="1"/>
    <col min="26" max="26" width="3.28515625" customWidth="1"/>
    <col min="29" max="29" width="4.140625" customWidth="1"/>
    <col min="30" max="30" width="42" customWidth="1"/>
    <col min="34" max="35" width="10.5703125" customWidth="1"/>
  </cols>
  <sheetData>
    <row r="1" spans="1:38" x14ac:dyDescent="0.25">
      <c r="A1" s="1" t="s">
        <v>854</v>
      </c>
    </row>
    <row r="2" spans="1:38" x14ac:dyDescent="0.25">
      <c r="A2" t="s">
        <v>864</v>
      </c>
    </row>
    <row r="3" spans="1:38" ht="15.75" thickBot="1" x14ac:dyDescent="0.3">
      <c r="G3" s="772" t="s">
        <v>892</v>
      </c>
      <c r="H3" s="772"/>
      <c r="I3" s="772" t="s">
        <v>77</v>
      </c>
      <c r="J3" s="772"/>
      <c r="K3" s="772"/>
      <c r="L3" s="772"/>
      <c r="M3" s="772" t="s">
        <v>93</v>
      </c>
      <c r="N3" s="772"/>
      <c r="O3" s="772" t="s">
        <v>894</v>
      </c>
      <c r="P3" s="772"/>
      <c r="Q3" s="772"/>
      <c r="R3" s="772" t="s">
        <v>893</v>
      </c>
      <c r="S3" s="772"/>
      <c r="T3" s="772"/>
      <c r="U3" s="772" t="s">
        <v>891</v>
      </c>
      <c r="V3" s="772"/>
    </row>
    <row r="4" spans="1:38" ht="15.75" thickTop="1" x14ac:dyDescent="0.25">
      <c r="A4" s="294" t="s">
        <v>861</v>
      </c>
      <c r="B4" s="294" t="s">
        <v>180</v>
      </c>
      <c r="C4" s="294" t="s">
        <v>863</v>
      </c>
      <c r="D4" s="294" t="s">
        <v>81</v>
      </c>
      <c r="E4" s="294" t="s">
        <v>862</v>
      </c>
      <c r="G4" s="386" t="str">
        <f>A4</f>
        <v>Dosage</v>
      </c>
      <c r="H4" s="386" t="str">
        <f t="shared" ref="H4:K5" si="0">B4</f>
        <v>Gender</v>
      </c>
      <c r="I4" s="386" t="str">
        <f t="shared" si="0"/>
        <v>Dead</v>
      </c>
      <c r="J4" s="386" t="str">
        <f t="shared" si="0"/>
        <v>Cured</v>
      </c>
      <c r="K4" s="386" t="str">
        <f t="shared" si="0"/>
        <v>Sick</v>
      </c>
      <c r="L4" s="386" t="s">
        <v>1</v>
      </c>
      <c r="M4" s="386" t="str">
        <f>J4</f>
        <v>Cured</v>
      </c>
      <c r="N4" s="386" t="str">
        <f>K4</f>
        <v>Sick</v>
      </c>
      <c r="O4" s="386" t="str">
        <f>I4</f>
        <v>Dead</v>
      </c>
      <c r="P4" s="386" t="str">
        <f>J4</f>
        <v>Cured</v>
      </c>
      <c r="Q4" s="386" t="str">
        <f>K4</f>
        <v>Sick</v>
      </c>
      <c r="R4" s="386" t="str">
        <f>O4</f>
        <v>Dead</v>
      </c>
      <c r="S4" s="386" t="str">
        <f>P4</f>
        <v>Cured</v>
      </c>
      <c r="T4" s="386" t="str">
        <f>Q4</f>
        <v>Sick</v>
      </c>
      <c r="U4" s="386" t="s">
        <v>626</v>
      </c>
      <c r="V4" s="386" t="s">
        <v>860</v>
      </c>
      <c r="X4" s="773" t="s">
        <v>129</v>
      </c>
      <c r="Y4" s="773"/>
      <c r="AA4" t="s">
        <v>625</v>
      </c>
      <c r="AB4" s="380">
        <f>SUMPRODUCT(I17:K17,LN(I17:K17/L17))+V17</f>
        <v>-163.38567469443615</v>
      </c>
      <c r="AC4" s="7"/>
      <c r="AD4" s="395" t="s">
        <v>899</v>
      </c>
      <c r="AF4" t="s">
        <v>855</v>
      </c>
    </row>
    <row r="5" spans="1:38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G5">
        <f>A5</f>
        <v>20</v>
      </c>
      <c r="H5">
        <f t="shared" si="0"/>
        <v>0</v>
      </c>
      <c r="I5" s="344">
        <f t="shared" si="0"/>
        <v>13</v>
      </c>
      <c r="J5" s="345">
        <f t="shared" si="0"/>
        <v>0</v>
      </c>
      <c r="K5" s="345">
        <f t="shared" si="0"/>
        <v>8</v>
      </c>
      <c r="L5" s="347">
        <f>SUM(I5:K5)</f>
        <v>21</v>
      </c>
      <c r="M5" s="344" t="e">
        <f ca="1">EXP(X$6+MMULT($G5:$H5,X$7:X$8))</f>
        <v>#NAME?</v>
      </c>
      <c r="N5" s="347" t="e">
        <f ca="1">EXP(Y$6+MMULT($G5:$H5,Y$7:Y$8))</f>
        <v>#NAME?</v>
      </c>
      <c r="O5" s="344" t="e">
        <f ca="1">1/(1+$M5+$N5)</f>
        <v>#NAME?</v>
      </c>
      <c r="P5" s="345" t="e">
        <f ca="1">M5*O5</f>
        <v>#NAME?</v>
      </c>
      <c r="Q5" s="347" t="e">
        <f ca="1">N5*O5</f>
        <v>#NAME?</v>
      </c>
      <c r="R5" s="344" t="e">
        <f ca="1">O5*$L5</f>
        <v>#NAME?</v>
      </c>
      <c r="S5" s="345" t="e">
        <f ca="1">P5*$L5</f>
        <v>#NAME?</v>
      </c>
      <c r="T5" s="347" t="e">
        <f ca="1">Q5*$L5</f>
        <v>#NAME?</v>
      </c>
      <c r="U5" s="7" t="e">
        <f ca="1">I5*LN(O5)+J5*LN(P5)+K5*LN(Q5)</f>
        <v>#NAME?</v>
      </c>
      <c r="V5" s="7">
        <f>GAMMALN(L5+1)-GAMMALN(I5+1)-GAMMALN(J5+1)-GAMMALN(K5+1)</f>
        <v>12.223372142608234</v>
      </c>
      <c r="AA5" t="s">
        <v>653</v>
      </c>
      <c r="AB5" s="349" t="e">
        <f ca="1">U17+V17</f>
        <v>#NAME?</v>
      </c>
      <c r="AC5" s="7"/>
      <c r="AD5" s="395" t="s">
        <v>897</v>
      </c>
      <c r="AF5" s="1"/>
    </row>
    <row r="6" spans="1:38" x14ac:dyDescent="0.25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>
        <f t="shared" ref="G6:G16" si="1">A6</f>
        <v>21</v>
      </c>
      <c r="H6">
        <f t="shared" ref="H6:H16" si="2">B6</f>
        <v>0</v>
      </c>
      <c r="I6" s="214">
        <f t="shared" ref="I6:I16" si="3">C6</f>
        <v>60</v>
      </c>
      <c r="J6" s="7">
        <f t="shared" ref="J6:J16" si="4">D6</f>
        <v>6</v>
      </c>
      <c r="K6" s="7">
        <f t="shared" ref="K6:K16" si="5">E6</f>
        <v>30</v>
      </c>
      <c r="L6" s="215">
        <f t="shared" ref="L6:L16" si="6">SUM(I6:K6)</f>
        <v>96</v>
      </c>
      <c r="M6" s="214" t="e">
        <f t="shared" ref="M6:N16" ca="1" si="7">EXP(X$6+MMULT($G6:$H6,X$7:X$8))</f>
        <v>#NAME?</v>
      </c>
      <c r="N6" s="215" t="e">
        <f t="shared" ca="1" si="7"/>
        <v>#NAME?</v>
      </c>
      <c r="O6" s="214" t="e">
        <f t="shared" ref="O6:O16" ca="1" si="8">1/(1+$M6+$N6)</f>
        <v>#NAME?</v>
      </c>
      <c r="P6" s="7" t="e">
        <f t="shared" ref="P6:P16" ca="1" si="9">M6*O6</f>
        <v>#NAME?</v>
      </c>
      <c r="Q6" s="215" t="e">
        <f t="shared" ref="Q6:Q16" ca="1" si="10">N6*O6</f>
        <v>#NAME?</v>
      </c>
      <c r="R6" s="214" t="e">
        <f t="shared" ref="R6:R16" ca="1" si="11">O6*$L6</f>
        <v>#NAME?</v>
      </c>
      <c r="S6" s="7" t="e">
        <f t="shared" ref="S6:S16" ca="1" si="12">P6*$L6</f>
        <v>#NAME?</v>
      </c>
      <c r="T6" s="215" t="e">
        <f t="shared" ref="T6:T16" ca="1" si="13">Q6*$L6</f>
        <v>#NAME?</v>
      </c>
      <c r="U6" s="7" t="e">
        <f t="shared" ref="U6:U16" ca="1" si="14">I6*LN(O6)+J6*LN(P6)+K6*LN(Q6)</f>
        <v>#NAME?</v>
      </c>
      <c r="V6" s="7">
        <f t="shared" ref="V6:V16" si="15">GAMMALN(L6+1)-GAMMALN(I6+1)-GAMMALN(J6+1)-GAMMALN(K6+1)</f>
        <v>75.513746077754988</v>
      </c>
      <c r="X6" s="362" t="e">
        <f t="array" aca="1" ref="X6:X8" ca="1">LogitCoeff(MLogitExtract(A5:E16,2,"1,0",FALSE))</f>
        <v>#NAME?</v>
      </c>
      <c r="Y6" s="391" t="e">
        <f t="array" aca="1" ref="Y6:Y8" ca="1">LogitCoeff(MLogitExtract(A5:E16,2,"2,0",FALSE))</f>
        <v>#NAME?</v>
      </c>
      <c r="AF6" s="56" t="s">
        <v>861</v>
      </c>
      <c r="AG6" s="56" t="s">
        <v>180</v>
      </c>
      <c r="AH6" s="56" t="s">
        <v>1473</v>
      </c>
      <c r="AI6" s="56" t="s">
        <v>1474</v>
      </c>
      <c r="AJ6" s="56" t="s">
        <v>863</v>
      </c>
      <c r="AK6" s="56" t="s">
        <v>81</v>
      </c>
      <c r="AL6" s="56" t="s">
        <v>862</v>
      </c>
    </row>
    <row r="7" spans="1:38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>
        <f t="shared" si="1"/>
        <v>22</v>
      </c>
      <c r="H7">
        <f t="shared" si="2"/>
        <v>0</v>
      </c>
      <c r="I7" s="214">
        <f t="shared" si="3"/>
        <v>61</v>
      </c>
      <c r="J7" s="7">
        <f t="shared" si="4"/>
        <v>13</v>
      </c>
      <c r="K7" s="7">
        <f t="shared" si="5"/>
        <v>40</v>
      </c>
      <c r="L7" s="215">
        <f t="shared" si="6"/>
        <v>114</v>
      </c>
      <c r="M7" s="214" t="e">
        <f t="shared" ca="1" si="7"/>
        <v>#NAME?</v>
      </c>
      <c r="N7" s="215" t="e">
        <f t="shared" ca="1" si="7"/>
        <v>#NAME?</v>
      </c>
      <c r="O7" s="214" t="e">
        <f t="shared" ca="1" si="8"/>
        <v>#NAME?</v>
      </c>
      <c r="P7" s="7" t="e">
        <f t="shared" ca="1" si="9"/>
        <v>#NAME?</v>
      </c>
      <c r="Q7" s="215" t="e">
        <f t="shared" ca="1" si="10"/>
        <v>#NAME?</v>
      </c>
      <c r="R7" s="214" t="e">
        <f t="shared" ca="1" si="11"/>
        <v>#NAME?</v>
      </c>
      <c r="S7" s="7" t="e">
        <f t="shared" ca="1" si="12"/>
        <v>#NAME?</v>
      </c>
      <c r="T7" s="215" t="e">
        <f t="shared" ca="1" si="13"/>
        <v>#NAME?</v>
      </c>
      <c r="U7" s="7" t="e">
        <f t="shared" ca="1" si="14"/>
        <v>#NAME?</v>
      </c>
      <c r="V7" s="7">
        <f t="shared" si="15"/>
        <v>103.60254101092582</v>
      </c>
      <c r="X7" s="322" t="e">
        <f ca="1"/>
        <v>#NAME?</v>
      </c>
      <c r="Y7" s="185" t="e">
        <f ca="1"/>
        <v>#NAME?</v>
      </c>
      <c r="AA7" t="s">
        <v>664</v>
      </c>
      <c r="AB7" s="380" t="e">
        <f ca="1">2*(AB5-AB4)</f>
        <v>#NAME?</v>
      </c>
      <c r="AC7" s="7"/>
      <c r="AD7" s="395" t="e">
        <f ca="1">FTEXT(AB7)</f>
        <v>#NAME?</v>
      </c>
      <c r="AF7" s="344">
        <v>24</v>
      </c>
      <c r="AG7" s="345">
        <v>1</v>
      </c>
      <c r="AH7" s="344" t="e">
        <f t="shared" ref="AH7:AI10" ca="1" si="16">EXP(X$6+MMULT($AF7:$AG7,X$7:X$8))</f>
        <v>#NAME?</v>
      </c>
      <c r="AI7" s="347" t="e">
        <f t="shared" ca="1" si="16"/>
        <v>#NAME?</v>
      </c>
      <c r="AJ7" s="345" t="e">
        <f ca="1">1/(1+AH7+AI7)</f>
        <v>#NAME?</v>
      </c>
      <c r="AK7" s="345" t="e">
        <f ca="1">AH7*$AJ7</f>
        <v>#NAME?</v>
      </c>
      <c r="AL7" s="347" t="e">
        <f ca="1">AI7*$AJ7</f>
        <v>#NAME?</v>
      </c>
    </row>
    <row r="8" spans="1:38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G8">
        <f t="shared" si="1"/>
        <v>23</v>
      </c>
      <c r="H8">
        <f t="shared" si="2"/>
        <v>0</v>
      </c>
      <c r="I8" s="214">
        <f t="shared" si="3"/>
        <v>49</v>
      </c>
      <c r="J8" s="7">
        <f t="shared" si="4"/>
        <v>60</v>
      </c>
      <c r="K8" s="7">
        <f t="shared" si="5"/>
        <v>25</v>
      </c>
      <c r="L8" s="215">
        <f t="shared" si="6"/>
        <v>134</v>
      </c>
      <c r="M8" s="214" t="e">
        <f t="shared" ca="1" si="7"/>
        <v>#NAME?</v>
      </c>
      <c r="N8" s="215" t="e">
        <f t="shared" ca="1" si="7"/>
        <v>#NAME?</v>
      </c>
      <c r="O8" s="214" t="e">
        <f t="shared" ca="1" si="8"/>
        <v>#NAME?</v>
      </c>
      <c r="P8" s="7" t="e">
        <f t="shared" ca="1" si="9"/>
        <v>#NAME?</v>
      </c>
      <c r="Q8" s="215" t="e">
        <f t="shared" ca="1" si="10"/>
        <v>#NAME?</v>
      </c>
      <c r="R8" s="214" t="e">
        <f t="shared" ca="1" si="11"/>
        <v>#NAME?</v>
      </c>
      <c r="S8" s="7" t="e">
        <f t="shared" ca="1" si="12"/>
        <v>#NAME?</v>
      </c>
      <c r="T8" s="215" t="e">
        <f t="shared" ca="1" si="13"/>
        <v>#NAME?</v>
      </c>
      <c r="U8" s="7" t="e">
        <f t="shared" ca="1" si="14"/>
        <v>#NAME?</v>
      </c>
      <c r="V8" s="7">
        <f t="shared" si="15"/>
        <v>134.48149092299815</v>
      </c>
      <c r="X8" s="349" t="e">
        <f ca="1"/>
        <v>#NAME?</v>
      </c>
      <c r="Y8" s="123" t="e">
        <f ca="1"/>
        <v>#NAME?</v>
      </c>
      <c r="AA8" t="s">
        <v>41</v>
      </c>
      <c r="AB8" s="322">
        <f ca="1">COUNT(X7:Y8)</f>
        <v>0</v>
      </c>
      <c r="AC8" s="7"/>
      <c r="AD8" s="395" t="e">
        <f ca="1">FTEXT(AB8)</f>
        <v>#NAME?</v>
      </c>
      <c r="AF8" s="214">
        <v>24</v>
      </c>
      <c r="AG8" s="7">
        <v>0</v>
      </c>
      <c r="AH8" s="214" t="e">
        <f t="shared" ca="1" si="16"/>
        <v>#NAME?</v>
      </c>
      <c r="AI8" s="215" t="e">
        <f t="shared" ca="1" si="16"/>
        <v>#NAME?</v>
      </c>
      <c r="AJ8" s="7" t="e">
        <f ca="1">1/(1+AH8+AI8)</f>
        <v>#NAME?</v>
      </c>
      <c r="AK8" s="7" t="e">
        <f t="shared" ref="AK8:AL10" ca="1" si="17">AH8*$AJ8</f>
        <v>#NAME?</v>
      </c>
      <c r="AL8" s="215" t="e">
        <f t="shared" ca="1" si="17"/>
        <v>#NAME?</v>
      </c>
    </row>
    <row r="9" spans="1:38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G9">
        <f t="shared" si="1"/>
        <v>24</v>
      </c>
      <c r="H9">
        <f t="shared" si="2"/>
        <v>0</v>
      </c>
      <c r="I9" s="214">
        <f t="shared" si="3"/>
        <v>8</v>
      </c>
      <c r="J9" s="7">
        <f t="shared" si="4"/>
        <v>29</v>
      </c>
      <c r="K9" s="7">
        <f t="shared" si="5"/>
        <v>15</v>
      </c>
      <c r="L9" s="215">
        <f t="shared" si="6"/>
        <v>52</v>
      </c>
      <c r="M9" s="214" t="e">
        <f t="shared" ca="1" si="7"/>
        <v>#NAME?</v>
      </c>
      <c r="N9" s="215" t="e">
        <f t="shared" ca="1" si="7"/>
        <v>#NAME?</v>
      </c>
      <c r="O9" s="214" t="e">
        <f t="shared" ca="1" si="8"/>
        <v>#NAME?</v>
      </c>
      <c r="P9" s="7" t="e">
        <f t="shared" ca="1" si="9"/>
        <v>#NAME?</v>
      </c>
      <c r="Q9" s="215" t="e">
        <f t="shared" ca="1" si="10"/>
        <v>#NAME?</v>
      </c>
      <c r="R9" s="214" t="e">
        <f t="shared" ca="1" si="11"/>
        <v>#NAME?</v>
      </c>
      <c r="S9" s="7" t="e">
        <f t="shared" ca="1" si="12"/>
        <v>#NAME?</v>
      </c>
      <c r="T9" s="215" t="e">
        <f t="shared" ca="1" si="13"/>
        <v>#NAME?</v>
      </c>
      <c r="U9" s="7" t="e">
        <f t="shared" ca="1" si="14"/>
        <v>#NAME?</v>
      </c>
      <c r="V9" s="7">
        <f t="shared" si="15"/>
        <v>46.599923049324644</v>
      </c>
      <c r="AA9" t="s">
        <v>48</v>
      </c>
      <c r="AB9" s="322" t="e">
        <f ca="1">CHIDIST(AB7,AB8)</f>
        <v>#NAME?</v>
      </c>
      <c r="AC9" s="7"/>
      <c r="AD9" s="395" t="s">
        <v>1472</v>
      </c>
      <c r="AF9" s="284">
        <v>24.5</v>
      </c>
      <c r="AG9" s="7">
        <v>1</v>
      </c>
      <c r="AH9" s="214" t="e">
        <f t="shared" ca="1" si="16"/>
        <v>#NAME?</v>
      </c>
      <c r="AI9" s="215" t="e">
        <f t="shared" ca="1" si="16"/>
        <v>#NAME?</v>
      </c>
      <c r="AJ9" s="7" t="e">
        <f ca="1">1/(1+AH9+AI9)</f>
        <v>#NAME?</v>
      </c>
      <c r="AK9" s="7" t="e">
        <f t="shared" ca="1" si="17"/>
        <v>#NAME?</v>
      </c>
      <c r="AL9" s="215" t="e">
        <f t="shared" ca="1" si="17"/>
        <v>#NAME?</v>
      </c>
    </row>
    <row r="10" spans="1:38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G10">
        <f t="shared" si="1"/>
        <v>25</v>
      </c>
      <c r="H10">
        <f t="shared" si="2"/>
        <v>0</v>
      </c>
      <c r="I10" s="214">
        <f t="shared" si="3"/>
        <v>4</v>
      </c>
      <c r="J10" s="7">
        <f t="shared" si="4"/>
        <v>20</v>
      </c>
      <c r="K10" s="7">
        <f t="shared" si="5"/>
        <v>8</v>
      </c>
      <c r="L10" s="215">
        <f t="shared" si="6"/>
        <v>32</v>
      </c>
      <c r="M10" s="214" t="e">
        <f t="shared" ca="1" si="7"/>
        <v>#NAME?</v>
      </c>
      <c r="N10" s="215" t="e">
        <f t="shared" ca="1" si="7"/>
        <v>#NAME?</v>
      </c>
      <c r="O10" s="214" t="e">
        <f t="shared" ca="1" si="8"/>
        <v>#NAME?</v>
      </c>
      <c r="P10" s="7" t="e">
        <f t="shared" ca="1" si="9"/>
        <v>#NAME?</v>
      </c>
      <c r="Q10" s="215" t="e">
        <f t="shared" ca="1" si="10"/>
        <v>#NAME?</v>
      </c>
      <c r="R10" s="214" t="e">
        <f t="shared" ca="1" si="11"/>
        <v>#NAME?</v>
      </c>
      <c r="S10" s="7" t="e">
        <f t="shared" ca="1" si="12"/>
        <v>#NAME?</v>
      </c>
      <c r="T10" s="215" t="e">
        <f t="shared" ca="1" si="13"/>
        <v>#NAME?</v>
      </c>
      <c r="U10" s="7" t="e">
        <f t="shared" ca="1" si="14"/>
        <v>#NAME?</v>
      </c>
      <c r="V10" s="7">
        <f t="shared" si="15"/>
        <v>25.439686262268342</v>
      </c>
      <c r="AA10" t="s">
        <v>70</v>
      </c>
      <c r="AB10" s="322">
        <v>0.05</v>
      </c>
      <c r="AC10" s="7"/>
      <c r="AD10" s="7"/>
      <c r="AF10" s="379">
        <v>24.5</v>
      </c>
      <c r="AG10" s="354">
        <v>0</v>
      </c>
      <c r="AH10" s="112" t="e">
        <f t="shared" ca="1" si="16"/>
        <v>#NAME?</v>
      </c>
      <c r="AI10" s="120" t="e">
        <f t="shared" ca="1" si="16"/>
        <v>#NAME?</v>
      </c>
      <c r="AJ10" s="354" t="e">
        <f ca="1">1/(1+AH10+AI10)</f>
        <v>#NAME?</v>
      </c>
      <c r="AK10" s="354" t="e">
        <f t="shared" ca="1" si="17"/>
        <v>#NAME?</v>
      </c>
      <c r="AL10" s="120" t="e">
        <f t="shared" ca="1" si="17"/>
        <v>#NAME?</v>
      </c>
    </row>
    <row r="11" spans="1:38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G11">
        <f t="shared" si="1"/>
        <v>20</v>
      </c>
      <c r="H11">
        <f t="shared" si="2"/>
        <v>1</v>
      </c>
      <c r="I11" s="214">
        <f t="shared" si="3"/>
        <v>16</v>
      </c>
      <c r="J11" s="7">
        <f t="shared" si="4"/>
        <v>4</v>
      </c>
      <c r="K11" s="7">
        <f t="shared" si="5"/>
        <v>2</v>
      </c>
      <c r="L11" s="215">
        <f t="shared" si="6"/>
        <v>22</v>
      </c>
      <c r="M11" s="214" t="e">
        <f t="shared" ca="1" si="7"/>
        <v>#NAME?</v>
      </c>
      <c r="N11" s="215" t="e">
        <f t="shared" ca="1" si="7"/>
        <v>#NAME?</v>
      </c>
      <c r="O11" s="214" t="e">
        <f t="shared" ca="1" si="8"/>
        <v>#NAME?</v>
      </c>
      <c r="P11" s="7" t="e">
        <f t="shared" ca="1" si="9"/>
        <v>#NAME?</v>
      </c>
      <c r="Q11" s="215" t="e">
        <f t="shared" ca="1" si="10"/>
        <v>#NAME?</v>
      </c>
      <c r="R11" s="214" t="e">
        <f t="shared" ca="1" si="11"/>
        <v>#NAME?</v>
      </c>
      <c r="S11" s="7" t="e">
        <f t="shared" ca="1" si="12"/>
        <v>#NAME?</v>
      </c>
      <c r="T11" s="215" t="e">
        <f t="shared" ca="1" si="13"/>
        <v>#NAME?</v>
      </c>
      <c r="U11" s="7" t="e">
        <f t="shared" ca="1" si="14"/>
        <v>#NAME?</v>
      </c>
      <c r="V11" s="7">
        <f t="shared" si="15"/>
        <v>13.928120234846661</v>
      </c>
      <c r="AA11" t="s">
        <v>164</v>
      </c>
      <c r="AB11" s="350" t="e">
        <f ca="1">IF(AB9&lt;AB10,"yes","no")</f>
        <v>#NAME?</v>
      </c>
      <c r="AC11" s="20"/>
      <c r="AD11" s="396" t="s">
        <v>898</v>
      </c>
    </row>
    <row r="12" spans="1:38" x14ac:dyDescent="0.25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>
        <f t="shared" si="1"/>
        <v>21</v>
      </c>
      <c r="H12">
        <f t="shared" si="2"/>
        <v>1</v>
      </c>
      <c r="I12" s="214">
        <f t="shared" si="3"/>
        <v>67</v>
      </c>
      <c r="J12" s="7">
        <f t="shared" si="4"/>
        <v>9</v>
      </c>
      <c r="K12" s="7">
        <f t="shared" si="5"/>
        <v>8</v>
      </c>
      <c r="L12" s="215">
        <f t="shared" si="6"/>
        <v>84</v>
      </c>
      <c r="M12" s="214" t="e">
        <f t="shared" ca="1" si="7"/>
        <v>#NAME?</v>
      </c>
      <c r="N12" s="215" t="e">
        <f t="shared" ca="1" si="7"/>
        <v>#NAME?</v>
      </c>
      <c r="O12" s="214" t="e">
        <f t="shared" ca="1" si="8"/>
        <v>#NAME?</v>
      </c>
      <c r="P12" s="7" t="e">
        <f t="shared" ca="1" si="9"/>
        <v>#NAME?</v>
      </c>
      <c r="Q12" s="215" t="e">
        <f t="shared" ca="1" si="10"/>
        <v>#NAME?</v>
      </c>
      <c r="R12" s="214" t="e">
        <f t="shared" ca="1" si="11"/>
        <v>#NAME?</v>
      </c>
      <c r="S12" s="7" t="e">
        <f t="shared" ca="1" si="12"/>
        <v>#NAME?</v>
      </c>
      <c r="T12" s="215" t="e">
        <f t="shared" ca="1" si="13"/>
        <v>#NAME?</v>
      </c>
      <c r="U12" s="7" t="e">
        <f t="shared" ca="1" si="14"/>
        <v>#NAME?</v>
      </c>
      <c r="V12" s="7">
        <f t="shared" si="15"/>
        <v>50.180585597489312</v>
      </c>
    </row>
    <row r="13" spans="1:38" x14ac:dyDescent="0.25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G13">
        <f t="shared" si="1"/>
        <v>22</v>
      </c>
      <c r="H13">
        <f t="shared" si="2"/>
        <v>1</v>
      </c>
      <c r="I13" s="214">
        <f t="shared" si="3"/>
        <v>55</v>
      </c>
      <c r="J13" s="7">
        <f t="shared" si="4"/>
        <v>20</v>
      </c>
      <c r="K13" s="7">
        <f t="shared" si="5"/>
        <v>14</v>
      </c>
      <c r="L13" s="215">
        <f t="shared" si="6"/>
        <v>89</v>
      </c>
      <c r="M13" s="214" t="e">
        <f t="shared" ca="1" si="7"/>
        <v>#NAME?</v>
      </c>
      <c r="N13" s="215" t="e">
        <f t="shared" ca="1" si="7"/>
        <v>#NAME?</v>
      </c>
      <c r="O13" s="214" t="e">
        <f t="shared" ca="1" si="8"/>
        <v>#NAME?</v>
      </c>
      <c r="P13" s="7" t="e">
        <f t="shared" ca="1" si="9"/>
        <v>#NAME?</v>
      </c>
      <c r="Q13" s="215" t="e">
        <f t="shared" ca="1" si="10"/>
        <v>#NAME?</v>
      </c>
      <c r="R13" s="214" t="e">
        <f t="shared" ca="1" si="11"/>
        <v>#NAME?</v>
      </c>
      <c r="S13" s="7" t="e">
        <f t="shared" ca="1" si="12"/>
        <v>#NAME?</v>
      </c>
      <c r="T13" s="215" t="e">
        <f t="shared" ca="1" si="13"/>
        <v>#NAME?</v>
      </c>
      <c r="U13" s="7" t="e">
        <f t="shared" ca="1" si="14"/>
        <v>#NAME?</v>
      </c>
      <c r="V13" s="7">
        <f t="shared" si="15"/>
        <v>77.798546857959138</v>
      </c>
      <c r="AA13" t="s">
        <v>661</v>
      </c>
      <c r="AB13" s="380" t="e">
        <f ca="1">1-(AB5-V17)/(AB4-V17)</f>
        <v>#NAME?</v>
      </c>
      <c r="AC13" s="7"/>
      <c r="AD13" s="395" t="e">
        <f ca="1">FTEXT(AB13)</f>
        <v>#NAME?</v>
      </c>
    </row>
    <row r="14" spans="1:38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>
        <f t="shared" si="1"/>
        <v>23</v>
      </c>
      <c r="H14">
        <f t="shared" si="2"/>
        <v>1</v>
      </c>
      <c r="I14" s="214">
        <f t="shared" si="3"/>
        <v>49</v>
      </c>
      <c r="J14" s="7">
        <f t="shared" si="4"/>
        <v>55</v>
      </c>
      <c r="K14" s="7">
        <f t="shared" si="5"/>
        <v>20</v>
      </c>
      <c r="L14" s="215">
        <f t="shared" si="6"/>
        <v>124</v>
      </c>
      <c r="M14" s="214" t="e">
        <f t="shared" ca="1" si="7"/>
        <v>#NAME?</v>
      </c>
      <c r="N14" s="215" t="e">
        <f t="shared" ca="1" si="7"/>
        <v>#NAME?</v>
      </c>
      <c r="O14" s="214" t="e">
        <f t="shared" ca="1" si="8"/>
        <v>#NAME?</v>
      </c>
      <c r="P14" s="7" t="e">
        <f t="shared" ca="1" si="9"/>
        <v>#NAME?</v>
      </c>
      <c r="Q14" s="215" t="e">
        <f t="shared" ca="1" si="10"/>
        <v>#NAME?</v>
      </c>
      <c r="R14" s="214" t="e">
        <f t="shared" ca="1" si="11"/>
        <v>#NAME?</v>
      </c>
      <c r="S14" s="7" t="e">
        <f t="shared" ca="1" si="12"/>
        <v>#NAME?</v>
      </c>
      <c r="T14" s="215" t="e">
        <f t="shared" ca="1" si="13"/>
        <v>#NAME?</v>
      </c>
      <c r="U14" s="7" t="e">
        <f t="shared" ca="1" si="14"/>
        <v>#NAME?</v>
      </c>
      <c r="V14" s="7">
        <f t="shared" si="15"/>
        <v>121.81585963705966</v>
      </c>
      <c r="AA14" t="s">
        <v>662</v>
      </c>
      <c r="AB14" s="322" t="e">
        <f ca="1">1-EXP((-2/L17)*(AB5-AB4))</f>
        <v>#NAME?</v>
      </c>
      <c r="AC14" s="7"/>
      <c r="AD14" s="395" t="e">
        <f ca="1">FTEXT(AB14)</f>
        <v>#NAME?</v>
      </c>
    </row>
    <row r="15" spans="1:38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>
        <f t="shared" si="1"/>
        <v>24</v>
      </c>
      <c r="H15">
        <f t="shared" si="2"/>
        <v>1</v>
      </c>
      <c r="I15" s="214">
        <f t="shared" si="3"/>
        <v>12</v>
      </c>
      <c r="J15" s="7">
        <f t="shared" si="4"/>
        <v>36</v>
      </c>
      <c r="K15" s="7">
        <f t="shared" si="5"/>
        <v>15</v>
      </c>
      <c r="L15" s="215">
        <f t="shared" si="6"/>
        <v>63</v>
      </c>
      <c r="M15" s="214" t="e">
        <f t="shared" ca="1" si="7"/>
        <v>#NAME?</v>
      </c>
      <c r="N15" s="215" t="e">
        <f t="shared" ca="1" si="7"/>
        <v>#NAME?</v>
      </c>
      <c r="O15" s="214" t="e">
        <f t="shared" ca="1" si="8"/>
        <v>#NAME?</v>
      </c>
      <c r="P15" s="7" t="e">
        <f t="shared" ca="1" si="9"/>
        <v>#NAME?</v>
      </c>
      <c r="Q15" s="215" t="e">
        <f t="shared" ca="1" si="10"/>
        <v>#NAME?</v>
      </c>
      <c r="R15" s="214" t="e">
        <f t="shared" ca="1" si="11"/>
        <v>#NAME?</v>
      </c>
      <c r="S15" s="7" t="e">
        <f t="shared" ca="1" si="12"/>
        <v>#NAME?</v>
      </c>
      <c r="T15" s="215" t="e">
        <f t="shared" ca="1" si="13"/>
        <v>#NAME?</v>
      </c>
      <c r="U15" s="7" t="e">
        <f t="shared" ca="1" si="14"/>
        <v>#NAME?</v>
      </c>
      <c r="V15" s="7">
        <f t="shared" si="15"/>
        <v>57.403135977635543</v>
      </c>
      <c r="AA15" t="s">
        <v>663</v>
      </c>
      <c r="AB15" s="349" t="e">
        <f ca="1">AB14/(1-EXP(2*(AB4-V17)/L17))</f>
        <v>#NAME?</v>
      </c>
      <c r="AC15" s="7"/>
      <c r="AD15" s="395" t="e">
        <f ca="1">FTEXT(AB15)</f>
        <v>#NAME?</v>
      </c>
    </row>
    <row r="16" spans="1:38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>
        <f t="shared" si="1"/>
        <v>25</v>
      </c>
      <c r="H16">
        <f t="shared" si="2"/>
        <v>1</v>
      </c>
      <c r="I16" s="112">
        <f t="shared" si="3"/>
        <v>6</v>
      </c>
      <c r="J16" s="354">
        <f t="shared" si="4"/>
        <v>18</v>
      </c>
      <c r="K16" s="354">
        <f t="shared" si="5"/>
        <v>5</v>
      </c>
      <c r="L16" s="120">
        <f t="shared" si="6"/>
        <v>29</v>
      </c>
      <c r="M16" s="112" t="e">
        <f t="shared" ca="1" si="7"/>
        <v>#NAME?</v>
      </c>
      <c r="N16" s="120" t="e">
        <f t="shared" ca="1" si="7"/>
        <v>#NAME?</v>
      </c>
      <c r="O16" s="112" t="e">
        <f t="shared" ca="1" si="8"/>
        <v>#NAME?</v>
      </c>
      <c r="P16" s="354" t="e">
        <f t="shared" ca="1" si="9"/>
        <v>#NAME?</v>
      </c>
      <c r="Q16" s="120" t="e">
        <f t="shared" ca="1" si="10"/>
        <v>#NAME?</v>
      </c>
      <c r="R16" s="112" t="e">
        <f t="shared" ca="1" si="11"/>
        <v>#NAME?</v>
      </c>
      <c r="S16" s="354" t="e">
        <f t="shared" ca="1" si="12"/>
        <v>#NAME?</v>
      </c>
      <c r="T16" s="120" t="e">
        <f t="shared" ca="1" si="13"/>
        <v>#NAME?</v>
      </c>
      <c r="U16" s="7" t="e">
        <f t="shared" ca="1" si="14"/>
        <v>#NAME?</v>
      </c>
      <c r="V16" s="7">
        <f t="shared" si="15"/>
        <v>23.494850804342796</v>
      </c>
    </row>
    <row r="17" spans="3:22" x14ac:dyDescent="0.25">
      <c r="C17">
        <f>SUM(C5:C16)</f>
        <v>400</v>
      </c>
      <c r="D17">
        <f>SUM(D5:D16)</f>
        <v>270</v>
      </c>
      <c r="E17">
        <f>SUM(E5:E16)</f>
        <v>190</v>
      </c>
      <c r="G17" s="361"/>
      <c r="H17" s="361"/>
      <c r="I17" s="361">
        <f>SUM(I5:I16)</f>
        <v>400</v>
      </c>
      <c r="J17" s="361">
        <f>SUM(J5:J16)</f>
        <v>270</v>
      </c>
      <c r="K17" s="387">
        <f>SUM(K5:K16)</f>
        <v>190</v>
      </c>
      <c r="L17" s="387">
        <f>SUM(L5:L16)</f>
        <v>860</v>
      </c>
      <c r="O17" s="387"/>
      <c r="R17" s="361" t="e">
        <f ca="1">SUM(R5:R16)</f>
        <v>#NAME?</v>
      </c>
      <c r="S17" s="361" t="e">
        <f ca="1">SUM(S5:S16)</f>
        <v>#NAME?</v>
      </c>
      <c r="T17" s="361" t="e">
        <f ca="1">SUM(T5:T16)</f>
        <v>#NAME?</v>
      </c>
      <c r="U17" s="361" t="e">
        <f ca="1">SUM(U5:U16)</f>
        <v>#NAME?</v>
      </c>
      <c r="V17" s="361">
        <f>SUM(V5:V16)</f>
        <v>742.48185857521344</v>
      </c>
    </row>
    <row r="19" spans="3:22" x14ac:dyDescent="0.25">
      <c r="G19" t="s">
        <v>874</v>
      </c>
    </row>
    <row r="20" spans="3:22" ht="15.75" thickBot="1" x14ac:dyDescent="0.3"/>
    <row r="21" spans="3:22" ht="15.75" thickTop="1" x14ac:dyDescent="0.25">
      <c r="G21" s="360"/>
      <c r="H21" s="360" t="s">
        <v>755</v>
      </c>
      <c r="I21" s="360" t="s">
        <v>148</v>
      </c>
      <c r="J21" s="360" t="s">
        <v>756</v>
      </c>
      <c r="K21" s="360" t="s">
        <v>48</v>
      </c>
      <c r="L21" s="360" t="s">
        <v>757</v>
      </c>
      <c r="M21" s="360" t="s">
        <v>15</v>
      </c>
      <c r="N21" s="360" t="s">
        <v>16</v>
      </c>
    </row>
    <row r="22" spans="3:22" x14ac:dyDescent="0.25">
      <c r="G22" t="s">
        <v>127</v>
      </c>
      <c r="H22" t="e">
        <f t="array" aca="1" ref="H22:N24" ca="1">LogitCoeff(MLogitExtract(A5:E16,2,"1,0",FALSE))</f>
        <v>#NAME?</v>
      </c>
      <c r="I22" t="e">
        <f ca="1"/>
        <v>#NAME?</v>
      </c>
      <c r="J22" t="e">
        <f ca="1"/>
        <v>#NAME?</v>
      </c>
      <c r="K22" t="e">
        <f ca="1"/>
        <v>#NAME?</v>
      </c>
      <c r="L22" t="e">
        <f ca="1"/>
        <v>#NAME?</v>
      </c>
      <c r="M22" t="e">
        <f ca="1"/>
        <v>#NAME?</v>
      </c>
      <c r="N22" t="e">
        <f ca="1"/>
        <v>#NAME?</v>
      </c>
    </row>
    <row r="23" spans="3:22" x14ac:dyDescent="0.25">
      <c r="G23" t="str">
        <f t="array" ref="G23:G24">TRANSPOSE(G4:H4)</f>
        <v>Dosage</v>
      </c>
      <c r="H23" t="e">
        <f ca="1"/>
        <v>#NAME?</v>
      </c>
      <c r="I23" t="e">
        <f ca="1"/>
        <v>#NAME?</v>
      </c>
      <c r="J23" t="e">
        <f ca="1"/>
        <v>#NAME?</v>
      </c>
      <c r="K23" t="e">
        <f ca="1"/>
        <v>#NAME?</v>
      </c>
      <c r="L23" t="e">
        <f ca="1"/>
        <v>#NAME?</v>
      </c>
      <c r="M23" t="e">
        <f ca="1"/>
        <v>#NAME?</v>
      </c>
      <c r="N23" t="e">
        <f ca="1"/>
        <v>#NAME?</v>
      </c>
    </row>
    <row r="24" spans="3:22" x14ac:dyDescent="0.25">
      <c r="G24" s="354" t="str">
        <v>Gender</v>
      </c>
      <c r="H24" s="354" t="e">
        <f ca="1"/>
        <v>#NAME?</v>
      </c>
      <c r="I24" s="354" t="e">
        <f ca="1"/>
        <v>#NAME?</v>
      </c>
      <c r="J24" s="354" t="e">
        <f ca="1"/>
        <v>#NAME?</v>
      </c>
      <c r="K24" s="354" t="e">
        <f ca="1"/>
        <v>#NAME?</v>
      </c>
      <c r="L24" s="354" t="e">
        <f ca="1"/>
        <v>#NAME?</v>
      </c>
      <c r="M24" s="354" t="e">
        <f ca="1"/>
        <v>#NAME?</v>
      </c>
      <c r="N24" s="354" t="e">
        <f ca="1"/>
        <v>#NAME?</v>
      </c>
    </row>
    <row r="26" spans="3:22" x14ac:dyDescent="0.25">
      <c r="G26" t="s">
        <v>895</v>
      </c>
    </row>
    <row r="27" spans="3:22" ht="15.75" thickBot="1" x14ac:dyDescent="0.3"/>
    <row r="28" spans="3:22" ht="15.75" thickTop="1" x14ac:dyDescent="0.25">
      <c r="G28" s="360"/>
      <c r="H28" s="360" t="s">
        <v>755</v>
      </c>
      <c r="I28" s="360" t="s">
        <v>148</v>
      </c>
      <c r="J28" s="360" t="s">
        <v>756</v>
      </c>
      <c r="K28" s="360" t="s">
        <v>48</v>
      </c>
      <c r="L28" s="360" t="s">
        <v>757</v>
      </c>
      <c r="M28" s="360" t="s">
        <v>15</v>
      </c>
      <c r="N28" s="360" t="s">
        <v>16</v>
      </c>
    </row>
    <row r="29" spans="3:22" x14ac:dyDescent="0.25">
      <c r="G29" t="s">
        <v>127</v>
      </c>
      <c r="H29" t="e">
        <f t="array" aca="1" ref="H29:N31" ca="1">LogitCoeff(MLogitExtract(A5:E16,2,"2,0",FALSE))</f>
        <v>#NAME?</v>
      </c>
      <c r="I29" t="e">
        <f ca="1"/>
        <v>#NAME?</v>
      </c>
      <c r="J29" t="e">
        <f ca="1"/>
        <v>#NAME?</v>
      </c>
      <c r="K29" t="e">
        <f ca="1"/>
        <v>#NAME?</v>
      </c>
      <c r="L29" t="e">
        <f ca="1"/>
        <v>#NAME?</v>
      </c>
      <c r="M29" t="e">
        <f ca="1"/>
        <v>#NAME?</v>
      </c>
      <c r="N29" t="e">
        <f ca="1"/>
        <v>#NAME?</v>
      </c>
    </row>
    <row r="30" spans="3:22" x14ac:dyDescent="0.25">
      <c r="G30" t="str">
        <f t="array" ref="G30:G31">TRANSPOSE(G4:H4)</f>
        <v>Dosage</v>
      </c>
      <c r="H30" t="e">
        <f ca="1"/>
        <v>#NAME?</v>
      </c>
      <c r="I30" t="e">
        <f ca="1"/>
        <v>#NAME?</v>
      </c>
      <c r="J30" t="e">
        <f ca="1"/>
        <v>#NAME?</v>
      </c>
      <c r="K30" t="e">
        <f ca="1"/>
        <v>#NAME?</v>
      </c>
      <c r="L30" t="e">
        <f ca="1"/>
        <v>#NAME?</v>
      </c>
      <c r="M30" t="e">
        <f ca="1"/>
        <v>#NAME?</v>
      </c>
      <c r="N30" t="e">
        <f ca="1"/>
        <v>#NAME?</v>
      </c>
    </row>
    <row r="31" spans="3:22" x14ac:dyDescent="0.25">
      <c r="G31" s="354" t="str">
        <v>Gender</v>
      </c>
      <c r="H31" s="354" t="e">
        <f ca="1"/>
        <v>#NAME?</v>
      </c>
      <c r="I31" s="354" t="e">
        <f ca="1"/>
        <v>#NAME?</v>
      </c>
      <c r="J31" s="354" t="e">
        <f ca="1"/>
        <v>#NAME?</v>
      </c>
      <c r="K31" s="354" t="e">
        <f ca="1"/>
        <v>#NAME?</v>
      </c>
      <c r="L31" s="354" t="e">
        <f ca="1"/>
        <v>#NAME?</v>
      </c>
      <c r="M31" s="354" t="e">
        <f ca="1"/>
        <v>#NAME?</v>
      </c>
      <c r="N31" s="354" t="e">
        <f ca="1"/>
        <v>#NAME?</v>
      </c>
    </row>
  </sheetData>
  <mergeCells count="7">
    <mergeCell ref="G3:H3"/>
    <mergeCell ref="X4:Y4"/>
    <mergeCell ref="O3:Q3"/>
    <mergeCell ref="R3:T3"/>
    <mergeCell ref="I3:L3"/>
    <mergeCell ref="M3:N3"/>
    <mergeCell ref="U3:V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AJ31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8" max="8" width="9.140625" customWidth="1"/>
    <col min="12" max="13" width="9.140625" customWidth="1"/>
    <col min="22" max="23" width="9.140625" customWidth="1"/>
    <col min="30" max="30" width="9.140625" customWidth="1"/>
    <col min="32" max="33" width="11.140625" customWidth="1"/>
  </cols>
  <sheetData>
    <row r="1" spans="1:36" x14ac:dyDescent="0.25">
      <c r="A1" s="1" t="s">
        <v>854</v>
      </c>
    </row>
    <row r="2" spans="1:36" x14ac:dyDescent="0.25">
      <c r="A2" t="s">
        <v>865</v>
      </c>
    </row>
    <row r="3" spans="1:36" ht="15.75" thickBot="1" x14ac:dyDescent="0.3">
      <c r="G3" s="772" t="s">
        <v>892</v>
      </c>
      <c r="H3" s="772"/>
      <c r="I3" s="772" t="s">
        <v>77</v>
      </c>
      <c r="J3" s="772"/>
      <c r="K3" s="772"/>
      <c r="L3" s="772"/>
      <c r="M3" s="772" t="s">
        <v>93</v>
      </c>
      <c r="N3" s="772"/>
      <c r="O3" s="772" t="s">
        <v>894</v>
      </c>
      <c r="P3" s="772"/>
      <c r="Q3" s="772"/>
      <c r="R3" s="772" t="s">
        <v>893</v>
      </c>
      <c r="S3" s="772"/>
      <c r="T3" s="772"/>
      <c r="U3" s="772" t="s">
        <v>891</v>
      </c>
      <c r="V3" s="772"/>
    </row>
    <row r="4" spans="1:36" ht="15.75" thickTop="1" x14ac:dyDescent="0.25">
      <c r="A4" s="294" t="s">
        <v>861</v>
      </c>
      <c r="B4" s="294" t="s">
        <v>180</v>
      </c>
      <c r="C4" s="294" t="s">
        <v>863</v>
      </c>
      <c r="D4" s="294" t="s">
        <v>81</v>
      </c>
      <c r="E4" s="294" t="s">
        <v>862</v>
      </c>
      <c r="G4" s="386" t="str">
        <f>A4</f>
        <v>Dosage</v>
      </c>
      <c r="H4" s="386" t="str">
        <f t="shared" ref="H4:K16" si="0">B4</f>
        <v>Gender</v>
      </c>
      <c r="I4" s="386" t="str">
        <f t="shared" si="0"/>
        <v>Dead</v>
      </c>
      <c r="J4" s="386" t="str">
        <f t="shared" si="0"/>
        <v>Cured</v>
      </c>
      <c r="K4" s="386" t="str">
        <f t="shared" si="0"/>
        <v>Sick</v>
      </c>
      <c r="L4" s="386" t="s">
        <v>1</v>
      </c>
      <c r="M4" s="386" t="str">
        <f>J4</f>
        <v>Cured</v>
      </c>
      <c r="N4" s="386" t="str">
        <f>K4</f>
        <v>Sick</v>
      </c>
      <c r="O4" s="386" t="str">
        <f>I4</f>
        <v>Dead</v>
      </c>
      <c r="P4" s="386" t="str">
        <f>J4</f>
        <v>Cured</v>
      </c>
      <c r="Q4" s="386" t="str">
        <f>K4</f>
        <v>Sick</v>
      </c>
      <c r="R4" s="386" t="str">
        <f>O4</f>
        <v>Dead</v>
      </c>
      <c r="S4" s="386" t="str">
        <f>P4</f>
        <v>Cured</v>
      </c>
      <c r="T4" s="386" t="str">
        <f>Q4</f>
        <v>Sick</v>
      </c>
      <c r="U4" s="386" t="s">
        <v>626</v>
      </c>
      <c r="V4" s="386" t="s">
        <v>860</v>
      </c>
      <c r="X4" t="s">
        <v>660</v>
      </c>
      <c r="AA4" t="s">
        <v>625</v>
      </c>
      <c r="AB4" s="380">
        <f>I17*LN(I17/L17)+J17*LN(J17/L17)+K17*LN(K17/L17)+V17</f>
        <v>-163.38567469443615</v>
      </c>
      <c r="AD4" t="s">
        <v>855</v>
      </c>
    </row>
    <row r="5" spans="1:36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G5">
        <f>A5</f>
        <v>20</v>
      </c>
      <c r="H5">
        <f t="shared" si="0"/>
        <v>0</v>
      </c>
      <c r="I5" s="344">
        <f t="shared" si="0"/>
        <v>13</v>
      </c>
      <c r="J5" s="345">
        <f t="shared" si="0"/>
        <v>0</v>
      </c>
      <c r="K5" s="345">
        <f t="shared" si="0"/>
        <v>8</v>
      </c>
      <c r="L5" s="347">
        <f>SUM(I5:K5)</f>
        <v>21</v>
      </c>
      <c r="M5" s="344">
        <f>EXP(X$6+MMULT($G5:$H5,X$7:X$8))</f>
        <v>6.2373521108151975E-2</v>
      </c>
      <c r="N5" s="347">
        <f>EXP(Y$6+MMULT($G5:$H5,Y$7:Y$8))</f>
        <v>0.2901684801631994</v>
      </c>
      <c r="O5" s="344">
        <f>1/(1+$M5+$N5)</f>
        <v>0.73934857406278565</v>
      </c>
      <c r="P5" s="345">
        <f>M5*O5</f>
        <v>4.6115773890587221E-2</v>
      </c>
      <c r="Q5" s="347">
        <f>N5*O5</f>
        <v>0.2145356520466272</v>
      </c>
      <c r="R5" s="344">
        <f>O5*$L5</f>
        <v>15.526320055318498</v>
      </c>
      <c r="S5" s="345">
        <f t="shared" ref="S5:T16" si="1">P5*$L5</f>
        <v>0.96843125170233169</v>
      </c>
      <c r="T5" s="347">
        <f t="shared" si="1"/>
        <v>4.5052486929791709</v>
      </c>
      <c r="U5" s="7">
        <f>I5*LN(O5)+J5*LN(P5)+K5*LN(Q5)</f>
        <v>-16.240049970752466</v>
      </c>
      <c r="V5">
        <f>GAMMALN(L5+1)-GAMMALN(I5+1)-GAMMALN(J5+1)-GAMMALN(K5+1)</f>
        <v>12.223372142608234</v>
      </c>
      <c r="AA5" t="s">
        <v>653</v>
      </c>
      <c r="AB5" s="349">
        <f>U17+V17</f>
        <v>-66.505076705878082</v>
      </c>
    </row>
    <row r="6" spans="1:36" x14ac:dyDescent="0.25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>
        <f t="shared" ref="G6:G16" si="2">A6</f>
        <v>21</v>
      </c>
      <c r="H6">
        <f t="shared" si="0"/>
        <v>0</v>
      </c>
      <c r="I6" s="214">
        <f t="shared" si="0"/>
        <v>60</v>
      </c>
      <c r="J6" s="7">
        <f t="shared" si="0"/>
        <v>6</v>
      </c>
      <c r="K6" s="7">
        <f t="shared" si="0"/>
        <v>30</v>
      </c>
      <c r="L6" s="215">
        <f t="shared" ref="L6:L16" si="3">SUM(I6:K6)</f>
        <v>96</v>
      </c>
      <c r="M6" s="214">
        <f t="shared" ref="M6:M16" si="4">EXP(X$6+MMULT($G6:$H6,X$7:X$8))</f>
        <v>0.15635308518308863</v>
      </c>
      <c r="N6" s="215">
        <f t="shared" ref="N6:N16" si="5">EXP(Y$6+MMULT($G6:$H6,Y$7:Y$8))</f>
        <v>0.41915888099907195</v>
      </c>
      <c r="O6" s="214">
        <f t="shared" ref="O6:O16" si="6">1/(1+$M6+$N6)</f>
        <v>0.63471431602213557</v>
      </c>
      <c r="P6" s="7">
        <f t="shared" ref="P6:P16" si="7">M6*O6</f>
        <v>9.9239541519934804E-2</v>
      </c>
      <c r="Q6" s="215">
        <f t="shared" ref="Q6:Q16" si="8">N6*O6</f>
        <v>0.26604614245792968</v>
      </c>
      <c r="R6" s="214">
        <f t="shared" ref="R6:R16" si="9">O6*$L6</f>
        <v>60.932574338125015</v>
      </c>
      <c r="S6" s="7">
        <f t="shared" si="1"/>
        <v>9.5269959859137412</v>
      </c>
      <c r="T6" s="215">
        <f t="shared" si="1"/>
        <v>25.540429675961249</v>
      </c>
      <c r="U6" s="7">
        <f t="shared" ref="U6:U16" si="10">I6*LN(O6)+J6*LN(P6)+K6*LN(Q6)</f>
        <v>-80.858694602275747</v>
      </c>
      <c r="V6">
        <f t="shared" ref="V6:V16" si="11">GAMMALN(L6+1)-GAMMALN(I6+1)-GAMMALN(J6+1)-GAMMALN(K6+1)</f>
        <v>75.513746077754988</v>
      </c>
      <c r="X6" s="362">
        <v>-21.154133877889475</v>
      </c>
      <c r="Y6" s="391">
        <v>-8.5930599308358797</v>
      </c>
      <c r="AD6" s="56" t="s">
        <v>861</v>
      </c>
      <c r="AE6" s="56" t="s">
        <v>180</v>
      </c>
      <c r="AF6" s="56" t="s">
        <v>1473</v>
      </c>
      <c r="AG6" s="56" t="s">
        <v>1474</v>
      </c>
      <c r="AH6" s="56" t="s">
        <v>863</v>
      </c>
      <c r="AI6" s="56" t="s">
        <v>81</v>
      </c>
      <c r="AJ6" s="56" t="s">
        <v>862</v>
      </c>
    </row>
    <row r="7" spans="1:36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>
        <f t="shared" si="2"/>
        <v>22</v>
      </c>
      <c r="H7">
        <f t="shared" si="0"/>
        <v>0</v>
      </c>
      <c r="I7" s="214">
        <f t="shared" si="0"/>
        <v>61</v>
      </c>
      <c r="J7" s="7">
        <f t="shared" si="0"/>
        <v>13</v>
      </c>
      <c r="K7" s="7">
        <f t="shared" si="0"/>
        <v>40</v>
      </c>
      <c r="L7" s="215">
        <f t="shared" si="3"/>
        <v>114</v>
      </c>
      <c r="M7" s="214">
        <f t="shared" si="4"/>
        <v>0.39193373745698534</v>
      </c>
      <c r="N7" s="215">
        <f t="shared" si="5"/>
        <v>0.60549018770604723</v>
      </c>
      <c r="O7" s="214">
        <f t="shared" si="6"/>
        <v>0.50064484929926856</v>
      </c>
      <c r="P7" s="7">
        <f t="shared" si="7"/>
        <v>0.19621960692445151</v>
      </c>
      <c r="Q7" s="215">
        <f t="shared" si="8"/>
        <v>0.30313554377627983</v>
      </c>
      <c r="R7" s="214">
        <f t="shared" si="9"/>
        <v>57.073512820116619</v>
      </c>
      <c r="S7" s="7">
        <f t="shared" si="1"/>
        <v>22.369035189387471</v>
      </c>
      <c r="T7" s="215">
        <f t="shared" si="1"/>
        <v>34.557451990495899</v>
      </c>
      <c r="U7" s="7">
        <f t="shared" si="10"/>
        <v>-111.11713690488588</v>
      </c>
      <c r="V7">
        <f t="shared" si="11"/>
        <v>103.60254101092582</v>
      </c>
      <c r="X7" s="322">
        <v>0.91897597215044968</v>
      </c>
      <c r="Y7" s="185">
        <v>0.36778831861094008</v>
      </c>
      <c r="AA7" t="s">
        <v>664</v>
      </c>
      <c r="AB7" s="380">
        <f>2*(AB5-AB4)</f>
        <v>193.76119597711613</v>
      </c>
      <c r="AD7" s="344">
        <v>24</v>
      </c>
      <c r="AE7" s="345">
        <v>1</v>
      </c>
      <c r="AF7" s="344">
        <f t="shared" ref="AF7:AG10" si="12">EXP(X$6+MMULT($AD7:$AE7,X$7:X$8))</f>
        <v>2.4308853155764618</v>
      </c>
      <c r="AG7" s="347">
        <f t="shared" si="12"/>
        <v>0.59664380404820372</v>
      </c>
      <c r="AH7" s="345">
        <f>1/(1+AF7+AG7)</f>
        <v>0.24829119052854728</v>
      </c>
      <c r="AI7" s="345">
        <f t="shared" ref="AI7:AJ10" si="13">AF7*$AH7</f>
        <v>0.60356740904284312</v>
      </c>
      <c r="AJ7" s="347">
        <f t="shared" si="13"/>
        <v>0.14814140042860979</v>
      </c>
    </row>
    <row r="8" spans="1:36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G8">
        <f t="shared" si="2"/>
        <v>23</v>
      </c>
      <c r="H8">
        <f t="shared" si="0"/>
        <v>0</v>
      </c>
      <c r="I8" s="214">
        <f t="shared" si="0"/>
        <v>49</v>
      </c>
      <c r="J8" s="7">
        <f t="shared" si="0"/>
        <v>60</v>
      </c>
      <c r="K8" s="7">
        <f t="shared" si="0"/>
        <v>25</v>
      </c>
      <c r="L8" s="215">
        <f t="shared" si="3"/>
        <v>134</v>
      </c>
      <c r="M8" s="214">
        <f t="shared" si="4"/>
        <v>0.98246897000543498</v>
      </c>
      <c r="N8" s="215">
        <f t="shared" si="5"/>
        <v>0.87465251012805478</v>
      </c>
      <c r="O8" s="214">
        <f t="shared" si="6"/>
        <v>0.35000261870324051</v>
      </c>
      <c r="P8" s="7">
        <f t="shared" si="7"/>
        <v>0.34386671229657767</v>
      </c>
      <c r="Q8" s="215">
        <f t="shared" si="8"/>
        <v>0.30613066900018177</v>
      </c>
      <c r="R8" s="214">
        <f t="shared" si="9"/>
        <v>46.90035090623423</v>
      </c>
      <c r="S8" s="7">
        <f t="shared" si="1"/>
        <v>46.078139447741407</v>
      </c>
      <c r="T8" s="215">
        <f t="shared" si="1"/>
        <v>41.021509646024356</v>
      </c>
      <c r="U8" s="7">
        <f t="shared" si="10"/>
        <v>-145.08456827268731</v>
      </c>
      <c r="V8">
        <f t="shared" si="11"/>
        <v>134.48149092299815</v>
      </c>
      <c r="X8" s="349">
        <v>-1.3033935322250792E-2</v>
      </c>
      <c r="Y8" s="123">
        <v>-0.75029470261389919</v>
      </c>
      <c r="AA8" t="s">
        <v>41</v>
      </c>
      <c r="AB8" s="322">
        <f>COUNT(X7:Y8)</f>
        <v>4</v>
      </c>
      <c r="AD8" s="214">
        <v>24</v>
      </c>
      <c r="AE8" s="7">
        <v>0</v>
      </c>
      <c r="AF8" s="214">
        <f t="shared" si="12"/>
        <v>2.4627767012006188</v>
      </c>
      <c r="AG8" s="215">
        <f t="shared" si="12"/>
        <v>1.2634672353182796</v>
      </c>
      <c r="AH8" s="7">
        <f>1/(1+AF8+AG8)</f>
        <v>0.21158450842394463</v>
      </c>
      <c r="AI8" s="7">
        <f t="shared" si="13"/>
        <v>0.52108539768147688</v>
      </c>
      <c r="AJ8" s="215">
        <f t="shared" si="13"/>
        <v>0.26733009389457857</v>
      </c>
    </row>
    <row r="9" spans="1:36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G9">
        <f t="shared" si="2"/>
        <v>24</v>
      </c>
      <c r="H9">
        <f t="shared" si="0"/>
        <v>0</v>
      </c>
      <c r="I9" s="214">
        <f t="shared" si="0"/>
        <v>8</v>
      </c>
      <c r="J9" s="7">
        <f t="shared" si="0"/>
        <v>29</v>
      </c>
      <c r="K9" s="7">
        <f t="shared" si="0"/>
        <v>15</v>
      </c>
      <c r="L9" s="215">
        <f t="shared" si="3"/>
        <v>52</v>
      </c>
      <c r="M9" s="214">
        <f t="shared" si="4"/>
        <v>2.4627767012006188</v>
      </c>
      <c r="N9" s="215">
        <f t="shared" si="5"/>
        <v>1.2634672353182796</v>
      </c>
      <c r="O9" s="214">
        <f t="shared" si="6"/>
        <v>0.21158450842394463</v>
      </c>
      <c r="P9" s="7">
        <f t="shared" si="7"/>
        <v>0.52108539768147688</v>
      </c>
      <c r="Q9" s="215">
        <f t="shared" si="8"/>
        <v>0.26733009389457857</v>
      </c>
      <c r="R9" s="214">
        <f t="shared" si="9"/>
        <v>11.002394438045121</v>
      </c>
      <c r="S9" s="7">
        <f t="shared" si="1"/>
        <v>27.096440679436796</v>
      </c>
      <c r="T9" s="215">
        <f t="shared" si="1"/>
        <v>13.901164882518085</v>
      </c>
      <c r="U9" s="7">
        <f t="shared" si="10"/>
        <v>-51.117511355509862</v>
      </c>
      <c r="V9">
        <f t="shared" si="11"/>
        <v>46.599923049324644</v>
      </c>
      <c r="AA9" t="s">
        <v>48</v>
      </c>
      <c r="AB9" s="322">
        <f>CHIDIST(AB7,AB8)</f>
        <v>8.2411440240841424E-41</v>
      </c>
      <c r="AD9" s="284">
        <v>24.5</v>
      </c>
      <c r="AE9" s="7">
        <v>1</v>
      </c>
      <c r="AF9" s="214">
        <f t="shared" si="12"/>
        <v>3.8487310804294448</v>
      </c>
      <c r="AG9" s="215">
        <f t="shared" si="12"/>
        <v>0.71709939090402408</v>
      </c>
      <c r="AH9" s="7">
        <f>1/(1+AF9+AG9)</f>
        <v>0.17966770729910836</v>
      </c>
      <c r="AI9" s="7">
        <f t="shared" si="13"/>
        <v>0.69149268923157858</v>
      </c>
      <c r="AJ9" s="215">
        <f t="shared" si="13"/>
        <v>0.12883960346931309</v>
      </c>
    </row>
    <row r="10" spans="1:36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G10">
        <f t="shared" si="2"/>
        <v>25</v>
      </c>
      <c r="H10">
        <f t="shared" si="0"/>
        <v>0</v>
      </c>
      <c r="I10" s="214">
        <f t="shared" si="0"/>
        <v>4</v>
      </c>
      <c r="J10" s="7">
        <f t="shared" si="0"/>
        <v>20</v>
      </c>
      <c r="K10" s="7">
        <f t="shared" si="0"/>
        <v>8</v>
      </c>
      <c r="L10" s="215">
        <f t="shared" si="3"/>
        <v>32</v>
      </c>
      <c r="M10" s="214">
        <f t="shared" si="4"/>
        <v>6.1734968382187443</v>
      </c>
      <c r="N10" s="215">
        <f t="shared" si="5"/>
        <v>1.8251241907361599</v>
      </c>
      <c r="O10" s="214">
        <f t="shared" si="6"/>
        <v>0.11112813805385241</v>
      </c>
      <c r="P10" s="7">
        <f t="shared" si="7"/>
        <v>0.68604920891259402</v>
      </c>
      <c r="Q10" s="215">
        <f t="shared" si="8"/>
        <v>0.20282265303355365</v>
      </c>
      <c r="R10" s="214">
        <f t="shared" si="9"/>
        <v>3.5561004177232771</v>
      </c>
      <c r="S10" s="7">
        <f t="shared" si="1"/>
        <v>21.953574685203009</v>
      </c>
      <c r="T10" s="215">
        <f t="shared" si="1"/>
        <v>6.4903248970737168</v>
      </c>
      <c r="U10" s="7">
        <f t="shared" si="10"/>
        <v>-29.087790298006972</v>
      </c>
      <c r="V10">
        <f t="shared" si="11"/>
        <v>25.439686262268342</v>
      </c>
      <c r="AA10" t="s">
        <v>70</v>
      </c>
      <c r="AB10" s="322">
        <v>0.05</v>
      </c>
      <c r="AD10" s="379">
        <v>24.5</v>
      </c>
      <c r="AE10" s="354">
        <v>0</v>
      </c>
      <c r="AF10" s="112">
        <f t="shared" si="12"/>
        <v>3.8992235352824807</v>
      </c>
      <c r="AG10" s="120">
        <f t="shared" si="12"/>
        <v>1.5185468762543792</v>
      </c>
      <c r="AH10" s="354">
        <f>1/(1+AF10+AG10)</f>
        <v>0.15581735336034414</v>
      </c>
      <c r="AI10" s="354">
        <f t="shared" si="13"/>
        <v>0.60756669142808062</v>
      </c>
      <c r="AJ10" s="120">
        <f t="shared" si="13"/>
        <v>0.23661595521157539</v>
      </c>
    </row>
    <row r="11" spans="1:36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G11">
        <f t="shared" si="2"/>
        <v>20</v>
      </c>
      <c r="H11">
        <f t="shared" si="0"/>
        <v>1</v>
      </c>
      <c r="I11" s="214">
        <f t="shared" si="0"/>
        <v>16</v>
      </c>
      <c r="J11" s="7">
        <f t="shared" si="0"/>
        <v>4</v>
      </c>
      <c r="K11" s="7">
        <f t="shared" si="0"/>
        <v>2</v>
      </c>
      <c r="L11" s="215">
        <f t="shared" si="3"/>
        <v>22</v>
      </c>
      <c r="M11" s="214">
        <f t="shared" si="4"/>
        <v>6.1565823839687957E-2</v>
      </c>
      <c r="N11" s="215">
        <f t="shared" si="5"/>
        <v>0.13702549696577193</v>
      </c>
      <c r="O11" s="214">
        <f t="shared" si="6"/>
        <v>0.83431273248999882</v>
      </c>
      <c r="P11" s="7">
        <f t="shared" si="7"/>
        <v>5.1365150715687972E-2</v>
      </c>
      <c r="Q11" s="215">
        <f t="shared" si="8"/>
        <v>0.11432211679431323</v>
      </c>
      <c r="R11" s="214">
        <f t="shared" si="9"/>
        <v>18.354880114779974</v>
      </c>
      <c r="S11" s="7">
        <f t="shared" si="1"/>
        <v>1.1300333157451354</v>
      </c>
      <c r="T11" s="215">
        <f t="shared" si="1"/>
        <v>2.515086569474891</v>
      </c>
      <c r="U11" s="7">
        <f t="shared" si="10"/>
        <v>-19.111003297197229</v>
      </c>
      <c r="V11">
        <f t="shared" si="11"/>
        <v>13.928120234846661</v>
      </c>
      <c r="AA11" t="s">
        <v>164</v>
      </c>
      <c r="AB11" s="350" t="str">
        <f>IF(AB9&lt;AB10,"yes","no")</f>
        <v>yes</v>
      </c>
    </row>
    <row r="12" spans="1:36" x14ac:dyDescent="0.25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>
        <f t="shared" si="2"/>
        <v>21</v>
      </c>
      <c r="H12">
        <f t="shared" si="0"/>
        <v>1</v>
      </c>
      <c r="I12" s="214">
        <f t="shared" si="0"/>
        <v>67</v>
      </c>
      <c r="J12" s="7">
        <f t="shared" si="0"/>
        <v>9</v>
      </c>
      <c r="K12" s="7">
        <f t="shared" si="0"/>
        <v>8</v>
      </c>
      <c r="L12" s="215">
        <f t="shared" si="3"/>
        <v>84</v>
      </c>
      <c r="M12" s="214">
        <f t="shared" si="4"/>
        <v>0.15432841257242536</v>
      </c>
      <c r="N12" s="215">
        <f t="shared" si="5"/>
        <v>0.19793829413936098</v>
      </c>
      <c r="O12" s="214">
        <f t="shared" si="6"/>
        <v>0.7394990907020339</v>
      </c>
      <c r="P12" s="7">
        <f t="shared" si="7"/>
        <v>0.11412572076679689</v>
      </c>
      <c r="Q12" s="215">
        <f t="shared" si="8"/>
        <v>0.14637518853116918</v>
      </c>
      <c r="R12" s="214">
        <f t="shared" si="9"/>
        <v>62.117923618970849</v>
      </c>
      <c r="S12" s="7">
        <f t="shared" si="1"/>
        <v>9.5865605444109381</v>
      </c>
      <c r="T12" s="215">
        <f t="shared" si="1"/>
        <v>12.295515836618211</v>
      </c>
      <c r="U12" s="7">
        <f t="shared" si="10"/>
        <v>-55.12615814471782</v>
      </c>
      <c r="V12">
        <f t="shared" si="11"/>
        <v>50.180585597489312</v>
      </c>
    </row>
    <row r="13" spans="1:36" x14ac:dyDescent="0.25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G13">
        <f t="shared" si="2"/>
        <v>22</v>
      </c>
      <c r="H13">
        <f t="shared" si="0"/>
        <v>1</v>
      </c>
      <c r="I13" s="214">
        <f t="shared" si="0"/>
        <v>55</v>
      </c>
      <c r="J13" s="7">
        <f t="shared" si="0"/>
        <v>20</v>
      </c>
      <c r="K13" s="7">
        <f t="shared" si="0"/>
        <v>14</v>
      </c>
      <c r="L13" s="215">
        <f t="shared" si="3"/>
        <v>89</v>
      </c>
      <c r="M13" s="214">
        <f t="shared" si="4"/>
        <v>0.38685844583421491</v>
      </c>
      <c r="N13" s="215">
        <f t="shared" si="5"/>
        <v>0.28592903623321253</v>
      </c>
      <c r="O13" s="214">
        <f t="shared" si="6"/>
        <v>0.59780456915189395</v>
      </c>
      <c r="P13" s="7">
        <f t="shared" si="7"/>
        <v>0.23126574653469414</v>
      </c>
      <c r="Q13" s="215">
        <f t="shared" si="8"/>
        <v>0.17092968431341188</v>
      </c>
      <c r="R13" s="214">
        <f t="shared" si="9"/>
        <v>53.204606654518564</v>
      </c>
      <c r="S13" s="7">
        <f t="shared" si="1"/>
        <v>20.582651441587778</v>
      </c>
      <c r="T13" s="215">
        <f t="shared" si="1"/>
        <v>15.212741903893658</v>
      </c>
      <c r="U13" s="7">
        <f t="shared" si="10"/>
        <v>-82.311824597750871</v>
      </c>
      <c r="V13">
        <f t="shared" si="11"/>
        <v>77.798546857959138</v>
      </c>
      <c r="AA13" t="s">
        <v>661</v>
      </c>
      <c r="AB13" s="380">
        <f>1-(AB5-V17)/(AB4-V17)</f>
        <v>0.10694786426319536</v>
      </c>
    </row>
    <row r="14" spans="1:36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>
        <f t="shared" si="2"/>
        <v>23</v>
      </c>
      <c r="H14">
        <f t="shared" si="0"/>
        <v>1</v>
      </c>
      <c r="I14" s="214">
        <f t="shared" si="0"/>
        <v>49</v>
      </c>
      <c r="J14" s="7">
        <f t="shared" si="0"/>
        <v>55</v>
      </c>
      <c r="K14" s="7">
        <f t="shared" si="0"/>
        <v>20</v>
      </c>
      <c r="L14" s="215">
        <f t="shared" si="3"/>
        <v>124</v>
      </c>
      <c r="M14" s="214">
        <f t="shared" si="4"/>
        <v>0.96974662421950286</v>
      </c>
      <c r="N14" s="215">
        <f t="shared" si="5"/>
        <v>0.41303485066761747</v>
      </c>
      <c r="O14" s="214">
        <f t="shared" si="6"/>
        <v>0.41967759550731487</v>
      </c>
      <c r="P14" s="7">
        <f t="shared" si="7"/>
        <v>0.40698093150377662</v>
      </c>
      <c r="Q14" s="215">
        <f t="shared" si="8"/>
        <v>0.17334147298890856</v>
      </c>
      <c r="R14" s="214">
        <f t="shared" si="9"/>
        <v>52.040021842907045</v>
      </c>
      <c r="S14" s="7">
        <f t="shared" si="1"/>
        <v>50.465635506468303</v>
      </c>
      <c r="T14" s="215">
        <f t="shared" si="1"/>
        <v>21.494342650624663</v>
      </c>
      <c r="U14" s="7">
        <f t="shared" si="10"/>
        <v>-127.03938410053493</v>
      </c>
      <c r="V14">
        <f t="shared" si="11"/>
        <v>121.81585963705966</v>
      </c>
      <c r="AA14" t="s">
        <v>662</v>
      </c>
      <c r="AB14" s="322">
        <f>1-EXP((-2/L17)*(AB5-AB4))</f>
        <v>0.20172626676885164</v>
      </c>
    </row>
    <row r="15" spans="1:36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>
        <f t="shared" si="2"/>
        <v>24</v>
      </c>
      <c r="H15">
        <f t="shared" si="0"/>
        <v>1</v>
      </c>
      <c r="I15" s="214">
        <f t="shared" si="0"/>
        <v>12</v>
      </c>
      <c r="J15" s="7">
        <f t="shared" si="0"/>
        <v>36</v>
      </c>
      <c r="K15" s="7">
        <f t="shared" si="0"/>
        <v>15</v>
      </c>
      <c r="L15" s="215">
        <f t="shared" si="3"/>
        <v>63</v>
      </c>
      <c r="M15" s="214">
        <f t="shared" si="4"/>
        <v>2.4308853155764618</v>
      </c>
      <c r="N15" s="215">
        <f t="shared" si="5"/>
        <v>0.59664380404820372</v>
      </c>
      <c r="O15" s="214">
        <f t="shared" si="6"/>
        <v>0.24829119052854728</v>
      </c>
      <c r="P15" s="7">
        <f t="shared" si="7"/>
        <v>0.60356740904284312</v>
      </c>
      <c r="Q15" s="215">
        <f t="shared" si="8"/>
        <v>0.14814140042860979</v>
      </c>
      <c r="R15" s="214">
        <f t="shared" si="9"/>
        <v>15.642345003298479</v>
      </c>
      <c r="S15" s="7">
        <f t="shared" si="1"/>
        <v>38.024746769699114</v>
      </c>
      <c r="T15" s="215">
        <f t="shared" si="1"/>
        <v>9.3329082270024166</v>
      </c>
      <c r="U15" s="7">
        <f t="shared" si="10"/>
        <v>-63.537969312650418</v>
      </c>
      <c r="V15">
        <f t="shared" si="11"/>
        <v>57.403135977635543</v>
      </c>
      <c r="AA15" t="s">
        <v>663</v>
      </c>
      <c r="AB15" s="349">
        <f>AB14/(1-EXP(2*(AB4-V17)/L17))</f>
        <v>0.22966306071375933</v>
      </c>
    </row>
    <row r="16" spans="1:36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>
        <f t="shared" si="2"/>
        <v>25</v>
      </c>
      <c r="H16">
        <f t="shared" si="0"/>
        <v>1</v>
      </c>
      <c r="I16" s="112">
        <f t="shared" si="0"/>
        <v>6</v>
      </c>
      <c r="J16" s="354">
        <f t="shared" si="0"/>
        <v>18</v>
      </c>
      <c r="K16" s="354">
        <f t="shared" si="0"/>
        <v>5</v>
      </c>
      <c r="L16" s="120">
        <f t="shared" si="3"/>
        <v>29</v>
      </c>
      <c r="M16" s="112">
        <f t="shared" si="4"/>
        <v>6.0935539963763778</v>
      </c>
      <c r="N16" s="120">
        <f t="shared" si="5"/>
        <v>0.86187358847252182</v>
      </c>
      <c r="O16" s="112">
        <f t="shared" si="6"/>
        <v>0.12570034600082322</v>
      </c>
      <c r="P16" s="354">
        <f t="shared" si="7"/>
        <v>0.76596184571920978</v>
      </c>
      <c r="Q16" s="120">
        <f t="shared" si="8"/>
        <v>0.10833780827996711</v>
      </c>
      <c r="R16" s="112">
        <f t="shared" si="9"/>
        <v>3.6453100340238733</v>
      </c>
      <c r="S16" s="354">
        <f t="shared" si="1"/>
        <v>22.212893525857083</v>
      </c>
      <c r="T16" s="120">
        <f t="shared" si="1"/>
        <v>3.1417964401190464</v>
      </c>
      <c r="U16" s="7">
        <f t="shared" si="10"/>
        <v>-28.354844424122064</v>
      </c>
      <c r="V16">
        <f t="shared" si="11"/>
        <v>23.494850804342796</v>
      </c>
    </row>
    <row r="17" spans="3:36" x14ac:dyDescent="0.25">
      <c r="C17">
        <f>SUM(C5:C16)</f>
        <v>400</v>
      </c>
      <c r="D17">
        <f>SUM(D5:D16)</f>
        <v>270</v>
      </c>
      <c r="E17">
        <f>SUM(E5:E16)</f>
        <v>190</v>
      </c>
      <c r="G17" s="361"/>
      <c r="H17" s="361"/>
      <c r="I17" s="361">
        <f>SUM(I5:I16)</f>
        <v>400</v>
      </c>
      <c r="J17" s="361">
        <f>SUM(J5:J16)</f>
        <v>270</v>
      </c>
      <c r="K17" s="387">
        <f>SUM(K5:K16)</f>
        <v>190</v>
      </c>
      <c r="L17" s="387">
        <f>SUM(L5:L16)</f>
        <v>860</v>
      </c>
      <c r="O17" s="387"/>
      <c r="R17" s="361">
        <f>SUM(R5:R16)</f>
        <v>399.99634024406151</v>
      </c>
      <c r="S17" s="361">
        <f>SUM(S5:S16)</f>
        <v>269.99513834315314</v>
      </c>
      <c r="T17" s="361">
        <f>SUM(T5:T16)</f>
        <v>190.00852141278537</v>
      </c>
      <c r="U17" s="361">
        <f>SUM(U5:U16)</f>
        <v>-808.98693528109152</v>
      </c>
      <c r="V17" s="361">
        <f>SUM(V5:V16)</f>
        <v>742.48185857521344</v>
      </c>
      <c r="W17" s="7"/>
    </row>
    <row r="18" spans="3:36" x14ac:dyDescent="0.25">
      <c r="X18" t="s">
        <v>900</v>
      </c>
      <c r="AE18" t="s">
        <v>754</v>
      </c>
    </row>
    <row r="19" spans="3:36" x14ac:dyDescent="0.25">
      <c r="G19" t="s">
        <v>874</v>
      </c>
    </row>
    <row r="20" spans="3:36" ht="15.75" thickBot="1" x14ac:dyDescent="0.3">
      <c r="X20" s="344" t="e">
        <f t="array" aca="1" ref="X20:Z22" ca="1">MMULT(TRANSPOSE(DESIGN(G5:H16)),P5:P16*(1-P5:P16)*L5:L16*DESIGN(G5:H16))</f>
        <v>#NAME?</v>
      </c>
      <c r="Y20" s="345" t="e">
        <f ca="1"/>
        <v>#NAME?</v>
      </c>
      <c r="Z20" s="347" t="e">
        <f ca="1"/>
        <v>#NAME?</v>
      </c>
      <c r="AA20" s="344" t="e">
        <f t="array" aca="1" ref="AA20:AC22" ca="1">-MMULT(TRANSPOSE(DESIGN(G5:H16)),P5:P16*Q5:Q16*L5:L16*DESIGN(G5:H16))</f>
        <v>#NAME?</v>
      </c>
      <c r="AB20" s="345" t="e">
        <f ca="1"/>
        <v>#NAME?</v>
      </c>
      <c r="AC20" s="347" t="e">
        <f ca="1"/>
        <v>#NAME?</v>
      </c>
      <c r="AE20" s="344" t="e">
        <f t="array" aca="1" ref="AE20:AJ25" ca="1">MINVERSE(X20:AC25)</f>
        <v>#NAME?</v>
      </c>
      <c r="AF20" s="345" t="e">
        <f ca="1"/>
        <v>#NAME?</v>
      </c>
      <c r="AG20" s="345" t="e">
        <f ca="1"/>
        <v>#NAME?</v>
      </c>
      <c r="AH20" s="345" t="e">
        <f ca="1"/>
        <v>#NAME?</v>
      </c>
      <c r="AI20" s="345" t="e">
        <f ca="1"/>
        <v>#NAME?</v>
      </c>
      <c r="AJ20" s="347" t="e">
        <f ca="1"/>
        <v>#NAME?</v>
      </c>
    </row>
    <row r="21" spans="3:36" ht="15.75" thickTop="1" x14ac:dyDescent="0.25">
      <c r="G21" s="360"/>
      <c r="H21" s="360" t="s">
        <v>755</v>
      </c>
      <c r="I21" s="360" t="s">
        <v>148</v>
      </c>
      <c r="J21" s="360" t="s">
        <v>756</v>
      </c>
      <c r="K21" s="360" t="s">
        <v>48</v>
      </c>
      <c r="L21" s="360" t="s">
        <v>757</v>
      </c>
      <c r="M21" s="360" t="s">
        <v>15</v>
      </c>
      <c r="N21" s="360" t="s">
        <v>16</v>
      </c>
      <c r="X21" s="214" t="e">
        <f ca="1"/>
        <v>#NAME?</v>
      </c>
      <c r="Y21" s="7" t="e">
        <f ca="1"/>
        <v>#NAME?</v>
      </c>
      <c r="Z21" s="215" t="e">
        <f ca="1"/>
        <v>#NAME?</v>
      </c>
      <c r="AA21" s="214" t="e">
        <f ca="1"/>
        <v>#NAME?</v>
      </c>
      <c r="AB21" s="7" t="e">
        <f ca="1"/>
        <v>#NAME?</v>
      </c>
      <c r="AC21" s="215" t="e">
        <f ca="1"/>
        <v>#NAME?</v>
      </c>
      <c r="AE21" s="214" t="e">
        <f ca="1"/>
        <v>#NAME?</v>
      </c>
      <c r="AF21" s="7" t="e">
        <f ca="1"/>
        <v>#NAME?</v>
      </c>
      <c r="AG21" s="7" t="e">
        <f ca="1"/>
        <v>#NAME?</v>
      </c>
      <c r="AH21" s="7" t="e">
        <f ca="1"/>
        <v>#NAME?</v>
      </c>
      <c r="AI21" s="7" t="e">
        <f ca="1"/>
        <v>#NAME?</v>
      </c>
      <c r="AJ21" s="215" t="e">
        <f ca="1"/>
        <v>#NAME?</v>
      </c>
    </row>
    <row r="22" spans="3:36" x14ac:dyDescent="0.25">
      <c r="G22" t="s">
        <v>127</v>
      </c>
      <c r="H22">
        <f t="array" ref="H22:H24">X6:X8</f>
        <v>-21.154133877889475</v>
      </c>
      <c r="I22" t="e">
        <f t="array" aca="1" ref="I22:I24" ca="1">SQRT(DIAG(AE20:AG22))</f>
        <v>#NAME?</v>
      </c>
      <c r="J22" t="e">
        <f ca="1">(H22/I22)^2</f>
        <v>#NAME?</v>
      </c>
      <c r="K22" t="e">
        <f ca="1">CHIDIST(J22,1)</f>
        <v>#NAME?</v>
      </c>
      <c r="L22">
        <f>EXP(H22)</f>
        <v>6.4994467120206512E-10</v>
      </c>
      <c r="X22" s="112" t="e">
        <f ca="1"/>
        <v>#NAME?</v>
      </c>
      <c r="Y22" s="354" t="e">
        <f ca="1"/>
        <v>#NAME?</v>
      </c>
      <c r="Z22" s="120" t="e">
        <f ca="1"/>
        <v>#NAME?</v>
      </c>
      <c r="AA22" s="112" t="e">
        <f ca="1"/>
        <v>#NAME?</v>
      </c>
      <c r="AB22" s="354" t="e">
        <f ca="1"/>
        <v>#NAME?</v>
      </c>
      <c r="AC22" s="120" t="e">
        <f ca="1"/>
        <v>#NAME?</v>
      </c>
      <c r="AE22" s="214" t="e">
        <f ca="1"/>
        <v>#NAME?</v>
      </c>
      <c r="AF22" s="7" t="e">
        <f ca="1"/>
        <v>#NAME?</v>
      </c>
      <c r="AG22" s="7" t="e">
        <f ca="1"/>
        <v>#NAME?</v>
      </c>
      <c r="AH22" s="7" t="e">
        <f ca="1"/>
        <v>#NAME?</v>
      </c>
      <c r="AI22" s="7" t="e">
        <f ca="1"/>
        <v>#NAME?</v>
      </c>
      <c r="AJ22" s="215" t="e">
        <f ca="1"/>
        <v>#NAME?</v>
      </c>
    </row>
    <row r="23" spans="3:36" x14ac:dyDescent="0.25">
      <c r="G23" t="str">
        <f t="array" ref="G23:G24">TRANSPOSE(G4:H4)</f>
        <v>Dosage</v>
      </c>
      <c r="H23">
        <v>0.91897597215044968</v>
      </c>
      <c r="I23" t="e">
        <f ca="1"/>
        <v>#NAME?</v>
      </c>
      <c r="J23" t="e">
        <f ca="1">(H23/I23)^2</f>
        <v>#NAME?</v>
      </c>
      <c r="K23" t="e">
        <f ca="1">CHIDIST(J23,1)</f>
        <v>#NAME?</v>
      </c>
      <c r="L23">
        <f>EXP(H23)</f>
        <v>2.506722121907818</v>
      </c>
      <c r="M23" t="e">
        <f ca="1">EXP(H23-I23*NORMSINV(1-0.05/2))</f>
        <v>#NAME?</v>
      </c>
      <c r="N23" t="e">
        <f ca="1">EXP(H23+I23*NORMSINV(1-0.05/2))</f>
        <v>#NAME?</v>
      </c>
      <c r="X23" s="344" t="e">
        <f t="array" ref="X23:Z25" ca="1">AA20:AC22</f>
        <v>#NAME?</v>
      </c>
      <c r="Y23" s="345" t="e">
        <f ca="1"/>
        <v>#NAME?</v>
      </c>
      <c r="Z23" s="347" t="e">
        <f ca="1"/>
        <v>#NAME?</v>
      </c>
      <c r="AA23" s="344" t="e">
        <f t="array" aca="1" ref="AA23:AC25" ca="1">MMULT(TRANSPOSE(DESIGN(G5:H16)),Q5:Q16*(1-Q5:Q16)*L5:L16*DESIGN(G5:H16))</f>
        <v>#NAME?</v>
      </c>
      <c r="AB23" s="345" t="e">
        <f ca="1"/>
        <v>#NAME?</v>
      </c>
      <c r="AC23" s="347" t="e">
        <f ca="1"/>
        <v>#NAME?</v>
      </c>
      <c r="AE23" s="214" t="e">
        <f ca="1"/>
        <v>#NAME?</v>
      </c>
      <c r="AF23" s="7" t="e">
        <f ca="1"/>
        <v>#NAME?</v>
      </c>
      <c r="AG23" s="7" t="e">
        <f ca="1"/>
        <v>#NAME?</v>
      </c>
      <c r="AH23" s="7" t="e">
        <f ca="1"/>
        <v>#NAME?</v>
      </c>
      <c r="AI23" s="7" t="e">
        <f ca="1"/>
        <v>#NAME?</v>
      </c>
      <c r="AJ23" s="215" t="e">
        <f ca="1"/>
        <v>#NAME?</v>
      </c>
    </row>
    <row r="24" spans="3:36" x14ac:dyDescent="0.25">
      <c r="G24" s="354" t="str">
        <v>Gender</v>
      </c>
      <c r="H24" s="354">
        <v>-1.3033935322250792E-2</v>
      </c>
      <c r="I24" s="354" t="e">
        <f ca="1"/>
        <v>#NAME?</v>
      </c>
      <c r="J24" s="354" t="e">
        <f ca="1">(H24/I24)^2</f>
        <v>#NAME?</v>
      </c>
      <c r="K24" s="354" t="e">
        <f ca="1">CHIDIST(J24,1)</f>
        <v>#NAME?</v>
      </c>
      <c r="L24" s="354">
        <f>EXP(H24)</f>
        <v>0.98705063857043662</v>
      </c>
      <c r="M24" s="354" t="e">
        <f ca="1">EXP(H24-I24*NORMSINV(1-0.05/2))</f>
        <v>#NAME?</v>
      </c>
      <c r="N24" s="354" t="e">
        <f ca="1">EXP(H24+I24*NORMSINV(1-0.05/2))</f>
        <v>#NAME?</v>
      </c>
      <c r="X24" s="214" t="e">
        <f ca="1"/>
        <v>#NAME?</v>
      </c>
      <c r="Y24" s="7" t="e">
        <f ca="1"/>
        <v>#NAME?</v>
      </c>
      <c r="Z24" s="215" t="e">
        <f ca="1"/>
        <v>#NAME?</v>
      </c>
      <c r="AA24" s="214" t="e">
        <f ca="1"/>
        <v>#NAME?</v>
      </c>
      <c r="AB24" s="7" t="e">
        <f ca="1"/>
        <v>#NAME?</v>
      </c>
      <c r="AC24" s="215" t="e">
        <f ca="1"/>
        <v>#NAME?</v>
      </c>
      <c r="AE24" s="214" t="e">
        <f ca="1"/>
        <v>#NAME?</v>
      </c>
      <c r="AF24" s="7" t="e">
        <f ca="1"/>
        <v>#NAME?</v>
      </c>
      <c r="AG24" s="7" t="e">
        <f ca="1"/>
        <v>#NAME?</v>
      </c>
      <c r="AH24" s="7" t="e">
        <f ca="1"/>
        <v>#NAME?</v>
      </c>
      <c r="AI24" s="7" t="e">
        <f ca="1"/>
        <v>#NAME?</v>
      </c>
      <c r="AJ24" s="215" t="e">
        <f ca="1"/>
        <v>#NAME?</v>
      </c>
    </row>
    <row r="25" spans="3:36" x14ac:dyDescent="0.25">
      <c r="X25" s="112" t="e">
        <f ca="1"/>
        <v>#NAME?</v>
      </c>
      <c r="Y25" s="354" t="e">
        <f ca="1"/>
        <v>#NAME?</v>
      </c>
      <c r="Z25" s="120" t="e">
        <f ca="1"/>
        <v>#NAME?</v>
      </c>
      <c r="AA25" s="112" t="e">
        <f ca="1"/>
        <v>#NAME?</v>
      </c>
      <c r="AB25" s="354" t="e">
        <f ca="1"/>
        <v>#NAME?</v>
      </c>
      <c r="AC25" s="120" t="e">
        <f ca="1"/>
        <v>#NAME?</v>
      </c>
      <c r="AE25" s="112" t="e">
        <f ca="1"/>
        <v>#NAME?</v>
      </c>
      <c r="AF25" s="354" t="e">
        <f ca="1"/>
        <v>#NAME?</v>
      </c>
      <c r="AG25" s="354" t="e">
        <f ca="1"/>
        <v>#NAME?</v>
      </c>
      <c r="AH25" s="354" t="e">
        <f ca="1"/>
        <v>#NAME?</v>
      </c>
      <c r="AI25" s="354" t="e">
        <f ca="1"/>
        <v>#NAME?</v>
      </c>
      <c r="AJ25" s="120" t="e">
        <f ca="1"/>
        <v>#NAME?</v>
      </c>
    </row>
    <row r="26" spans="3:36" x14ac:dyDescent="0.25">
      <c r="G26" t="s">
        <v>895</v>
      </c>
    </row>
    <row r="27" spans="3:36" ht="15.75" thickBot="1" x14ac:dyDescent="0.3"/>
    <row r="28" spans="3:36" ht="15.75" thickTop="1" x14ac:dyDescent="0.25">
      <c r="G28" s="360"/>
      <c r="H28" s="360" t="s">
        <v>755</v>
      </c>
      <c r="I28" s="360" t="s">
        <v>148</v>
      </c>
      <c r="J28" s="360" t="s">
        <v>756</v>
      </c>
      <c r="K28" s="360" t="s">
        <v>48</v>
      </c>
      <c r="L28" s="360" t="s">
        <v>757</v>
      </c>
      <c r="M28" s="360" t="s">
        <v>15</v>
      </c>
      <c r="N28" s="360" t="s">
        <v>16</v>
      </c>
    </row>
    <row r="29" spans="3:36" x14ac:dyDescent="0.25">
      <c r="G29" t="s">
        <v>127</v>
      </c>
      <c r="H29">
        <f t="array" ref="H29:H31">Y6:Y8</f>
        <v>-8.5930599308358797</v>
      </c>
      <c r="I29" t="e">
        <f t="array" aca="1" ref="I29:I31" ca="1">SQRT(DIAG(AH23:AJ25))</f>
        <v>#NAME?</v>
      </c>
      <c r="J29" t="e">
        <f ca="1">(H29/I29)^2</f>
        <v>#NAME?</v>
      </c>
      <c r="K29" t="e">
        <f ca="1">CHIDIST(J29,1)</f>
        <v>#NAME?</v>
      </c>
      <c r="L29">
        <f>EXP(H29)</f>
        <v>1.8538794457093942E-4</v>
      </c>
    </row>
    <row r="30" spans="3:36" x14ac:dyDescent="0.25">
      <c r="G30" t="str">
        <f t="array" ref="G30:G31">TRANSPOSE(G4:H4)</f>
        <v>Dosage</v>
      </c>
      <c r="H30">
        <v>0.36778831861094008</v>
      </c>
      <c r="I30" t="e">
        <f ca="1"/>
        <v>#NAME?</v>
      </c>
      <c r="J30" t="e">
        <f ca="1">(H30/I30)^2</f>
        <v>#NAME?</v>
      </c>
      <c r="K30" t="e">
        <f ca="1">CHIDIST(J30,1)</f>
        <v>#NAME?</v>
      </c>
      <c r="L30">
        <f>EXP(H30)</f>
        <v>1.444536225172784</v>
      </c>
      <c r="M30" t="e">
        <f ca="1">EXP(H30-I30*NORMSINV(1-0.05/2))</f>
        <v>#NAME?</v>
      </c>
      <c r="N30" t="e">
        <f ca="1">EXP(H30+I30*NORMSINV(1-0.05/2))</f>
        <v>#NAME?</v>
      </c>
    </row>
    <row r="31" spans="3:36" x14ac:dyDescent="0.25">
      <c r="G31" s="354" t="str">
        <v>Gender</v>
      </c>
      <c r="H31" s="354">
        <v>-0.75029470261389919</v>
      </c>
      <c r="I31" s="354" t="e">
        <f ca="1"/>
        <v>#NAME?</v>
      </c>
      <c r="J31" s="354" t="e">
        <f ca="1">(H31/I31)^2</f>
        <v>#NAME?</v>
      </c>
      <c r="K31" s="354" t="e">
        <f ca="1">CHIDIST(J31,1)</f>
        <v>#NAME?</v>
      </c>
      <c r="L31" s="354">
        <f>EXP(H31)</f>
        <v>0.47222736559361883</v>
      </c>
      <c r="M31" s="354" t="e">
        <f ca="1">EXP(H31-I31*NORMSINV(1-0.05/2))</f>
        <v>#NAME?</v>
      </c>
      <c r="N31" s="354" t="e">
        <f ca="1">EXP(H31+I31*NORMSINV(1-0.05/2))</f>
        <v>#NAME?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AJ32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13" max="13" width="9.140625" customWidth="1"/>
    <col min="32" max="32" width="9.140625" customWidth="1"/>
  </cols>
  <sheetData>
    <row r="1" spans="1:34" x14ac:dyDescent="0.25">
      <c r="A1" s="1" t="s">
        <v>854</v>
      </c>
    </row>
    <row r="2" spans="1:34" x14ac:dyDescent="0.25">
      <c r="A2" t="s">
        <v>875</v>
      </c>
    </row>
    <row r="3" spans="1:34" ht="15.75" thickBot="1" x14ac:dyDescent="0.3">
      <c r="G3" s="772" t="s">
        <v>892</v>
      </c>
      <c r="H3" s="772"/>
      <c r="I3" s="772" t="s">
        <v>77</v>
      </c>
      <c r="J3" s="772"/>
      <c r="K3" s="772"/>
      <c r="L3" s="772"/>
      <c r="M3" s="772" t="s">
        <v>93</v>
      </c>
      <c r="N3" s="772"/>
      <c r="O3" s="772" t="s">
        <v>894</v>
      </c>
      <c r="P3" s="772"/>
      <c r="Q3" s="772"/>
      <c r="R3" s="772" t="s">
        <v>893</v>
      </c>
      <c r="S3" s="772"/>
      <c r="T3" s="772"/>
      <c r="U3" s="772" t="s">
        <v>891</v>
      </c>
      <c r="V3" s="772"/>
    </row>
    <row r="4" spans="1:34" ht="18" thickTop="1" x14ac:dyDescent="0.25">
      <c r="A4" s="294" t="s">
        <v>861</v>
      </c>
      <c r="B4" s="294" t="s">
        <v>180</v>
      </c>
      <c r="C4" s="294" t="s">
        <v>863</v>
      </c>
      <c r="D4" s="294" t="s">
        <v>81</v>
      </c>
      <c r="E4" s="294" t="s">
        <v>862</v>
      </c>
      <c r="G4" s="386" t="str">
        <f>A4</f>
        <v>Dosage</v>
      </c>
      <c r="H4" s="386" t="str">
        <f t="shared" ref="H4:K16" si="0">B4</f>
        <v>Gender</v>
      </c>
      <c r="I4" s="386" t="str">
        <f t="shared" si="0"/>
        <v>Dead</v>
      </c>
      <c r="J4" s="386" t="str">
        <f t="shared" si="0"/>
        <v>Cured</v>
      </c>
      <c r="K4" s="386" t="str">
        <f t="shared" si="0"/>
        <v>Sick</v>
      </c>
      <c r="L4" s="386" t="s">
        <v>1</v>
      </c>
      <c r="M4" s="386" t="str">
        <f>J4</f>
        <v>Cured</v>
      </c>
      <c r="N4" s="386" t="str">
        <f>K4</f>
        <v>Sick</v>
      </c>
      <c r="O4" s="386" t="str">
        <f>I4</f>
        <v>Dead</v>
      </c>
      <c r="P4" s="386" t="str">
        <f>J4</f>
        <v>Cured</v>
      </c>
      <c r="Q4" s="386" t="str">
        <f>K4</f>
        <v>Sick</v>
      </c>
      <c r="R4" s="386" t="str">
        <f>O4</f>
        <v>Dead</v>
      </c>
      <c r="S4" s="386" t="str">
        <f>P4</f>
        <v>Cured</v>
      </c>
      <c r="T4" s="386" t="str">
        <f>Q4</f>
        <v>Sick</v>
      </c>
      <c r="U4" s="386" t="s">
        <v>626</v>
      </c>
      <c r="V4" s="386" t="s">
        <v>625</v>
      </c>
      <c r="X4" t="s">
        <v>904</v>
      </c>
      <c r="AA4" t="s">
        <v>901</v>
      </c>
      <c r="AD4" t="s">
        <v>837</v>
      </c>
      <c r="AG4" t="s">
        <v>903</v>
      </c>
    </row>
    <row r="5" spans="1:34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G5">
        <f>A5</f>
        <v>20</v>
      </c>
      <c r="H5">
        <f t="shared" si="0"/>
        <v>0</v>
      </c>
      <c r="I5" s="344">
        <f t="shared" si="0"/>
        <v>13</v>
      </c>
      <c r="J5" s="345">
        <f t="shared" si="0"/>
        <v>0</v>
      </c>
      <c r="K5" s="345">
        <f t="shared" si="0"/>
        <v>8</v>
      </c>
      <c r="L5" s="347">
        <f>SUM(I5:K5)</f>
        <v>21</v>
      </c>
      <c r="M5" s="344">
        <f>EXP(X$6+MMULT($G5:$H5,X$7:X$8))</f>
        <v>6.2373521108151975E-2</v>
      </c>
      <c r="N5" s="347">
        <f>EXP(Y$6+MMULT($G5:$H5,Y$7:Y$8))</f>
        <v>0.2901684801631994</v>
      </c>
      <c r="O5" s="344">
        <f>1/(1+$M5+$N5)</f>
        <v>0.73934857406278565</v>
      </c>
      <c r="P5" s="345">
        <f>M5*O5</f>
        <v>4.6115773890587221E-2</v>
      </c>
      <c r="Q5" s="347">
        <f>N5*O5</f>
        <v>0.2145356520466272</v>
      </c>
      <c r="R5" s="344">
        <f>O5*$L5</f>
        <v>15.526320055318498</v>
      </c>
      <c r="S5" s="345">
        <f t="shared" ref="S5:T16" si="1">P5*$L5</f>
        <v>0.96843125170233169</v>
      </c>
      <c r="T5" s="347">
        <f t="shared" si="1"/>
        <v>4.5052486929791709</v>
      </c>
      <c r="U5" s="7">
        <f t="shared" ref="U5:U16" si="2">I5*LN(O5)+J5*LN(P5)+K5*LN(Q5)+GAMMALN(L5+1)-GAMMALN(I5+1)-GAMMALN(J5+1)-GAMMALN(K5+1)</f>
        <v>-4.0166778281442319</v>
      </c>
      <c r="V5">
        <f>GAMMALN(L5+1)-GAMMALN(I5+1)-GAMMALN(J5+1)-GAMMALN(K5+1)</f>
        <v>12.223372142608234</v>
      </c>
    </row>
    <row r="6" spans="1:34" x14ac:dyDescent="0.25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>
        <f t="shared" ref="G6:G16" si="3">A6</f>
        <v>21</v>
      </c>
      <c r="H6">
        <f t="shared" si="0"/>
        <v>0</v>
      </c>
      <c r="I6" s="214">
        <f t="shared" si="0"/>
        <v>60</v>
      </c>
      <c r="J6" s="7">
        <f t="shared" si="0"/>
        <v>6</v>
      </c>
      <c r="K6" s="7">
        <f t="shared" si="0"/>
        <v>30</v>
      </c>
      <c r="L6" s="215">
        <f t="shared" ref="L6:L16" si="4">SUM(I6:K6)</f>
        <v>96</v>
      </c>
      <c r="M6" s="214">
        <f t="shared" ref="M6:N16" si="5">EXP(X$6+MMULT($G6:$H6,X$7:X$8))</f>
        <v>0.15635308518308863</v>
      </c>
      <c r="N6" s="215">
        <f t="shared" si="5"/>
        <v>0.41915888099907195</v>
      </c>
      <c r="O6" s="214">
        <f t="shared" ref="O6:O16" si="6">1/(1+$M6+$N6)</f>
        <v>0.63471431602213557</v>
      </c>
      <c r="P6" s="7">
        <f t="shared" ref="P6:P16" si="7">M6*O6</f>
        <v>9.9239541519934804E-2</v>
      </c>
      <c r="Q6" s="215">
        <f t="shared" ref="Q6:Q16" si="8">N6*O6</f>
        <v>0.26604614245792968</v>
      </c>
      <c r="R6" s="214">
        <f t="shared" ref="R6:R16" si="9">O6*$L6</f>
        <v>60.932574338125015</v>
      </c>
      <c r="S6" s="7">
        <f t="shared" si="1"/>
        <v>9.5269959859137412</v>
      </c>
      <c r="T6" s="215">
        <f t="shared" si="1"/>
        <v>25.540429675961249</v>
      </c>
      <c r="U6" s="7">
        <f t="shared" si="2"/>
        <v>-5.3449485245207882</v>
      </c>
      <c r="V6">
        <f t="shared" ref="V6:V16" si="10">GAMMALN(L6+1)-GAMMALN(I6+1)-GAMMALN(J6+1)-GAMMALN(K6+1)</f>
        <v>75.513746077754988</v>
      </c>
      <c r="X6" s="344">
        <f>'MLogit 2'!X6</f>
        <v>-21.154133877889475</v>
      </c>
      <c r="Y6" s="391">
        <f>'MLogit 2'!Y6</f>
        <v>-8.5930599308358797</v>
      </c>
      <c r="AA6" s="344" t="e">
        <f t="array" aca="1" ref="AA6:AA8" ca="1">MMULT(TRANSPOSE(DESIGN($G5:$H16)),J5:J16-S5:S16)</f>
        <v>#NAME?</v>
      </c>
      <c r="AB6" s="391" t="e">
        <f t="array" aca="1" ref="AB6:AB8" ca="1">MMULT(TRANSPOSE(DESIGN($G5:$H16)),K5:K16-T5:T16)</f>
        <v>#NAME?</v>
      </c>
      <c r="AD6" s="344" t="e">
        <f ca="1">AD10</f>
        <v>#NAME?</v>
      </c>
      <c r="AE6" s="391" t="e">
        <f ca="1">AD13</f>
        <v>#NAME?</v>
      </c>
      <c r="AG6" s="344" t="e">
        <f ca="1">AG10</f>
        <v>#NAME?</v>
      </c>
      <c r="AH6" s="391" t="e">
        <f ca="1">AG13</f>
        <v>#NAME?</v>
      </c>
    </row>
    <row r="7" spans="1:34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>
        <f t="shared" si="3"/>
        <v>22</v>
      </c>
      <c r="H7">
        <f t="shared" si="0"/>
        <v>0</v>
      </c>
      <c r="I7" s="214">
        <f t="shared" si="0"/>
        <v>61</v>
      </c>
      <c r="J7" s="7">
        <f t="shared" si="0"/>
        <v>13</v>
      </c>
      <c r="K7" s="7">
        <f t="shared" si="0"/>
        <v>40</v>
      </c>
      <c r="L7" s="215">
        <f t="shared" si="4"/>
        <v>114</v>
      </c>
      <c r="M7" s="214">
        <f t="shared" si="5"/>
        <v>0.39193373745698534</v>
      </c>
      <c r="N7" s="215">
        <f t="shared" si="5"/>
        <v>0.60549018770604723</v>
      </c>
      <c r="O7" s="214">
        <f t="shared" si="6"/>
        <v>0.50064484929926856</v>
      </c>
      <c r="P7" s="7">
        <f t="shared" si="7"/>
        <v>0.19621960692445151</v>
      </c>
      <c r="Q7" s="215">
        <f t="shared" si="8"/>
        <v>0.30313554377627983</v>
      </c>
      <c r="R7" s="214">
        <f t="shared" si="9"/>
        <v>57.073512820116619</v>
      </c>
      <c r="S7" s="7">
        <f t="shared" si="1"/>
        <v>22.369035189387471</v>
      </c>
      <c r="T7" s="215">
        <f t="shared" si="1"/>
        <v>34.557451990495899</v>
      </c>
      <c r="U7" s="7">
        <f t="shared" si="2"/>
        <v>-7.5145958939600774</v>
      </c>
      <c r="V7">
        <f t="shared" si="10"/>
        <v>103.60254101092582</v>
      </c>
      <c r="X7" s="214">
        <f>'MLogit 2'!X7</f>
        <v>0.91897597215044968</v>
      </c>
      <c r="Y7" s="185">
        <f>'MLogit 2'!Y7</f>
        <v>0.36778831861094008</v>
      </c>
      <c r="AA7" s="214" t="e">
        <f ca="1"/>
        <v>#NAME?</v>
      </c>
      <c r="AB7" s="185" t="e">
        <f ca="1"/>
        <v>#NAME?</v>
      </c>
      <c r="AD7" s="214" t="e">
        <f ca="1">AD11</f>
        <v>#NAME?</v>
      </c>
      <c r="AE7" s="185" t="e">
        <f ca="1">AD14</f>
        <v>#NAME?</v>
      </c>
      <c r="AG7" s="214" t="e">
        <f ca="1">AG11</f>
        <v>#NAME?</v>
      </c>
      <c r="AH7" s="185" t="e">
        <f ca="1">AG14</f>
        <v>#NAME?</v>
      </c>
    </row>
    <row r="8" spans="1:34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G8">
        <f t="shared" si="3"/>
        <v>23</v>
      </c>
      <c r="H8">
        <f t="shared" si="0"/>
        <v>0</v>
      </c>
      <c r="I8" s="214">
        <f t="shared" si="0"/>
        <v>49</v>
      </c>
      <c r="J8" s="7">
        <f t="shared" si="0"/>
        <v>60</v>
      </c>
      <c r="K8" s="7">
        <f t="shared" si="0"/>
        <v>25</v>
      </c>
      <c r="L8" s="215">
        <f t="shared" si="4"/>
        <v>134</v>
      </c>
      <c r="M8" s="214">
        <f t="shared" si="5"/>
        <v>0.98246897000543498</v>
      </c>
      <c r="N8" s="215">
        <f t="shared" si="5"/>
        <v>0.87465251012805478</v>
      </c>
      <c r="O8" s="214">
        <f t="shared" si="6"/>
        <v>0.35000261870324051</v>
      </c>
      <c r="P8" s="7">
        <f t="shared" si="7"/>
        <v>0.34386671229657767</v>
      </c>
      <c r="Q8" s="215">
        <f t="shared" si="8"/>
        <v>0.30613066900018177</v>
      </c>
      <c r="R8" s="214">
        <f t="shared" si="9"/>
        <v>46.90035090623423</v>
      </c>
      <c r="S8" s="7">
        <f t="shared" si="1"/>
        <v>46.078139447741407</v>
      </c>
      <c r="T8" s="215">
        <f t="shared" si="1"/>
        <v>41.021509646024356</v>
      </c>
      <c r="U8" s="7">
        <f t="shared" si="2"/>
        <v>-10.603077349689151</v>
      </c>
      <c r="V8">
        <f t="shared" si="10"/>
        <v>134.48149092299815</v>
      </c>
      <c r="X8" s="112">
        <f>'MLogit 2'!X8</f>
        <v>-1.3033935322250792E-2</v>
      </c>
      <c r="Y8" s="123">
        <f>'MLogit 2'!Y8</f>
        <v>-0.75029470261389919</v>
      </c>
      <c r="AA8" s="112" t="e">
        <f ca="1"/>
        <v>#NAME?</v>
      </c>
      <c r="AB8" s="123" t="e">
        <f ca="1"/>
        <v>#NAME?</v>
      </c>
      <c r="AD8" s="112" t="e">
        <f ca="1">AD12</f>
        <v>#NAME?</v>
      </c>
      <c r="AE8" s="123" t="e">
        <f ca="1">AD15</f>
        <v>#NAME?</v>
      </c>
      <c r="AG8" s="112" t="e">
        <f ca="1">AG12</f>
        <v>#NAME?</v>
      </c>
      <c r="AH8" s="123" t="e">
        <f ca="1">AG15</f>
        <v>#NAME?</v>
      </c>
    </row>
    <row r="9" spans="1:34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G9">
        <f t="shared" si="3"/>
        <v>24</v>
      </c>
      <c r="H9">
        <f t="shared" si="0"/>
        <v>0</v>
      </c>
      <c r="I9" s="214">
        <f t="shared" si="0"/>
        <v>8</v>
      </c>
      <c r="J9" s="7">
        <f t="shared" si="0"/>
        <v>29</v>
      </c>
      <c r="K9" s="7">
        <f t="shared" si="0"/>
        <v>15</v>
      </c>
      <c r="L9" s="215">
        <f t="shared" si="4"/>
        <v>52</v>
      </c>
      <c r="M9" s="214">
        <f t="shared" si="5"/>
        <v>2.4627767012006188</v>
      </c>
      <c r="N9" s="215">
        <f t="shared" si="5"/>
        <v>1.2634672353182796</v>
      </c>
      <c r="O9" s="214">
        <f t="shared" si="6"/>
        <v>0.21158450842394463</v>
      </c>
      <c r="P9" s="7">
        <f t="shared" si="7"/>
        <v>0.52108539768147688</v>
      </c>
      <c r="Q9" s="215">
        <f t="shared" si="8"/>
        <v>0.26733009389457857</v>
      </c>
      <c r="R9" s="214">
        <f t="shared" si="9"/>
        <v>11.002394438045121</v>
      </c>
      <c r="S9" s="7">
        <f t="shared" si="1"/>
        <v>27.096440679436796</v>
      </c>
      <c r="T9" s="215">
        <f t="shared" si="1"/>
        <v>13.901164882518085</v>
      </c>
      <c r="U9" s="7">
        <f t="shared" si="2"/>
        <v>-4.517588306185214</v>
      </c>
      <c r="V9">
        <f t="shared" si="10"/>
        <v>46.599923049324644</v>
      </c>
    </row>
    <row r="10" spans="1:34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G10">
        <f t="shared" si="3"/>
        <v>25</v>
      </c>
      <c r="H10">
        <f t="shared" si="0"/>
        <v>0</v>
      </c>
      <c r="I10" s="214">
        <f t="shared" si="0"/>
        <v>4</v>
      </c>
      <c r="J10" s="7">
        <f t="shared" si="0"/>
        <v>20</v>
      </c>
      <c r="K10" s="7">
        <f t="shared" si="0"/>
        <v>8</v>
      </c>
      <c r="L10" s="215">
        <f t="shared" si="4"/>
        <v>32</v>
      </c>
      <c r="M10" s="214">
        <f t="shared" si="5"/>
        <v>6.1734968382187443</v>
      </c>
      <c r="N10" s="215">
        <f t="shared" si="5"/>
        <v>1.8251241907361599</v>
      </c>
      <c r="O10" s="214">
        <f t="shared" si="6"/>
        <v>0.11112813805385241</v>
      </c>
      <c r="P10" s="7">
        <f t="shared" si="7"/>
        <v>0.68604920891259402</v>
      </c>
      <c r="Q10" s="215">
        <f t="shared" si="8"/>
        <v>0.20282265303355365</v>
      </c>
      <c r="R10" s="214">
        <f t="shared" si="9"/>
        <v>3.5561004177232771</v>
      </c>
      <c r="S10" s="7">
        <f t="shared" si="1"/>
        <v>21.953574685203009</v>
      </c>
      <c r="T10" s="215">
        <f t="shared" si="1"/>
        <v>6.4903248970737168</v>
      </c>
      <c r="U10" s="7">
        <f t="shared" si="2"/>
        <v>-3.6481040357386298</v>
      </c>
      <c r="V10">
        <f t="shared" si="10"/>
        <v>25.439686262268342</v>
      </c>
      <c r="X10" s="391">
        <f>X6</f>
        <v>-21.154133877889475</v>
      </c>
      <c r="AA10" s="391" t="e">
        <f ca="1">AA6</f>
        <v>#NAME?</v>
      </c>
      <c r="AD10" s="391" t="e">
        <f t="array" aca="1" ref="AD10:AD15" ca="1">MMULT(AE20:AJ25,AA10:AA15)</f>
        <v>#NAME?</v>
      </c>
      <c r="AG10" s="391" t="e">
        <f t="array" ref="AG10:AG15" ca="1">X10:X15+AD10:AD15</f>
        <v>#NAME?</v>
      </c>
    </row>
    <row r="11" spans="1:34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G11">
        <f t="shared" si="3"/>
        <v>20</v>
      </c>
      <c r="H11">
        <f t="shared" si="0"/>
        <v>1</v>
      </c>
      <c r="I11" s="214">
        <f t="shared" si="0"/>
        <v>16</v>
      </c>
      <c r="J11" s="7">
        <f t="shared" si="0"/>
        <v>4</v>
      </c>
      <c r="K11" s="7">
        <f t="shared" si="0"/>
        <v>2</v>
      </c>
      <c r="L11" s="215">
        <f t="shared" si="4"/>
        <v>22</v>
      </c>
      <c r="M11" s="214">
        <f t="shared" si="5"/>
        <v>6.1565823839687957E-2</v>
      </c>
      <c r="N11" s="215">
        <f t="shared" si="5"/>
        <v>0.13702549696577193</v>
      </c>
      <c r="O11" s="214">
        <f t="shared" si="6"/>
        <v>0.83431273248999882</v>
      </c>
      <c r="P11" s="7">
        <f t="shared" si="7"/>
        <v>5.1365150715687972E-2</v>
      </c>
      <c r="Q11" s="215">
        <f t="shared" si="8"/>
        <v>0.11432211679431323</v>
      </c>
      <c r="R11" s="214">
        <f t="shared" si="9"/>
        <v>18.354880114779974</v>
      </c>
      <c r="S11" s="7">
        <f t="shared" si="1"/>
        <v>1.1300333157451354</v>
      </c>
      <c r="T11" s="215">
        <f t="shared" si="1"/>
        <v>2.515086569474891</v>
      </c>
      <c r="U11" s="7">
        <f t="shared" si="2"/>
        <v>-5.1828830623505677</v>
      </c>
      <c r="V11">
        <f t="shared" si="10"/>
        <v>13.928120234846661</v>
      </c>
      <c r="X11" s="185">
        <f>X7</f>
        <v>0.91897597215044968</v>
      </c>
      <c r="AA11" s="185" t="e">
        <f ca="1">AA7</f>
        <v>#NAME?</v>
      </c>
      <c r="AD11" s="185" t="e">
        <f ca="1"/>
        <v>#NAME?</v>
      </c>
      <c r="AG11" s="185" t="e">
        <f ca="1"/>
        <v>#NAME?</v>
      </c>
    </row>
    <row r="12" spans="1:34" x14ac:dyDescent="0.25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>
        <f t="shared" si="3"/>
        <v>21</v>
      </c>
      <c r="H12">
        <f t="shared" si="0"/>
        <v>1</v>
      </c>
      <c r="I12" s="214">
        <f t="shared" si="0"/>
        <v>67</v>
      </c>
      <c r="J12" s="7">
        <f t="shared" si="0"/>
        <v>9</v>
      </c>
      <c r="K12" s="7">
        <f t="shared" si="0"/>
        <v>8</v>
      </c>
      <c r="L12" s="215">
        <f t="shared" si="4"/>
        <v>84</v>
      </c>
      <c r="M12" s="214">
        <f t="shared" si="5"/>
        <v>0.15432841257242536</v>
      </c>
      <c r="N12" s="215">
        <f t="shared" si="5"/>
        <v>0.19793829413936098</v>
      </c>
      <c r="O12" s="214">
        <f t="shared" si="6"/>
        <v>0.7394990907020339</v>
      </c>
      <c r="P12" s="7">
        <f t="shared" si="7"/>
        <v>0.11412572076679689</v>
      </c>
      <c r="Q12" s="215">
        <f t="shared" si="8"/>
        <v>0.14637518853116918</v>
      </c>
      <c r="R12" s="214">
        <f t="shared" si="9"/>
        <v>62.117923618970849</v>
      </c>
      <c r="S12" s="7">
        <f t="shared" si="1"/>
        <v>9.5865605444109381</v>
      </c>
      <c r="T12" s="215">
        <f t="shared" si="1"/>
        <v>12.295515836618211</v>
      </c>
      <c r="U12" s="7">
        <f t="shared" si="2"/>
        <v>-4.9455725472284904</v>
      </c>
      <c r="V12">
        <f t="shared" si="10"/>
        <v>50.180585597489312</v>
      </c>
      <c r="X12" s="123">
        <f>X8</f>
        <v>-1.3033935322250792E-2</v>
      </c>
      <c r="AA12" s="123" t="e">
        <f ca="1">AA8</f>
        <v>#NAME?</v>
      </c>
      <c r="AD12" s="123" t="e">
        <f ca="1"/>
        <v>#NAME?</v>
      </c>
      <c r="AG12" s="123" t="e">
        <f ca="1"/>
        <v>#NAME?</v>
      </c>
    </row>
    <row r="13" spans="1:34" x14ac:dyDescent="0.25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G13">
        <f t="shared" si="3"/>
        <v>22</v>
      </c>
      <c r="H13">
        <f t="shared" si="0"/>
        <v>1</v>
      </c>
      <c r="I13" s="214">
        <f t="shared" si="0"/>
        <v>55</v>
      </c>
      <c r="J13" s="7">
        <f t="shared" si="0"/>
        <v>20</v>
      </c>
      <c r="K13" s="7">
        <f t="shared" si="0"/>
        <v>14</v>
      </c>
      <c r="L13" s="215">
        <f t="shared" si="4"/>
        <v>89</v>
      </c>
      <c r="M13" s="214">
        <f t="shared" si="5"/>
        <v>0.38685844583421491</v>
      </c>
      <c r="N13" s="215">
        <f t="shared" si="5"/>
        <v>0.28592903623321253</v>
      </c>
      <c r="O13" s="214">
        <f t="shared" si="6"/>
        <v>0.59780456915189395</v>
      </c>
      <c r="P13" s="7">
        <f t="shared" si="7"/>
        <v>0.23126574653469414</v>
      </c>
      <c r="Q13" s="215">
        <f t="shared" si="8"/>
        <v>0.17092968431341188</v>
      </c>
      <c r="R13" s="214">
        <f t="shared" si="9"/>
        <v>53.204606654518564</v>
      </c>
      <c r="S13" s="7">
        <f t="shared" si="1"/>
        <v>20.582651441587778</v>
      </c>
      <c r="T13" s="215">
        <f t="shared" si="1"/>
        <v>15.212741903893658</v>
      </c>
      <c r="U13" s="7">
        <f t="shared" si="2"/>
        <v>-4.5132777397917287</v>
      </c>
      <c r="V13">
        <f t="shared" si="10"/>
        <v>77.798546857959138</v>
      </c>
      <c r="X13" s="185">
        <f>Y6</f>
        <v>-8.5930599308358797</v>
      </c>
      <c r="AA13" s="185" t="e">
        <f ca="1">AB6</f>
        <v>#NAME?</v>
      </c>
      <c r="AD13" s="185" t="e">
        <f ca="1"/>
        <v>#NAME?</v>
      </c>
      <c r="AG13" s="185" t="e">
        <f ca="1"/>
        <v>#NAME?</v>
      </c>
    </row>
    <row r="14" spans="1:34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>
        <f t="shared" si="3"/>
        <v>23</v>
      </c>
      <c r="H14">
        <f t="shared" si="0"/>
        <v>1</v>
      </c>
      <c r="I14" s="214">
        <f t="shared" si="0"/>
        <v>49</v>
      </c>
      <c r="J14" s="7">
        <f t="shared" si="0"/>
        <v>55</v>
      </c>
      <c r="K14" s="7">
        <f t="shared" si="0"/>
        <v>20</v>
      </c>
      <c r="L14" s="215">
        <f t="shared" si="4"/>
        <v>124</v>
      </c>
      <c r="M14" s="214">
        <f t="shared" si="5"/>
        <v>0.96974662421950286</v>
      </c>
      <c r="N14" s="215">
        <f t="shared" si="5"/>
        <v>0.41303485066761747</v>
      </c>
      <c r="O14" s="214">
        <f t="shared" si="6"/>
        <v>0.41967759550731487</v>
      </c>
      <c r="P14" s="7">
        <f t="shared" si="7"/>
        <v>0.40698093150377662</v>
      </c>
      <c r="Q14" s="215">
        <f t="shared" si="8"/>
        <v>0.17334147298890856</v>
      </c>
      <c r="R14" s="214">
        <f t="shared" si="9"/>
        <v>52.040021842907045</v>
      </c>
      <c r="S14" s="7">
        <f t="shared" si="1"/>
        <v>50.465635506468303</v>
      </c>
      <c r="T14" s="215">
        <f t="shared" si="1"/>
        <v>21.494342650624663</v>
      </c>
      <c r="U14" s="7">
        <f t="shared" si="2"/>
        <v>-5.2235244634753002</v>
      </c>
      <c r="V14">
        <f t="shared" si="10"/>
        <v>121.81585963705966</v>
      </c>
      <c r="X14" s="185">
        <f>Y7</f>
        <v>0.36778831861094008</v>
      </c>
      <c r="AA14" s="185" t="e">
        <f ca="1">AB7</f>
        <v>#NAME?</v>
      </c>
      <c r="AD14" s="185" t="e">
        <f ca="1"/>
        <v>#NAME?</v>
      </c>
      <c r="AG14" s="185" t="e">
        <f ca="1"/>
        <v>#NAME?</v>
      </c>
    </row>
    <row r="15" spans="1:34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>
        <f t="shared" si="3"/>
        <v>24</v>
      </c>
      <c r="H15">
        <f t="shared" si="0"/>
        <v>1</v>
      </c>
      <c r="I15" s="214">
        <f t="shared" si="0"/>
        <v>12</v>
      </c>
      <c r="J15" s="7">
        <f t="shared" si="0"/>
        <v>36</v>
      </c>
      <c r="K15" s="7">
        <f t="shared" si="0"/>
        <v>15</v>
      </c>
      <c r="L15" s="215">
        <f t="shared" si="4"/>
        <v>63</v>
      </c>
      <c r="M15" s="214">
        <f t="shared" si="5"/>
        <v>2.4308853155764618</v>
      </c>
      <c r="N15" s="215">
        <f t="shared" si="5"/>
        <v>0.59664380404820372</v>
      </c>
      <c r="O15" s="214">
        <f t="shared" si="6"/>
        <v>0.24829119052854728</v>
      </c>
      <c r="P15" s="7">
        <f t="shared" si="7"/>
        <v>0.60356740904284312</v>
      </c>
      <c r="Q15" s="215">
        <f t="shared" si="8"/>
        <v>0.14814140042860979</v>
      </c>
      <c r="R15" s="214">
        <f t="shared" si="9"/>
        <v>15.642345003298479</v>
      </c>
      <c r="S15" s="7">
        <f t="shared" si="1"/>
        <v>38.024746769699114</v>
      </c>
      <c r="T15" s="215">
        <f t="shared" si="1"/>
        <v>9.3329082270024166</v>
      </c>
      <c r="U15" s="7">
        <f t="shared" si="2"/>
        <v>-6.1348333350148714</v>
      </c>
      <c r="V15">
        <f t="shared" si="10"/>
        <v>57.403135977635543</v>
      </c>
      <c r="X15" s="123">
        <f>Y8</f>
        <v>-0.75029470261389919</v>
      </c>
      <c r="AA15" s="123" t="e">
        <f ca="1">AB8</f>
        <v>#NAME?</v>
      </c>
      <c r="AD15" s="123" t="e">
        <f ca="1"/>
        <v>#NAME?</v>
      </c>
      <c r="AG15" s="123" t="e">
        <f ca="1"/>
        <v>#NAME?</v>
      </c>
    </row>
    <row r="16" spans="1:34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>
        <f t="shared" si="3"/>
        <v>25</v>
      </c>
      <c r="H16">
        <f t="shared" si="0"/>
        <v>1</v>
      </c>
      <c r="I16" s="112">
        <f t="shared" si="0"/>
        <v>6</v>
      </c>
      <c r="J16" s="354">
        <f t="shared" si="0"/>
        <v>18</v>
      </c>
      <c r="K16" s="354">
        <f t="shared" si="0"/>
        <v>5</v>
      </c>
      <c r="L16" s="120">
        <f t="shared" si="4"/>
        <v>29</v>
      </c>
      <c r="M16" s="112">
        <f t="shared" si="5"/>
        <v>6.0935539963763778</v>
      </c>
      <c r="N16" s="120">
        <f t="shared" si="5"/>
        <v>0.86187358847252182</v>
      </c>
      <c r="O16" s="112">
        <f t="shared" si="6"/>
        <v>0.12570034600082322</v>
      </c>
      <c r="P16" s="354">
        <f t="shared" si="7"/>
        <v>0.76596184571920978</v>
      </c>
      <c r="Q16" s="120">
        <f t="shared" si="8"/>
        <v>0.10833780827996711</v>
      </c>
      <c r="R16" s="112">
        <f t="shared" si="9"/>
        <v>3.6453100340238733</v>
      </c>
      <c r="S16" s="354">
        <f t="shared" si="1"/>
        <v>22.212893525857083</v>
      </c>
      <c r="T16" s="120">
        <f t="shared" si="1"/>
        <v>3.1417964401190464</v>
      </c>
      <c r="U16" s="7">
        <f t="shared" si="2"/>
        <v>-4.859993619779261</v>
      </c>
      <c r="V16">
        <f t="shared" si="10"/>
        <v>23.494850804342796</v>
      </c>
    </row>
    <row r="17" spans="3:36" x14ac:dyDescent="0.25">
      <c r="C17">
        <f>SUM(C5:C16)</f>
        <v>400</v>
      </c>
      <c r="D17">
        <f>SUM(D5:D16)</f>
        <v>270</v>
      </c>
      <c r="E17">
        <f>SUM(E5:E16)</f>
        <v>190</v>
      </c>
      <c r="G17" s="361"/>
      <c r="H17" s="361"/>
      <c r="I17" s="361">
        <f>SUM(I5:I16)</f>
        <v>400</v>
      </c>
      <c r="J17" s="361">
        <f>SUM(J5:J16)</f>
        <v>270</v>
      </c>
      <c r="K17" s="387">
        <f>SUM(K5:K16)</f>
        <v>190</v>
      </c>
      <c r="L17" s="387">
        <f>SUM(L5:L16)</f>
        <v>860</v>
      </c>
      <c r="O17" s="387"/>
      <c r="R17" s="361">
        <f>SUM(R5:R16)</f>
        <v>399.99634024406151</v>
      </c>
      <c r="S17" s="361">
        <f>SUM(S5:S16)</f>
        <v>269.99513834315314</v>
      </c>
      <c r="T17" s="361">
        <f>SUM(T5:T16)</f>
        <v>190.00852141278537</v>
      </c>
      <c r="U17" s="361">
        <f>SUM(U5:U16)</f>
        <v>-66.505076705878324</v>
      </c>
      <c r="V17" s="361">
        <f>I17*LN(I17/L17)+J17*LN(J17/L17)+K17*LN(K17/L17)+SUM(V5:V16)</f>
        <v>-163.38567469443615</v>
      </c>
      <c r="W17" s="7"/>
    </row>
    <row r="18" spans="3:36" x14ac:dyDescent="0.25">
      <c r="X18" t="s">
        <v>902</v>
      </c>
      <c r="AE18" t="s">
        <v>754</v>
      </c>
    </row>
    <row r="19" spans="3:36" x14ac:dyDescent="0.25">
      <c r="G19" t="s">
        <v>874</v>
      </c>
    </row>
    <row r="20" spans="3:36" ht="15.75" thickBot="1" x14ac:dyDescent="0.3">
      <c r="X20" s="344" t="e">
        <f t="array" aca="1" ref="X20:Z22" ca="1">MMULT(TRANSPOSE(DESIGN(G5:H16)),P5:P16*(1-P5:P16)*L5:L16*DESIGN(G5:H16))</f>
        <v>#NAME?</v>
      </c>
      <c r="Y20" s="345" t="e">
        <f ca="1"/>
        <v>#NAME?</v>
      </c>
      <c r="Z20" s="347" t="e">
        <f ca="1"/>
        <v>#NAME?</v>
      </c>
      <c r="AA20" s="344" t="e">
        <f t="array" aca="1" ref="AA20:AC22" ca="1">-MMULT(TRANSPOSE(DESIGN(G5:H16)),P5:P16*Q5:Q16*L5:L16*DESIGN(G5:H16))</f>
        <v>#NAME?</v>
      </c>
      <c r="AB20" s="345" t="e">
        <f ca="1"/>
        <v>#NAME?</v>
      </c>
      <c r="AC20" s="347" t="e">
        <f ca="1"/>
        <v>#NAME?</v>
      </c>
      <c r="AE20" s="344" t="e">
        <f t="array" aca="1" ref="AE20:AJ25" ca="1">MINVERSE(X20:AC25)</f>
        <v>#NAME?</v>
      </c>
      <c r="AF20" s="345" t="e">
        <f ca="1"/>
        <v>#NAME?</v>
      </c>
      <c r="AG20" s="345" t="e">
        <f ca="1"/>
        <v>#NAME?</v>
      </c>
      <c r="AH20" s="345" t="e">
        <f ca="1"/>
        <v>#NAME?</v>
      </c>
      <c r="AI20" s="345" t="e">
        <f ca="1"/>
        <v>#NAME?</v>
      </c>
      <c r="AJ20" s="347" t="e">
        <f ca="1"/>
        <v>#NAME?</v>
      </c>
    </row>
    <row r="21" spans="3:36" ht="15.75" thickTop="1" x14ac:dyDescent="0.25">
      <c r="G21" s="360"/>
      <c r="H21" s="360" t="s">
        <v>755</v>
      </c>
      <c r="I21" s="360" t="s">
        <v>148</v>
      </c>
      <c r="J21" s="360" t="s">
        <v>756</v>
      </c>
      <c r="K21" s="360" t="s">
        <v>48</v>
      </c>
      <c r="L21" s="360" t="s">
        <v>757</v>
      </c>
      <c r="M21" s="360" t="s">
        <v>15</v>
      </c>
      <c r="N21" s="360" t="s">
        <v>16</v>
      </c>
      <c r="X21" s="214" t="e">
        <f ca="1"/>
        <v>#NAME?</v>
      </c>
      <c r="Y21" s="7" t="e">
        <f ca="1"/>
        <v>#NAME?</v>
      </c>
      <c r="Z21" s="215" t="e">
        <f ca="1"/>
        <v>#NAME?</v>
      </c>
      <c r="AA21" s="214" t="e">
        <f ca="1"/>
        <v>#NAME?</v>
      </c>
      <c r="AB21" s="7" t="e">
        <f ca="1"/>
        <v>#NAME?</v>
      </c>
      <c r="AC21" s="215" t="e">
        <f ca="1"/>
        <v>#NAME?</v>
      </c>
      <c r="AE21" s="214" t="e">
        <f ca="1"/>
        <v>#NAME?</v>
      </c>
      <c r="AF21" s="7" t="e">
        <f ca="1"/>
        <v>#NAME?</v>
      </c>
      <c r="AG21" s="7" t="e">
        <f ca="1"/>
        <v>#NAME?</v>
      </c>
      <c r="AH21" s="7" t="e">
        <f ca="1"/>
        <v>#NAME?</v>
      </c>
      <c r="AI21" s="7" t="e">
        <f ca="1"/>
        <v>#NAME?</v>
      </c>
      <c r="AJ21" s="215" t="e">
        <f ca="1"/>
        <v>#NAME?</v>
      </c>
    </row>
    <row r="22" spans="3:36" x14ac:dyDescent="0.25">
      <c r="G22" t="s">
        <v>127</v>
      </c>
      <c r="H22">
        <f t="array" ref="H22:H24">X6:X8</f>
        <v>-21.154133877889475</v>
      </c>
      <c r="I22" t="e">
        <f t="array" aca="1" ref="I22:I24" ca="1">SQRT(DIAG(AE20:AG22))</f>
        <v>#NAME?</v>
      </c>
      <c r="J22" t="e">
        <f ca="1">(H22/I22)^2</f>
        <v>#NAME?</v>
      </c>
      <c r="K22" t="e">
        <f ca="1">CHIDIST(J22,1)</f>
        <v>#NAME?</v>
      </c>
      <c r="L22">
        <f>EXP(H22)</f>
        <v>6.4994467120206512E-10</v>
      </c>
      <c r="X22" s="112" t="e">
        <f ca="1"/>
        <v>#NAME?</v>
      </c>
      <c r="Y22" s="354" t="e">
        <f ca="1"/>
        <v>#NAME?</v>
      </c>
      <c r="Z22" s="120" t="e">
        <f ca="1"/>
        <v>#NAME?</v>
      </c>
      <c r="AA22" s="112" t="e">
        <f ca="1"/>
        <v>#NAME?</v>
      </c>
      <c r="AB22" s="354" t="e">
        <f ca="1"/>
        <v>#NAME?</v>
      </c>
      <c r="AC22" s="120" t="e">
        <f ca="1"/>
        <v>#NAME?</v>
      </c>
      <c r="AE22" s="214" t="e">
        <f ca="1"/>
        <v>#NAME?</v>
      </c>
      <c r="AF22" s="7" t="e">
        <f ca="1"/>
        <v>#NAME?</v>
      </c>
      <c r="AG22" s="7" t="e">
        <f ca="1"/>
        <v>#NAME?</v>
      </c>
      <c r="AH22" s="7" t="e">
        <f ca="1"/>
        <v>#NAME?</v>
      </c>
      <c r="AI22" s="7" t="e">
        <f ca="1"/>
        <v>#NAME?</v>
      </c>
      <c r="AJ22" s="215" t="e">
        <f ca="1"/>
        <v>#NAME?</v>
      </c>
    </row>
    <row r="23" spans="3:36" x14ac:dyDescent="0.25">
      <c r="G23" t="str">
        <f t="array" ref="G23:G24">TRANSPOSE(G4:H4)</f>
        <v>Dosage</v>
      </c>
      <c r="H23">
        <v>0.91897597215044968</v>
      </c>
      <c r="I23" t="e">
        <f ca="1"/>
        <v>#NAME?</v>
      </c>
      <c r="J23" t="e">
        <f ca="1">(H23/I23)^2</f>
        <v>#NAME?</v>
      </c>
      <c r="K23" t="e">
        <f ca="1">CHIDIST(J23,1)</f>
        <v>#NAME?</v>
      </c>
      <c r="L23">
        <f>EXP(H23)</f>
        <v>2.506722121907818</v>
      </c>
      <c r="M23" t="e">
        <f ca="1">EXP(H23-I23*NORMSINV(1-0.05/2))</f>
        <v>#NAME?</v>
      </c>
      <c r="N23" t="e">
        <f ca="1">EXP(H23+I23*NORMSINV(1-0.05/2))</f>
        <v>#NAME?</v>
      </c>
      <c r="X23" s="344" t="e">
        <f t="array" ref="X23:Z25" ca="1">AA20:AC22</f>
        <v>#NAME?</v>
      </c>
      <c r="Y23" s="345" t="e">
        <f ca="1"/>
        <v>#NAME?</v>
      </c>
      <c r="Z23" s="347" t="e">
        <f ca="1"/>
        <v>#NAME?</v>
      </c>
      <c r="AA23" s="344" t="e">
        <f t="array" aca="1" ref="AA23:AC25" ca="1">MMULT(TRANSPOSE(DESIGN(G5:H16)),Q5:Q16*(1-Q5:Q16)*L5:L16*DESIGN(G5:H16))</f>
        <v>#NAME?</v>
      </c>
      <c r="AB23" s="345" t="e">
        <f ca="1"/>
        <v>#NAME?</v>
      </c>
      <c r="AC23" s="347" t="e">
        <f ca="1"/>
        <v>#NAME?</v>
      </c>
      <c r="AE23" s="214" t="e">
        <f ca="1"/>
        <v>#NAME?</v>
      </c>
      <c r="AF23" s="7" t="e">
        <f ca="1"/>
        <v>#NAME?</v>
      </c>
      <c r="AG23" s="7" t="e">
        <f ca="1"/>
        <v>#NAME?</v>
      </c>
      <c r="AH23" s="7" t="e">
        <f ca="1"/>
        <v>#NAME?</v>
      </c>
      <c r="AI23" s="7" t="e">
        <f ca="1"/>
        <v>#NAME?</v>
      </c>
      <c r="AJ23" s="215" t="e">
        <f ca="1"/>
        <v>#NAME?</v>
      </c>
    </row>
    <row r="24" spans="3:36" x14ac:dyDescent="0.25">
      <c r="G24" s="354" t="str">
        <v>Gender</v>
      </c>
      <c r="H24" s="354">
        <v>-1.3033935322250792E-2</v>
      </c>
      <c r="I24" s="354" t="e">
        <f ca="1"/>
        <v>#NAME?</v>
      </c>
      <c r="J24" s="354" t="e">
        <f ca="1">(H24/I24)^2</f>
        <v>#NAME?</v>
      </c>
      <c r="K24" s="354" t="e">
        <f ca="1">CHIDIST(J24,1)</f>
        <v>#NAME?</v>
      </c>
      <c r="L24" s="354">
        <f>EXP(H24)</f>
        <v>0.98705063857043662</v>
      </c>
      <c r="M24" s="354" t="e">
        <f ca="1">EXP(H24-I24*NORMSINV(1-0.05/2))</f>
        <v>#NAME?</v>
      </c>
      <c r="N24" s="354" t="e">
        <f ca="1">EXP(H24+I24*NORMSINV(1-0.05/2))</f>
        <v>#NAME?</v>
      </c>
      <c r="X24" s="214" t="e">
        <f ca="1"/>
        <v>#NAME?</v>
      </c>
      <c r="Y24" s="7" t="e">
        <f ca="1"/>
        <v>#NAME?</v>
      </c>
      <c r="Z24" s="215" t="e">
        <f ca="1"/>
        <v>#NAME?</v>
      </c>
      <c r="AA24" s="214" t="e">
        <f ca="1"/>
        <v>#NAME?</v>
      </c>
      <c r="AB24" s="7" t="e">
        <f ca="1"/>
        <v>#NAME?</v>
      </c>
      <c r="AC24" s="215" t="e">
        <f ca="1"/>
        <v>#NAME?</v>
      </c>
      <c r="AE24" s="214" t="e">
        <f ca="1"/>
        <v>#NAME?</v>
      </c>
      <c r="AF24" s="7" t="e">
        <f ca="1"/>
        <v>#NAME?</v>
      </c>
      <c r="AG24" s="7" t="e">
        <f ca="1"/>
        <v>#NAME?</v>
      </c>
      <c r="AH24" s="7" t="e">
        <f ca="1"/>
        <v>#NAME?</v>
      </c>
      <c r="AI24" s="7" t="e">
        <f ca="1"/>
        <v>#NAME?</v>
      </c>
      <c r="AJ24" s="215" t="e">
        <f ca="1"/>
        <v>#NAME?</v>
      </c>
    </row>
    <row r="25" spans="3:36" x14ac:dyDescent="0.25">
      <c r="X25" s="112" t="e">
        <f ca="1"/>
        <v>#NAME?</v>
      </c>
      <c r="Y25" s="354" t="e">
        <f ca="1"/>
        <v>#NAME?</v>
      </c>
      <c r="Z25" s="120" t="e">
        <f ca="1"/>
        <v>#NAME?</v>
      </c>
      <c r="AA25" s="112" t="e">
        <f ca="1"/>
        <v>#NAME?</v>
      </c>
      <c r="AB25" s="354" t="e">
        <f ca="1"/>
        <v>#NAME?</v>
      </c>
      <c r="AC25" s="120" t="e">
        <f ca="1"/>
        <v>#NAME?</v>
      </c>
      <c r="AE25" s="112" t="e">
        <f ca="1"/>
        <v>#NAME?</v>
      </c>
      <c r="AF25" s="354" t="e">
        <f ca="1"/>
        <v>#NAME?</v>
      </c>
      <c r="AG25" s="354" t="e">
        <f ca="1"/>
        <v>#NAME?</v>
      </c>
      <c r="AH25" s="354" t="e">
        <f ca="1"/>
        <v>#NAME?</v>
      </c>
      <c r="AI25" s="354" t="e">
        <f ca="1"/>
        <v>#NAME?</v>
      </c>
      <c r="AJ25" s="120" t="e">
        <f ca="1"/>
        <v>#NAME?</v>
      </c>
    </row>
    <row r="27" spans="3:36" x14ac:dyDescent="0.25">
      <c r="G27" t="s">
        <v>895</v>
      </c>
    </row>
    <row r="28" spans="3:36" ht="15.75" thickBot="1" x14ac:dyDescent="0.3"/>
    <row r="29" spans="3:36" ht="15.75" thickTop="1" x14ac:dyDescent="0.25">
      <c r="G29" s="360"/>
      <c r="H29" s="360" t="s">
        <v>755</v>
      </c>
      <c r="I29" s="360" t="s">
        <v>148</v>
      </c>
      <c r="J29" s="360" t="s">
        <v>756</v>
      </c>
      <c r="K29" s="360" t="s">
        <v>48</v>
      </c>
      <c r="L29" s="360" t="s">
        <v>757</v>
      </c>
      <c r="M29" s="360" t="s">
        <v>15</v>
      </c>
      <c r="N29" s="360" t="s">
        <v>16</v>
      </c>
    </row>
    <row r="30" spans="3:36" x14ac:dyDescent="0.25">
      <c r="G30" t="s">
        <v>127</v>
      </c>
      <c r="H30">
        <f t="array" ref="H30:H32">Y6:Y8</f>
        <v>-8.5930599308358797</v>
      </c>
      <c r="I30" t="e">
        <f t="array" aca="1" ref="I30:I32" ca="1">SQRT(DIAG(AH23:AJ25))</f>
        <v>#NAME?</v>
      </c>
      <c r="J30" t="e">
        <f ca="1">(H30/I30)^2</f>
        <v>#NAME?</v>
      </c>
      <c r="K30" t="e">
        <f ca="1">CHIDIST(J30,1)</f>
        <v>#NAME?</v>
      </c>
      <c r="L30">
        <f>EXP(H30)</f>
        <v>1.8538794457093942E-4</v>
      </c>
    </row>
    <row r="31" spans="3:36" x14ac:dyDescent="0.25">
      <c r="G31" t="str">
        <f t="array" ref="G31:G32">TRANSPOSE(G4:H4)</f>
        <v>Dosage</v>
      </c>
      <c r="H31">
        <v>0.36778831861094008</v>
      </c>
      <c r="I31" t="e">
        <f ca="1"/>
        <v>#NAME?</v>
      </c>
      <c r="J31" t="e">
        <f ca="1">(H31/I31)^2</f>
        <v>#NAME?</v>
      </c>
      <c r="K31" t="e">
        <f ca="1">CHIDIST(J31,1)</f>
        <v>#NAME?</v>
      </c>
      <c r="L31">
        <f>EXP(H31)</f>
        <v>1.444536225172784</v>
      </c>
      <c r="M31" t="e">
        <f ca="1">EXP(H31-I31*NORMSINV(1-0.05/2))</f>
        <v>#NAME?</v>
      </c>
      <c r="N31" t="e">
        <f ca="1">EXP(H31+I31*NORMSINV(1-0.05/2))</f>
        <v>#NAME?</v>
      </c>
    </row>
    <row r="32" spans="3:36" x14ac:dyDescent="0.25">
      <c r="G32" s="354" t="str">
        <v>Gender</v>
      </c>
      <c r="H32" s="354">
        <v>-0.75029470261389919</v>
      </c>
      <c r="I32" s="354" t="e">
        <f ca="1"/>
        <v>#NAME?</v>
      </c>
      <c r="J32" s="354" t="e">
        <f ca="1">(H32/I32)^2</f>
        <v>#NAME?</v>
      </c>
      <c r="K32" s="354" t="e">
        <f ca="1">CHIDIST(J32,1)</f>
        <v>#NAME?</v>
      </c>
      <c r="L32" s="354">
        <f>EXP(H32)</f>
        <v>0.47222736559361883</v>
      </c>
      <c r="M32" s="354" t="e">
        <f ca="1">EXP(H32-I32*NORMSINV(1-0.05/2))</f>
        <v>#NAME?</v>
      </c>
      <c r="N32" s="354" t="e">
        <f ca="1">EXP(H32+I32*NORMSINV(1-0.05/2))</f>
        <v>#NAME?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AJ32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8" max="8" width="9.140625" customWidth="1"/>
    <col min="12" max="13" width="9.140625" customWidth="1"/>
    <col min="22" max="23" width="9.140625" customWidth="1"/>
    <col min="32" max="32" width="9.140625" customWidth="1"/>
  </cols>
  <sheetData>
    <row r="1" spans="1:34" x14ac:dyDescent="0.25">
      <c r="A1" s="1" t="s">
        <v>854</v>
      </c>
    </row>
    <row r="2" spans="1:34" x14ac:dyDescent="0.25">
      <c r="A2" t="s">
        <v>866</v>
      </c>
    </row>
    <row r="3" spans="1:34" ht="15.75" thickBot="1" x14ac:dyDescent="0.3">
      <c r="G3" s="772" t="s">
        <v>892</v>
      </c>
      <c r="H3" s="772"/>
      <c r="I3" s="772" t="s">
        <v>77</v>
      </c>
      <c r="J3" s="772"/>
      <c r="K3" s="772"/>
      <c r="L3" s="772"/>
      <c r="M3" s="772" t="s">
        <v>93</v>
      </c>
      <c r="N3" s="772"/>
      <c r="O3" s="772" t="s">
        <v>894</v>
      </c>
      <c r="P3" s="772"/>
      <c r="Q3" s="772"/>
      <c r="R3" s="772" t="s">
        <v>893</v>
      </c>
      <c r="S3" s="772"/>
      <c r="T3" s="772"/>
      <c r="U3" s="772" t="s">
        <v>891</v>
      </c>
      <c r="V3" s="772"/>
    </row>
    <row r="4" spans="1:34" ht="18" thickTop="1" x14ac:dyDescent="0.25">
      <c r="A4" s="294" t="s">
        <v>861</v>
      </c>
      <c r="B4" s="294" t="s">
        <v>180</v>
      </c>
      <c r="C4" s="294" t="s">
        <v>863</v>
      </c>
      <c r="D4" s="294" t="s">
        <v>81</v>
      </c>
      <c r="E4" s="294" t="s">
        <v>862</v>
      </c>
      <c r="G4" s="386" t="str">
        <f>A4</f>
        <v>Dosage</v>
      </c>
      <c r="H4" s="386" t="str">
        <f t="shared" ref="H4:K16" si="0">B4</f>
        <v>Gender</v>
      </c>
      <c r="I4" s="386" t="str">
        <f t="shared" si="0"/>
        <v>Dead</v>
      </c>
      <c r="J4" s="386" t="str">
        <f t="shared" si="0"/>
        <v>Cured</v>
      </c>
      <c r="K4" s="386" t="str">
        <f t="shared" si="0"/>
        <v>Sick</v>
      </c>
      <c r="L4" s="386" t="s">
        <v>1</v>
      </c>
      <c r="M4" s="386" t="str">
        <f>J4</f>
        <v>Cured</v>
      </c>
      <c r="N4" s="386" t="str">
        <f>K4</f>
        <v>Sick</v>
      </c>
      <c r="O4" s="386" t="str">
        <f>I4</f>
        <v>Dead</v>
      </c>
      <c r="P4" s="386" t="str">
        <f>J4</f>
        <v>Cured</v>
      </c>
      <c r="Q4" s="386" t="str">
        <f>K4</f>
        <v>Sick</v>
      </c>
      <c r="R4" s="386" t="str">
        <f>O4</f>
        <v>Dead</v>
      </c>
      <c r="S4" s="386" t="str">
        <f>P4</f>
        <v>Cured</v>
      </c>
      <c r="T4" s="386" t="str">
        <f>Q4</f>
        <v>Sick</v>
      </c>
      <c r="U4" s="386" t="s">
        <v>626</v>
      </c>
      <c r="V4" s="386" t="s">
        <v>905</v>
      </c>
      <c r="X4" t="s">
        <v>129</v>
      </c>
      <c r="AA4" t="s">
        <v>625</v>
      </c>
      <c r="AB4" s="380">
        <f>I17*LN(I17/L17)+J17*LN(J17/L17)+K17*LN(K17/L17)+V17</f>
        <v>-163.38567469443615</v>
      </c>
      <c r="AD4" t="s">
        <v>901</v>
      </c>
      <c r="AG4" t="s">
        <v>837</v>
      </c>
    </row>
    <row r="5" spans="1:34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G5">
        <f>A5</f>
        <v>20</v>
      </c>
      <c r="H5">
        <f t="shared" si="0"/>
        <v>0</v>
      </c>
      <c r="I5" s="344">
        <f t="shared" si="0"/>
        <v>13</v>
      </c>
      <c r="J5" s="345">
        <f t="shared" si="0"/>
        <v>0</v>
      </c>
      <c r="K5" s="345">
        <f t="shared" si="0"/>
        <v>8</v>
      </c>
      <c r="L5" s="347">
        <f>SUM(I5:K5)</f>
        <v>21</v>
      </c>
      <c r="M5" s="344" t="e">
        <f ca="1">EXP(X$6+MMULT($G5:$H5,X$7:X$8))</f>
        <v>#NAME?</v>
      </c>
      <c r="N5" s="347" t="e">
        <f ca="1">EXP(Y$6+MMULT($G5:$H5,Y$7:Y$8))</f>
        <v>#NAME?</v>
      </c>
      <c r="O5" s="344" t="e">
        <f ca="1">1/(1+$M5+$N5)</f>
        <v>#NAME?</v>
      </c>
      <c r="P5" s="345" t="e">
        <f ca="1">M5*O5</f>
        <v>#NAME?</v>
      </c>
      <c r="Q5" s="347" t="e">
        <f ca="1">N5*O5</f>
        <v>#NAME?</v>
      </c>
      <c r="R5" s="344" t="e">
        <f ca="1">O5*$L5</f>
        <v>#NAME?</v>
      </c>
      <c r="S5" s="345" t="e">
        <f t="shared" ref="S5:T16" ca="1" si="1">P5*$L5</f>
        <v>#NAME?</v>
      </c>
      <c r="T5" s="347" t="e">
        <f t="shared" ca="1" si="1"/>
        <v>#NAME?</v>
      </c>
      <c r="U5" s="7" t="e">
        <f ca="1">I5*LN(O5)+J5*LN(P5)+K5*LN(Q5)</f>
        <v>#NAME?</v>
      </c>
      <c r="V5">
        <f>GAMMALN(L5+1)-GAMMALN(I5+1)-GAMMALN(J5+1)-GAMMALN(K5+1)</f>
        <v>12.223372142608234</v>
      </c>
      <c r="AA5" t="s">
        <v>653</v>
      </c>
      <c r="AB5" s="349" t="e">
        <f ca="1">U17+V17</f>
        <v>#NAME?</v>
      </c>
    </row>
    <row r="6" spans="1:34" x14ac:dyDescent="0.25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>
        <f t="shared" ref="G6:G16" si="2">A6</f>
        <v>21</v>
      </c>
      <c r="H6">
        <f t="shared" si="0"/>
        <v>0</v>
      </c>
      <c r="I6" s="214">
        <f t="shared" si="0"/>
        <v>60</v>
      </c>
      <c r="J6" s="7">
        <f t="shared" si="0"/>
        <v>6</v>
      </c>
      <c r="K6" s="7">
        <f t="shared" si="0"/>
        <v>30</v>
      </c>
      <c r="L6" s="215">
        <f t="shared" ref="L6:L16" si="3">SUM(I6:K6)</f>
        <v>96</v>
      </c>
      <c r="M6" s="214" t="e">
        <f t="shared" ref="M6:N16" ca="1" si="4">EXP(X$6+MMULT($G6:$H6,X$7:X$8))</f>
        <v>#NAME?</v>
      </c>
      <c r="N6" s="215" t="e">
        <f t="shared" ca="1" si="4"/>
        <v>#NAME?</v>
      </c>
      <c r="O6" s="214" t="e">
        <f t="shared" ref="O6:O16" ca="1" si="5">1/(1+$M6+$N6)</f>
        <v>#NAME?</v>
      </c>
      <c r="P6" s="7" t="e">
        <f t="shared" ref="P6:P16" ca="1" si="6">M6*O6</f>
        <v>#NAME?</v>
      </c>
      <c r="Q6" s="215" t="e">
        <f t="shared" ref="Q6:Q16" ca="1" si="7">N6*O6</f>
        <v>#NAME?</v>
      </c>
      <c r="R6" s="214" t="e">
        <f t="shared" ref="R6:R16" ca="1" si="8">O6*$L6</f>
        <v>#NAME?</v>
      </c>
      <c r="S6" s="7" t="e">
        <f t="shared" ca="1" si="1"/>
        <v>#NAME?</v>
      </c>
      <c r="T6" s="215" t="e">
        <f t="shared" ca="1" si="1"/>
        <v>#NAME?</v>
      </c>
      <c r="U6" s="7" t="e">
        <f t="shared" ref="U6:U16" ca="1" si="9">I6*LN(O6)+J6*LN(P6)+K6*LN(Q6)</f>
        <v>#NAME?</v>
      </c>
      <c r="V6">
        <f t="shared" ref="V6:V16" si="10">GAMMALN(L6+1)-GAMMALN(I6+1)-GAMMALN(J6+1)-GAMMALN(K6+1)</f>
        <v>75.513746077754988</v>
      </c>
      <c r="X6" s="362" t="e">
        <f t="array" aca="1" ref="X6:Y8" ca="1">MLogitCoeff(A5:E16,2)</f>
        <v>#NAME?</v>
      </c>
      <c r="Y6" s="391" t="e">
        <f ca="1"/>
        <v>#NAME?</v>
      </c>
      <c r="AD6" s="344" t="e">
        <f t="array" aca="1" ref="AD6:AD8" ca="1">MMULT(TRANSPOSE(DESIGN($G5:$H16)),J5:J16-S5:S16)</f>
        <v>#NAME?</v>
      </c>
      <c r="AE6" s="391" t="e">
        <f t="array" aca="1" ref="AE6:AE8" ca="1">MMULT(TRANSPOSE(DESIGN($G5:$H16)),K5:K16-T5:T16)</f>
        <v>#NAME?</v>
      </c>
      <c r="AG6" s="344" t="e">
        <f ca="1">AG10</f>
        <v>#NAME?</v>
      </c>
      <c r="AH6" s="391" t="e">
        <f ca="1">AG13</f>
        <v>#NAME?</v>
      </c>
    </row>
    <row r="7" spans="1:34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>
        <f t="shared" si="2"/>
        <v>22</v>
      </c>
      <c r="H7">
        <f t="shared" si="0"/>
        <v>0</v>
      </c>
      <c r="I7" s="214">
        <f t="shared" si="0"/>
        <v>61</v>
      </c>
      <c r="J7" s="7">
        <f t="shared" si="0"/>
        <v>13</v>
      </c>
      <c r="K7" s="7">
        <f t="shared" si="0"/>
        <v>40</v>
      </c>
      <c r="L7" s="215">
        <f t="shared" si="3"/>
        <v>114</v>
      </c>
      <c r="M7" s="214" t="e">
        <f t="shared" ca="1" si="4"/>
        <v>#NAME?</v>
      </c>
      <c r="N7" s="215" t="e">
        <f t="shared" ca="1" si="4"/>
        <v>#NAME?</v>
      </c>
      <c r="O7" s="214" t="e">
        <f t="shared" ca="1" si="5"/>
        <v>#NAME?</v>
      </c>
      <c r="P7" s="7" t="e">
        <f t="shared" ca="1" si="6"/>
        <v>#NAME?</v>
      </c>
      <c r="Q7" s="215" t="e">
        <f t="shared" ca="1" si="7"/>
        <v>#NAME?</v>
      </c>
      <c r="R7" s="214" t="e">
        <f t="shared" ca="1" si="8"/>
        <v>#NAME?</v>
      </c>
      <c r="S7" s="7" t="e">
        <f t="shared" ca="1" si="1"/>
        <v>#NAME?</v>
      </c>
      <c r="T7" s="215" t="e">
        <f t="shared" ca="1" si="1"/>
        <v>#NAME?</v>
      </c>
      <c r="U7" s="7" t="e">
        <f t="shared" ca="1" si="9"/>
        <v>#NAME?</v>
      </c>
      <c r="V7">
        <f t="shared" si="10"/>
        <v>103.60254101092582</v>
      </c>
      <c r="X7" s="322" t="e">
        <f ca="1"/>
        <v>#NAME?</v>
      </c>
      <c r="Y7" s="185" t="e">
        <f ca="1"/>
        <v>#NAME?</v>
      </c>
      <c r="AA7" t="s">
        <v>664</v>
      </c>
      <c r="AB7" s="380" t="e">
        <f ca="1">2*(AB5-AB4)</f>
        <v>#NAME?</v>
      </c>
      <c r="AD7" s="214" t="e">
        <f ca="1"/>
        <v>#NAME?</v>
      </c>
      <c r="AE7" s="185" t="e">
        <f ca="1"/>
        <v>#NAME?</v>
      </c>
      <c r="AG7" s="214" t="e">
        <f ca="1">AG11</f>
        <v>#NAME?</v>
      </c>
      <c r="AH7" s="185" t="e">
        <f ca="1">AG14</f>
        <v>#NAME?</v>
      </c>
    </row>
    <row r="8" spans="1:34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G8">
        <f t="shared" si="2"/>
        <v>23</v>
      </c>
      <c r="H8">
        <f t="shared" si="0"/>
        <v>0</v>
      </c>
      <c r="I8" s="214">
        <f t="shared" si="0"/>
        <v>49</v>
      </c>
      <c r="J8" s="7">
        <f t="shared" si="0"/>
        <v>60</v>
      </c>
      <c r="K8" s="7">
        <f t="shared" si="0"/>
        <v>25</v>
      </c>
      <c r="L8" s="215">
        <f t="shared" si="3"/>
        <v>134</v>
      </c>
      <c r="M8" s="214" t="e">
        <f t="shared" ca="1" si="4"/>
        <v>#NAME?</v>
      </c>
      <c r="N8" s="215" t="e">
        <f t="shared" ca="1" si="4"/>
        <v>#NAME?</v>
      </c>
      <c r="O8" s="214" t="e">
        <f t="shared" ca="1" si="5"/>
        <v>#NAME?</v>
      </c>
      <c r="P8" s="7" t="e">
        <f t="shared" ca="1" si="6"/>
        <v>#NAME?</v>
      </c>
      <c r="Q8" s="215" t="e">
        <f t="shared" ca="1" si="7"/>
        <v>#NAME?</v>
      </c>
      <c r="R8" s="214" t="e">
        <f t="shared" ca="1" si="8"/>
        <v>#NAME?</v>
      </c>
      <c r="S8" s="7" t="e">
        <f t="shared" ca="1" si="1"/>
        <v>#NAME?</v>
      </c>
      <c r="T8" s="215" t="e">
        <f t="shared" ca="1" si="1"/>
        <v>#NAME?</v>
      </c>
      <c r="U8" s="7" t="e">
        <f t="shared" ca="1" si="9"/>
        <v>#NAME?</v>
      </c>
      <c r="V8">
        <f t="shared" si="10"/>
        <v>134.48149092299815</v>
      </c>
      <c r="X8" s="349" t="e">
        <f ca="1"/>
        <v>#NAME?</v>
      </c>
      <c r="Y8" s="123" t="e">
        <f ca="1"/>
        <v>#NAME?</v>
      </c>
      <c r="AA8" t="s">
        <v>41</v>
      </c>
      <c r="AB8" s="322">
        <f ca="1">COUNT(X7:Y8)</f>
        <v>0</v>
      </c>
      <c r="AD8" s="112" t="e">
        <f ca="1"/>
        <v>#NAME?</v>
      </c>
      <c r="AE8" s="123" t="e">
        <f ca="1"/>
        <v>#NAME?</v>
      </c>
      <c r="AG8" s="112" t="e">
        <f ca="1">AG12</f>
        <v>#NAME?</v>
      </c>
      <c r="AH8" s="123" t="e">
        <f ca="1">AG15</f>
        <v>#NAME?</v>
      </c>
    </row>
    <row r="9" spans="1:34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G9">
        <f t="shared" si="2"/>
        <v>24</v>
      </c>
      <c r="H9">
        <f t="shared" si="0"/>
        <v>0</v>
      </c>
      <c r="I9" s="214">
        <f t="shared" si="0"/>
        <v>8</v>
      </c>
      <c r="J9" s="7">
        <f t="shared" si="0"/>
        <v>29</v>
      </c>
      <c r="K9" s="7">
        <f t="shared" si="0"/>
        <v>15</v>
      </c>
      <c r="L9" s="215">
        <f t="shared" si="3"/>
        <v>52</v>
      </c>
      <c r="M9" s="214" t="e">
        <f t="shared" ca="1" si="4"/>
        <v>#NAME?</v>
      </c>
      <c r="N9" s="215" t="e">
        <f t="shared" ca="1" si="4"/>
        <v>#NAME?</v>
      </c>
      <c r="O9" s="214" t="e">
        <f t="shared" ca="1" si="5"/>
        <v>#NAME?</v>
      </c>
      <c r="P9" s="7" t="e">
        <f t="shared" ca="1" si="6"/>
        <v>#NAME?</v>
      </c>
      <c r="Q9" s="215" t="e">
        <f t="shared" ca="1" si="7"/>
        <v>#NAME?</v>
      </c>
      <c r="R9" s="214" t="e">
        <f t="shared" ca="1" si="8"/>
        <v>#NAME?</v>
      </c>
      <c r="S9" s="7" t="e">
        <f t="shared" ca="1" si="1"/>
        <v>#NAME?</v>
      </c>
      <c r="T9" s="215" t="e">
        <f t="shared" ca="1" si="1"/>
        <v>#NAME?</v>
      </c>
      <c r="U9" s="7" t="e">
        <f t="shared" ca="1" si="9"/>
        <v>#NAME?</v>
      </c>
      <c r="V9">
        <f t="shared" si="10"/>
        <v>46.599923049324644</v>
      </c>
      <c r="AA9" t="s">
        <v>48</v>
      </c>
      <c r="AB9" s="322" t="e">
        <f ca="1">CHIDIST(AB7,AB8)</f>
        <v>#NAME?</v>
      </c>
    </row>
    <row r="10" spans="1:34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G10">
        <f t="shared" si="2"/>
        <v>25</v>
      </c>
      <c r="H10">
        <f t="shared" si="0"/>
        <v>0</v>
      </c>
      <c r="I10" s="214">
        <f t="shared" si="0"/>
        <v>4</v>
      </c>
      <c r="J10" s="7">
        <f t="shared" si="0"/>
        <v>20</v>
      </c>
      <c r="K10" s="7">
        <f t="shared" si="0"/>
        <v>8</v>
      </c>
      <c r="L10" s="215">
        <f t="shared" si="3"/>
        <v>32</v>
      </c>
      <c r="M10" s="214" t="e">
        <f t="shared" ca="1" si="4"/>
        <v>#NAME?</v>
      </c>
      <c r="N10" s="215" t="e">
        <f t="shared" ca="1" si="4"/>
        <v>#NAME?</v>
      </c>
      <c r="O10" s="214" t="e">
        <f t="shared" ca="1" si="5"/>
        <v>#NAME?</v>
      </c>
      <c r="P10" s="7" t="e">
        <f t="shared" ca="1" si="6"/>
        <v>#NAME?</v>
      </c>
      <c r="Q10" s="215" t="e">
        <f t="shared" ca="1" si="7"/>
        <v>#NAME?</v>
      </c>
      <c r="R10" s="214" t="e">
        <f t="shared" ca="1" si="8"/>
        <v>#NAME?</v>
      </c>
      <c r="S10" s="7" t="e">
        <f t="shared" ca="1" si="1"/>
        <v>#NAME?</v>
      </c>
      <c r="T10" s="215" t="e">
        <f t="shared" ca="1" si="1"/>
        <v>#NAME?</v>
      </c>
      <c r="U10" s="7" t="e">
        <f t="shared" ca="1" si="9"/>
        <v>#NAME?</v>
      </c>
      <c r="V10">
        <f t="shared" si="10"/>
        <v>25.439686262268342</v>
      </c>
      <c r="X10" s="391" t="e">
        <f ca="1">X6</f>
        <v>#NAME?</v>
      </c>
      <c r="AA10" t="s">
        <v>70</v>
      </c>
      <c r="AB10" s="322">
        <v>0.05</v>
      </c>
      <c r="AD10" s="391" t="e">
        <f ca="1">AD6</f>
        <v>#NAME?</v>
      </c>
      <c r="AG10" s="391" t="e">
        <f t="array" aca="1" ref="AG10:AG15" ca="1">MMULT(AE20:AJ25,AD10:AD15)</f>
        <v>#NAME?</v>
      </c>
    </row>
    <row r="11" spans="1:34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G11">
        <f t="shared" si="2"/>
        <v>20</v>
      </c>
      <c r="H11">
        <f t="shared" si="0"/>
        <v>1</v>
      </c>
      <c r="I11" s="214">
        <f t="shared" si="0"/>
        <v>16</v>
      </c>
      <c r="J11" s="7">
        <f t="shared" si="0"/>
        <v>4</v>
      </c>
      <c r="K11" s="7">
        <f t="shared" si="0"/>
        <v>2</v>
      </c>
      <c r="L11" s="215">
        <f t="shared" si="3"/>
        <v>22</v>
      </c>
      <c r="M11" s="214" t="e">
        <f t="shared" ca="1" si="4"/>
        <v>#NAME?</v>
      </c>
      <c r="N11" s="215" t="e">
        <f t="shared" ca="1" si="4"/>
        <v>#NAME?</v>
      </c>
      <c r="O11" s="214" t="e">
        <f t="shared" ca="1" si="5"/>
        <v>#NAME?</v>
      </c>
      <c r="P11" s="7" t="e">
        <f t="shared" ca="1" si="6"/>
        <v>#NAME?</v>
      </c>
      <c r="Q11" s="215" t="e">
        <f t="shared" ca="1" si="7"/>
        <v>#NAME?</v>
      </c>
      <c r="R11" s="214" t="e">
        <f t="shared" ca="1" si="8"/>
        <v>#NAME?</v>
      </c>
      <c r="S11" s="7" t="e">
        <f t="shared" ca="1" si="1"/>
        <v>#NAME?</v>
      </c>
      <c r="T11" s="215" t="e">
        <f t="shared" ca="1" si="1"/>
        <v>#NAME?</v>
      </c>
      <c r="U11" s="7" t="e">
        <f t="shared" ca="1" si="9"/>
        <v>#NAME?</v>
      </c>
      <c r="V11">
        <f t="shared" si="10"/>
        <v>13.928120234846661</v>
      </c>
      <c r="X11" s="185" t="e">
        <f ca="1">X7</f>
        <v>#NAME?</v>
      </c>
      <c r="AA11" t="s">
        <v>164</v>
      </c>
      <c r="AB11" s="350" t="e">
        <f ca="1">IF(AB9&lt;AB10,"yes","no")</f>
        <v>#NAME?</v>
      </c>
      <c r="AD11" s="185" t="e">
        <f ca="1">AD7</f>
        <v>#NAME?</v>
      </c>
      <c r="AG11" s="185" t="e">
        <f ca="1"/>
        <v>#NAME?</v>
      </c>
    </row>
    <row r="12" spans="1:34" x14ac:dyDescent="0.25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>
        <f t="shared" si="2"/>
        <v>21</v>
      </c>
      <c r="H12">
        <f t="shared" si="0"/>
        <v>1</v>
      </c>
      <c r="I12" s="214">
        <f t="shared" si="0"/>
        <v>67</v>
      </c>
      <c r="J12" s="7">
        <f t="shared" si="0"/>
        <v>9</v>
      </c>
      <c r="K12" s="7">
        <f t="shared" si="0"/>
        <v>8</v>
      </c>
      <c r="L12" s="215">
        <f t="shared" si="3"/>
        <v>84</v>
      </c>
      <c r="M12" s="214" t="e">
        <f t="shared" ca="1" si="4"/>
        <v>#NAME?</v>
      </c>
      <c r="N12" s="215" t="e">
        <f t="shared" ca="1" si="4"/>
        <v>#NAME?</v>
      </c>
      <c r="O12" s="214" t="e">
        <f t="shared" ca="1" si="5"/>
        <v>#NAME?</v>
      </c>
      <c r="P12" s="7" t="e">
        <f t="shared" ca="1" si="6"/>
        <v>#NAME?</v>
      </c>
      <c r="Q12" s="215" t="e">
        <f t="shared" ca="1" si="7"/>
        <v>#NAME?</v>
      </c>
      <c r="R12" s="214" t="e">
        <f t="shared" ca="1" si="8"/>
        <v>#NAME?</v>
      </c>
      <c r="S12" s="7" t="e">
        <f t="shared" ca="1" si="1"/>
        <v>#NAME?</v>
      </c>
      <c r="T12" s="215" t="e">
        <f t="shared" ca="1" si="1"/>
        <v>#NAME?</v>
      </c>
      <c r="U12" s="7" t="e">
        <f t="shared" ca="1" si="9"/>
        <v>#NAME?</v>
      </c>
      <c r="V12">
        <f t="shared" si="10"/>
        <v>50.180585597489312</v>
      </c>
      <c r="X12" s="123" t="e">
        <f ca="1">X8</f>
        <v>#NAME?</v>
      </c>
      <c r="AD12" s="123" t="e">
        <f ca="1">AD8</f>
        <v>#NAME?</v>
      </c>
      <c r="AG12" s="123" t="e">
        <f ca="1"/>
        <v>#NAME?</v>
      </c>
    </row>
    <row r="13" spans="1:34" x14ac:dyDescent="0.25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G13">
        <f t="shared" si="2"/>
        <v>22</v>
      </c>
      <c r="H13">
        <f t="shared" si="0"/>
        <v>1</v>
      </c>
      <c r="I13" s="214">
        <f t="shared" si="0"/>
        <v>55</v>
      </c>
      <c r="J13" s="7">
        <f t="shared" si="0"/>
        <v>20</v>
      </c>
      <c r="K13" s="7">
        <f t="shared" si="0"/>
        <v>14</v>
      </c>
      <c r="L13" s="215">
        <f t="shared" si="3"/>
        <v>89</v>
      </c>
      <c r="M13" s="214" t="e">
        <f t="shared" ca="1" si="4"/>
        <v>#NAME?</v>
      </c>
      <c r="N13" s="215" t="e">
        <f t="shared" ca="1" si="4"/>
        <v>#NAME?</v>
      </c>
      <c r="O13" s="214" t="e">
        <f t="shared" ca="1" si="5"/>
        <v>#NAME?</v>
      </c>
      <c r="P13" s="7" t="e">
        <f t="shared" ca="1" si="6"/>
        <v>#NAME?</v>
      </c>
      <c r="Q13" s="215" t="e">
        <f t="shared" ca="1" si="7"/>
        <v>#NAME?</v>
      </c>
      <c r="R13" s="214" t="e">
        <f t="shared" ca="1" si="8"/>
        <v>#NAME?</v>
      </c>
      <c r="S13" s="7" t="e">
        <f t="shared" ca="1" si="1"/>
        <v>#NAME?</v>
      </c>
      <c r="T13" s="215" t="e">
        <f t="shared" ca="1" si="1"/>
        <v>#NAME?</v>
      </c>
      <c r="U13" s="7" t="e">
        <f t="shared" ca="1" si="9"/>
        <v>#NAME?</v>
      </c>
      <c r="V13">
        <f t="shared" si="10"/>
        <v>77.798546857959138</v>
      </c>
      <c r="X13" s="185" t="e">
        <f ca="1">Y6</f>
        <v>#NAME?</v>
      </c>
      <c r="AA13" t="s">
        <v>661</v>
      </c>
      <c r="AB13" s="380" t="e">
        <f ca="1">1-(AB5-V17)/(AB4-V17)</f>
        <v>#NAME?</v>
      </c>
      <c r="AD13" s="185" t="e">
        <f ca="1">AE6</f>
        <v>#NAME?</v>
      </c>
      <c r="AG13" s="185" t="e">
        <f ca="1"/>
        <v>#NAME?</v>
      </c>
    </row>
    <row r="14" spans="1:34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>
        <f t="shared" si="2"/>
        <v>23</v>
      </c>
      <c r="H14">
        <f t="shared" si="0"/>
        <v>1</v>
      </c>
      <c r="I14" s="214">
        <f t="shared" si="0"/>
        <v>49</v>
      </c>
      <c r="J14" s="7">
        <f t="shared" si="0"/>
        <v>55</v>
      </c>
      <c r="K14" s="7">
        <f t="shared" si="0"/>
        <v>20</v>
      </c>
      <c r="L14" s="215">
        <f t="shared" si="3"/>
        <v>124</v>
      </c>
      <c r="M14" s="214" t="e">
        <f t="shared" ca="1" si="4"/>
        <v>#NAME?</v>
      </c>
      <c r="N14" s="215" t="e">
        <f t="shared" ca="1" si="4"/>
        <v>#NAME?</v>
      </c>
      <c r="O14" s="214" t="e">
        <f t="shared" ca="1" si="5"/>
        <v>#NAME?</v>
      </c>
      <c r="P14" s="7" t="e">
        <f t="shared" ca="1" si="6"/>
        <v>#NAME?</v>
      </c>
      <c r="Q14" s="215" t="e">
        <f t="shared" ca="1" si="7"/>
        <v>#NAME?</v>
      </c>
      <c r="R14" s="214" t="e">
        <f t="shared" ca="1" si="8"/>
        <v>#NAME?</v>
      </c>
      <c r="S14" s="7" t="e">
        <f t="shared" ca="1" si="1"/>
        <v>#NAME?</v>
      </c>
      <c r="T14" s="215" t="e">
        <f t="shared" ca="1" si="1"/>
        <v>#NAME?</v>
      </c>
      <c r="U14" s="7" t="e">
        <f t="shared" ca="1" si="9"/>
        <v>#NAME?</v>
      </c>
      <c r="V14">
        <f t="shared" si="10"/>
        <v>121.81585963705966</v>
      </c>
      <c r="X14" s="185" t="e">
        <f ca="1">Y7</f>
        <v>#NAME?</v>
      </c>
      <c r="AA14" t="s">
        <v>662</v>
      </c>
      <c r="AB14" s="322" t="e">
        <f ca="1">1-EXP((-2/L17)*(AB5-AB4))</f>
        <v>#NAME?</v>
      </c>
      <c r="AD14" s="185" t="e">
        <f ca="1">AE7</f>
        <v>#NAME?</v>
      </c>
      <c r="AG14" s="185" t="e">
        <f ca="1"/>
        <v>#NAME?</v>
      </c>
    </row>
    <row r="15" spans="1:34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>
        <f t="shared" si="2"/>
        <v>24</v>
      </c>
      <c r="H15">
        <f t="shared" si="0"/>
        <v>1</v>
      </c>
      <c r="I15" s="214">
        <f t="shared" si="0"/>
        <v>12</v>
      </c>
      <c r="J15" s="7">
        <f t="shared" si="0"/>
        <v>36</v>
      </c>
      <c r="K15" s="7">
        <f t="shared" si="0"/>
        <v>15</v>
      </c>
      <c r="L15" s="215">
        <f t="shared" si="3"/>
        <v>63</v>
      </c>
      <c r="M15" s="214" t="e">
        <f t="shared" ca="1" si="4"/>
        <v>#NAME?</v>
      </c>
      <c r="N15" s="215" t="e">
        <f t="shared" ca="1" si="4"/>
        <v>#NAME?</v>
      </c>
      <c r="O15" s="214" t="e">
        <f t="shared" ca="1" si="5"/>
        <v>#NAME?</v>
      </c>
      <c r="P15" s="7" t="e">
        <f t="shared" ca="1" si="6"/>
        <v>#NAME?</v>
      </c>
      <c r="Q15" s="215" t="e">
        <f t="shared" ca="1" si="7"/>
        <v>#NAME?</v>
      </c>
      <c r="R15" s="214" t="e">
        <f t="shared" ca="1" si="8"/>
        <v>#NAME?</v>
      </c>
      <c r="S15" s="7" t="e">
        <f t="shared" ca="1" si="1"/>
        <v>#NAME?</v>
      </c>
      <c r="T15" s="215" t="e">
        <f t="shared" ca="1" si="1"/>
        <v>#NAME?</v>
      </c>
      <c r="U15" s="7" t="e">
        <f t="shared" ca="1" si="9"/>
        <v>#NAME?</v>
      </c>
      <c r="V15">
        <f t="shared" si="10"/>
        <v>57.403135977635543</v>
      </c>
      <c r="X15" s="123" t="e">
        <f ca="1">Y8</f>
        <v>#NAME?</v>
      </c>
      <c r="AA15" t="s">
        <v>663</v>
      </c>
      <c r="AB15" s="349" t="e">
        <f ca="1">AB14/(1-EXP(2*(AB4-V17)/L17))</f>
        <v>#NAME?</v>
      </c>
      <c r="AD15" s="123" t="e">
        <f ca="1">AE8</f>
        <v>#NAME?</v>
      </c>
      <c r="AG15" s="123" t="e">
        <f ca="1"/>
        <v>#NAME?</v>
      </c>
    </row>
    <row r="16" spans="1:34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>
        <f t="shared" si="2"/>
        <v>25</v>
      </c>
      <c r="H16">
        <f t="shared" si="0"/>
        <v>1</v>
      </c>
      <c r="I16" s="112">
        <f t="shared" si="0"/>
        <v>6</v>
      </c>
      <c r="J16" s="354">
        <f t="shared" si="0"/>
        <v>18</v>
      </c>
      <c r="K16" s="354">
        <f t="shared" si="0"/>
        <v>5</v>
      </c>
      <c r="L16" s="120">
        <f t="shared" si="3"/>
        <v>29</v>
      </c>
      <c r="M16" s="112" t="e">
        <f t="shared" ca="1" si="4"/>
        <v>#NAME?</v>
      </c>
      <c r="N16" s="120" t="e">
        <f t="shared" ca="1" si="4"/>
        <v>#NAME?</v>
      </c>
      <c r="O16" s="112" t="e">
        <f t="shared" ca="1" si="5"/>
        <v>#NAME?</v>
      </c>
      <c r="P16" s="354" t="e">
        <f t="shared" ca="1" si="6"/>
        <v>#NAME?</v>
      </c>
      <c r="Q16" s="120" t="e">
        <f t="shared" ca="1" si="7"/>
        <v>#NAME?</v>
      </c>
      <c r="R16" s="112" t="e">
        <f t="shared" ca="1" si="8"/>
        <v>#NAME?</v>
      </c>
      <c r="S16" s="354" t="e">
        <f t="shared" ca="1" si="1"/>
        <v>#NAME?</v>
      </c>
      <c r="T16" s="120" t="e">
        <f t="shared" ca="1" si="1"/>
        <v>#NAME?</v>
      </c>
      <c r="U16" s="7" t="e">
        <f t="shared" ca="1" si="9"/>
        <v>#NAME?</v>
      </c>
      <c r="V16">
        <f t="shared" si="10"/>
        <v>23.494850804342796</v>
      </c>
    </row>
    <row r="17" spans="3:36" x14ac:dyDescent="0.25">
      <c r="C17">
        <f>SUM(C5:C16)</f>
        <v>400</v>
      </c>
      <c r="D17">
        <f>SUM(D5:D16)</f>
        <v>270</v>
      </c>
      <c r="E17">
        <f>SUM(E5:E16)</f>
        <v>190</v>
      </c>
      <c r="G17" s="361"/>
      <c r="H17" s="361"/>
      <c r="I17" s="361">
        <f>SUM(I5:I16)</f>
        <v>400</v>
      </c>
      <c r="J17" s="361">
        <f>SUM(J5:J16)</f>
        <v>270</v>
      </c>
      <c r="K17" s="387">
        <f>SUM(K5:K16)</f>
        <v>190</v>
      </c>
      <c r="L17" s="387">
        <f>SUM(L5:L16)</f>
        <v>860</v>
      </c>
      <c r="O17" s="387"/>
      <c r="R17" s="361" t="e">
        <f ca="1">SUM(R5:R16)</f>
        <v>#NAME?</v>
      </c>
      <c r="S17" s="361" t="e">
        <f ca="1">SUM(S5:S16)</f>
        <v>#NAME?</v>
      </c>
      <c r="T17" s="361" t="e">
        <f ca="1">SUM(T5:T16)</f>
        <v>#NAME?</v>
      </c>
      <c r="U17" s="361" t="e">
        <f ca="1">SUM(U5:U16)</f>
        <v>#NAME?</v>
      </c>
      <c r="V17" s="361">
        <f>SUM(V5:V16)</f>
        <v>742.48185857521344</v>
      </c>
      <c r="W17" s="7"/>
    </row>
    <row r="18" spans="3:36" x14ac:dyDescent="0.25">
      <c r="X18" t="s">
        <v>900</v>
      </c>
      <c r="AE18" t="s">
        <v>754</v>
      </c>
    </row>
    <row r="19" spans="3:36" x14ac:dyDescent="0.25">
      <c r="G19" t="s">
        <v>874</v>
      </c>
    </row>
    <row r="20" spans="3:36" ht="15.75" thickBot="1" x14ac:dyDescent="0.3">
      <c r="X20" s="344" t="e">
        <f t="array" aca="1" ref="X20:Z22" ca="1">MMULT(TRANSPOSE(DESIGN(G5:H16)),P5:P16*(1-P5:P16)*L5:L16*DESIGN(G5:H16))</f>
        <v>#NAME?</v>
      </c>
      <c r="Y20" s="345" t="e">
        <f ca="1"/>
        <v>#NAME?</v>
      </c>
      <c r="Z20" s="347" t="e">
        <f ca="1"/>
        <v>#NAME?</v>
      </c>
      <c r="AA20" s="344" t="e">
        <f t="array" aca="1" ref="AA20:AC22" ca="1">-MMULT(TRANSPOSE(DESIGN(G5:H16)),P5:P16*Q5:Q16*L5:L16*DESIGN(G5:H16))</f>
        <v>#NAME?</v>
      </c>
      <c r="AB20" s="345" t="e">
        <f ca="1"/>
        <v>#NAME?</v>
      </c>
      <c r="AC20" s="347" t="e">
        <f ca="1"/>
        <v>#NAME?</v>
      </c>
      <c r="AE20" s="344" t="e">
        <f t="array" aca="1" ref="AE20:AJ25" ca="1">MINVERSE(X20:AC25)</f>
        <v>#NAME?</v>
      </c>
      <c r="AF20" s="345" t="e">
        <f ca="1"/>
        <v>#NAME?</v>
      </c>
      <c r="AG20" s="345" t="e">
        <f ca="1"/>
        <v>#NAME?</v>
      </c>
      <c r="AH20" s="345" t="e">
        <f ca="1"/>
        <v>#NAME?</v>
      </c>
      <c r="AI20" s="345" t="e">
        <f ca="1"/>
        <v>#NAME?</v>
      </c>
      <c r="AJ20" s="347" t="e">
        <f ca="1"/>
        <v>#NAME?</v>
      </c>
    </row>
    <row r="21" spans="3:36" ht="15.75" thickTop="1" x14ac:dyDescent="0.25">
      <c r="G21" s="360"/>
      <c r="H21" s="360" t="s">
        <v>755</v>
      </c>
      <c r="I21" s="360" t="s">
        <v>148</v>
      </c>
      <c r="J21" s="360" t="s">
        <v>756</v>
      </c>
      <c r="K21" s="360" t="s">
        <v>48</v>
      </c>
      <c r="L21" s="360" t="s">
        <v>757</v>
      </c>
      <c r="M21" s="360" t="s">
        <v>15</v>
      </c>
      <c r="N21" s="360" t="s">
        <v>16</v>
      </c>
      <c r="X21" s="214" t="e">
        <f ca="1"/>
        <v>#NAME?</v>
      </c>
      <c r="Y21" s="7" t="e">
        <f ca="1"/>
        <v>#NAME?</v>
      </c>
      <c r="Z21" s="215" t="e">
        <f ca="1"/>
        <v>#NAME?</v>
      </c>
      <c r="AA21" s="214" t="e">
        <f ca="1"/>
        <v>#NAME?</v>
      </c>
      <c r="AB21" s="7" t="e">
        <f ca="1"/>
        <v>#NAME?</v>
      </c>
      <c r="AC21" s="215" t="e">
        <f ca="1"/>
        <v>#NAME?</v>
      </c>
      <c r="AE21" s="214" t="e">
        <f ca="1"/>
        <v>#NAME?</v>
      </c>
      <c r="AF21" s="7" t="e">
        <f ca="1"/>
        <v>#NAME?</v>
      </c>
      <c r="AG21" s="7" t="e">
        <f ca="1"/>
        <v>#NAME?</v>
      </c>
      <c r="AH21" s="7" t="e">
        <f ca="1"/>
        <v>#NAME?</v>
      </c>
      <c r="AI21" s="7" t="e">
        <f ca="1"/>
        <v>#NAME?</v>
      </c>
      <c r="AJ21" s="215" t="e">
        <f ca="1"/>
        <v>#NAME?</v>
      </c>
    </row>
    <row r="22" spans="3:36" x14ac:dyDescent="0.25">
      <c r="G22" t="s">
        <v>127</v>
      </c>
      <c r="H22" t="e">
        <f t="array" ref="H22:H24" ca="1">X6:X8</f>
        <v>#NAME?</v>
      </c>
      <c r="I22" t="e">
        <f t="array" aca="1" ref="I22:I24" ca="1">SQRT(DIAG(AE20:AG22))</f>
        <v>#NAME?</v>
      </c>
      <c r="J22" t="e">
        <f ca="1">(H22/I22)^2</f>
        <v>#NAME?</v>
      </c>
      <c r="K22" t="e">
        <f ca="1">CHIDIST(J22,1)</f>
        <v>#NAME?</v>
      </c>
      <c r="L22" t="e">
        <f ca="1">EXP(H22)</f>
        <v>#NAME?</v>
      </c>
      <c r="X22" s="112" t="e">
        <f ca="1"/>
        <v>#NAME?</v>
      </c>
      <c r="Y22" s="354" t="e">
        <f ca="1"/>
        <v>#NAME?</v>
      </c>
      <c r="Z22" s="120" t="e">
        <f ca="1"/>
        <v>#NAME?</v>
      </c>
      <c r="AA22" s="112" t="e">
        <f ca="1"/>
        <v>#NAME?</v>
      </c>
      <c r="AB22" s="354" t="e">
        <f ca="1"/>
        <v>#NAME?</v>
      </c>
      <c r="AC22" s="120" t="e">
        <f ca="1"/>
        <v>#NAME?</v>
      </c>
      <c r="AE22" s="214" t="e">
        <f ca="1"/>
        <v>#NAME?</v>
      </c>
      <c r="AF22" s="7" t="e">
        <f ca="1"/>
        <v>#NAME?</v>
      </c>
      <c r="AG22" s="7" t="e">
        <f ca="1"/>
        <v>#NAME?</v>
      </c>
      <c r="AH22" s="7" t="e">
        <f ca="1"/>
        <v>#NAME?</v>
      </c>
      <c r="AI22" s="7" t="e">
        <f ca="1"/>
        <v>#NAME?</v>
      </c>
      <c r="AJ22" s="215" t="e">
        <f ca="1"/>
        <v>#NAME?</v>
      </c>
    </row>
    <row r="23" spans="3:36" x14ac:dyDescent="0.25">
      <c r="G23" t="str">
        <f t="array" ref="G23:G24">TRANSPOSE(G4:H4)</f>
        <v>Dosage</v>
      </c>
      <c r="H23" t="e">
        <f ca="1"/>
        <v>#NAME?</v>
      </c>
      <c r="I23" t="e">
        <f ca="1"/>
        <v>#NAME?</v>
      </c>
      <c r="J23" t="e">
        <f ca="1">(H23/I23)^2</f>
        <v>#NAME?</v>
      </c>
      <c r="K23" t="e">
        <f ca="1">CHIDIST(J23,1)</f>
        <v>#NAME?</v>
      </c>
      <c r="L23" t="e">
        <f ca="1">EXP(H23)</f>
        <v>#NAME?</v>
      </c>
      <c r="M23" t="e">
        <f ca="1">EXP(H23-I23*NORMSINV(1-0.05/2))</f>
        <v>#NAME?</v>
      </c>
      <c r="N23" t="e">
        <f ca="1">EXP(H23+I23*NORMSINV(1-0.05/2))</f>
        <v>#NAME?</v>
      </c>
      <c r="X23" s="344" t="e">
        <f t="array" ref="X23:Z25" ca="1">AA20:AC22</f>
        <v>#NAME?</v>
      </c>
      <c r="Y23" s="345" t="e">
        <f ca="1"/>
        <v>#NAME?</v>
      </c>
      <c r="Z23" s="347" t="e">
        <f ca="1"/>
        <v>#NAME?</v>
      </c>
      <c r="AA23" s="344" t="e">
        <f t="array" aca="1" ref="AA23:AC25" ca="1">MMULT(TRANSPOSE(DESIGN(G5:H16)),Q5:Q16*(1-Q5:Q16)*L5:L16*DESIGN(G5:H16))</f>
        <v>#NAME?</v>
      </c>
      <c r="AB23" s="345" t="e">
        <f ca="1"/>
        <v>#NAME?</v>
      </c>
      <c r="AC23" s="347" t="e">
        <f ca="1"/>
        <v>#NAME?</v>
      </c>
      <c r="AE23" s="214" t="e">
        <f ca="1"/>
        <v>#NAME?</v>
      </c>
      <c r="AF23" s="7" t="e">
        <f ca="1"/>
        <v>#NAME?</v>
      </c>
      <c r="AG23" s="7" t="e">
        <f ca="1"/>
        <v>#NAME?</v>
      </c>
      <c r="AH23" s="7" t="e">
        <f ca="1"/>
        <v>#NAME?</v>
      </c>
      <c r="AI23" s="7" t="e">
        <f ca="1"/>
        <v>#NAME?</v>
      </c>
      <c r="AJ23" s="215" t="e">
        <f ca="1"/>
        <v>#NAME?</v>
      </c>
    </row>
    <row r="24" spans="3:36" x14ac:dyDescent="0.25">
      <c r="G24" s="354" t="str">
        <v>Gender</v>
      </c>
      <c r="H24" s="354" t="e">
        <f ca="1"/>
        <v>#NAME?</v>
      </c>
      <c r="I24" s="354" t="e">
        <f ca="1"/>
        <v>#NAME?</v>
      </c>
      <c r="J24" s="354" t="e">
        <f ca="1">(H24/I24)^2</f>
        <v>#NAME?</v>
      </c>
      <c r="K24" s="354" t="e">
        <f ca="1">CHIDIST(J24,1)</f>
        <v>#NAME?</v>
      </c>
      <c r="L24" s="354" t="e">
        <f ca="1">EXP(H24)</f>
        <v>#NAME?</v>
      </c>
      <c r="M24" s="354" t="e">
        <f ca="1">EXP(H24-I24*NORMSINV(1-0.05/2))</f>
        <v>#NAME?</v>
      </c>
      <c r="N24" s="354" t="e">
        <f ca="1">EXP(H24+I24*NORMSINV(1-0.05/2))</f>
        <v>#NAME?</v>
      </c>
      <c r="X24" s="214" t="e">
        <f ca="1"/>
        <v>#NAME?</v>
      </c>
      <c r="Y24" s="7" t="e">
        <f ca="1"/>
        <v>#NAME?</v>
      </c>
      <c r="Z24" s="215" t="e">
        <f ca="1"/>
        <v>#NAME?</v>
      </c>
      <c r="AA24" s="214" t="e">
        <f ca="1"/>
        <v>#NAME?</v>
      </c>
      <c r="AB24" s="7" t="e">
        <f ca="1"/>
        <v>#NAME?</v>
      </c>
      <c r="AC24" s="215" t="e">
        <f ca="1"/>
        <v>#NAME?</v>
      </c>
      <c r="AE24" s="214" t="e">
        <f ca="1"/>
        <v>#NAME?</v>
      </c>
      <c r="AF24" s="7" t="e">
        <f ca="1"/>
        <v>#NAME?</v>
      </c>
      <c r="AG24" s="7" t="e">
        <f ca="1"/>
        <v>#NAME?</v>
      </c>
      <c r="AH24" s="7" t="e">
        <f ca="1"/>
        <v>#NAME?</v>
      </c>
      <c r="AI24" s="7" t="e">
        <f ca="1"/>
        <v>#NAME?</v>
      </c>
      <c r="AJ24" s="215" t="e">
        <f ca="1"/>
        <v>#NAME?</v>
      </c>
    </row>
    <row r="25" spans="3:36" x14ac:dyDescent="0.25">
      <c r="X25" s="112" t="e">
        <f ca="1"/>
        <v>#NAME?</v>
      </c>
      <c r="Y25" s="354" t="e">
        <f ca="1"/>
        <v>#NAME?</v>
      </c>
      <c r="Z25" s="120" t="e">
        <f ca="1"/>
        <v>#NAME?</v>
      </c>
      <c r="AA25" s="112" t="e">
        <f ca="1"/>
        <v>#NAME?</v>
      </c>
      <c r="AB25" s="354" t="e">
        <f ca="1"/>
        <v>#NAME?</v>
      </c>
      <c r="AC25" s="120" t="e">
        <f ca="1"/>
        <v>#NAME?</v>
      </c>
      <c r="AE25" s="112" t="e">
        <f ca="1"/>
        <v>#NAME?</v>
      </c>
      <c r="AF25" s="354" t="e">
        <f ca="1"/>
        <v>#NAME?</v>
      </c>
      <c r="AG25" s="354" t="e">
        <f ca="1"/>
        <v>#NAME?</v>
      </c>
      <c r="AH25" s="354" t="e">
        <f ca="1"/>
        <v>#NAME?</v>
      </c>
      <c r="AI25" s="354" t="e">
        <f ca="1"/>
        <v>#NAME?</v>
      </c>
      <c r="AJ25" s="120" t="e">
        <f ca="1"/>
        <v>#NAME?</v>
      </c>
    </row>
    <row r="27" spans="3:36" x14ac:dyDescent="0.25">
      <c r="G27" t="s">
        <v>895</v>
      </c>
    </row>
    <row r="28" spans="3:36" ht="15.75" thickBot="1" x14ac:dyDescent="0.3"/>
    <row r="29" spans="3:36" ht="15.75" thickTop="1" x14ac:dyDescent="0.25">
      <c r="G29" s="360"/>
      <c r="H29" s="360" t="s">
        <v>755</v>
      </c>
      <c r="I29" s="360" t="s">
        <v>148</v>
      </c>
      <c r="J29" s="360" t="s">
        <v>756</v>
      </c>
      <c r="K29" s="360" t="s">
        <v>48</v>
      </c>
      <c r="L29" s="360" t="s">
        <v>757</v>
      </c>
      <c r="M29" s="360" t="s">
        <v>15</v>
      </c>
      <c r="N29" s="360" t="s">
        <v>16</v>
      </c>
    </row>
    <row r="30" spans="3:36" x14ac:dyDescent="0.25">
      <c r="G30" t="s">
        <v>127</v>
      </c>
      <c r="H30" t="e">
        <f t="array" ref="H30:H32" ca="1">Y6:Y8</f>
        <v>#NAME?</v>
      </c>
      <c r="I30" t="e">
        <f t="array" aca="1" ref="I30:I32" ca="1">SQRT(DIAG(AH23:AJ25))</f>
        <v>#NAME?</v>
      </c>
      <c r="J30" t="e">
        <f ca="1">(H30/I30)^2</f>
        <v>#NAME?</v>
      </c>
      <c r="K30" t="e">
        <f ca="1">CHIDIST(J30,1)</f>
        <v>#NAME?</v>
      </c>
      <c r="L30" t="e">
        <f ca="1">EXP(H30)</f>
        <v>#NAME?</v>
      </c>
    </row>
    <row r="31" spans="3:36" x14ac:dyDescent="0.25">
      <c r="G31" t="str">
        <f t="array" ref="G31:G32">TRANSPOSE(G4:H4)</f>
        <v>Dosage</v>
      </c>
      <c r="H31" t="e">
        <f ca="1"/>
        <v>#NAME?</v>
      </c>
      <c r="I31" t="e">
        <f ca="1"/>
        <v>#NAME?</v>
      </c>
      <c r="J31" t="e">
        <f ca="1">(H31/I31)^2</f>
        <v>#NAME?</v>
      </c>
      <c r="K31" t="e">
        <f ca="1">CHIDIST(J31,1)</f>
        <v>#NAME?</v>
      </c>
      <c r="L31" t="e">
        <f ca="1">EXP(H31)</f>
        <v>#NAME?</v>
      </c>
      <c r="M31" t="e">
        <f ca="1">EXP(H31-I31*NORMSINV(1-0.05/2))</f>
        <v>#NAME?</v>
      </c>
      <c r="N31" t="e">
        <f ca="1">EXP(H31+I31*NORMSINV(1-0.05/2))</f>
        <v>#NAME?</v>
      </c>
    </row>
    <row r="32" spans="3:36" x14ac:dyDescent="0.25">
      <c r="G32" s="354" t="str">
        <v>Gender</v>
      </c>
      <c r="H32" s="354" t="e">
        <f ca="1"/>
        <v>#NAME?</v>
      </c>
      <c r="I32" s="354" t="e">
        <f ca="1"/>
        <v>#NAME?</v>
      </c>
      <c r="J32" s="354" t="e">
        <f ca="1">(H32/I32)^2</f>
        <v>#NAME?</v>
      </c>
      <c r="K32" s="354" t="e">
        <f ca="1">CHIDIST(J32,1)</f>
        <v>#NAME?</v>
      </c>
      <c r="L32" s="354" t="e">
        <f ca="1">EXP(H32)</f>
        <v>#NAME?</v>
      </c>
      <c r="M32" s="354" t="e">
        <f ca="1">EXP(H32-I32*NORMSINV(1-0.05/2))</f>
        <v>#NAME?</v>
      </c>
      <c r="N32" s="354" t="e">
        <f ca="1">EXP(H32+I32*NORMSINV(1-0.05/2))</f>
        <v>#NAME?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AC45"/>
  <sheetViews>
    <sheetView workbookViewId="0"/>
  </sheetViews>
  <sheetFormatPr defaultRowHeight="15" x14ac:dyDescent="0.25"/>
  <cols>
    <col min="1" max="5" width="7.5703125" customWidth="1"/>
    <col min="6" max="6" width="5.7109375" customWidth="1"/>
    <col min="8" max="10" width="9.28515625" bestFit="1" customWidth="1"/>
    <col min="11" max="11" width="9.28515625" customWidth="1"/>
    <col min="12" max="12" width="9.28515625" bestFit="1" customWidth="1"/>
    <col min="13" max="13" width="9.140625" customWidth="1"/>
    <col min="14" max="14" width="9.42578125" bestFit="1" customWidth="1"/>
    <col min="15" max="15" width="9.42578125" customWidth="1"/>
    <col min="16" max="16" width="9.42578125" bestFit="1" customWidth="1"/>
    <col min="17" max="18" width="9.42578125" customWidth="1"/>
    <col min="19" max="20" width="9.42578125" bestFit="1" customWidth="1"/>
    <col min="21" max="21" width="9.28515625" customWidth="1"/>
  </cols>
  <sheetData>
    <row r="1" spans="1:29" x14ac:dyDescent="0.25">
      <c r="A1" s="1" t="s">
        <v>854</v>
      </c>
    </row>
    <row r="2" spans="1:29" x14ac:dyDescent="0.25">
      <c r="A2" t="s">
        <v>1219</v>
      </c>
      <c r="G2" s="393" t="s">
        <v>129</v>
      </c>
      <c r="H2" s="393"/>
      <c r="J2" t="s">
        <v>869</v>
      </c>
      <c r="M2" t="s">
        <v>870</v>
      </c>
      <c r="P2" t="s">
        <v>906</v>
      </c>
      <c r="V2" s="14" t="s">
        <v>896</v>
      </c>
      <c r="AA2" s="14" t="s">
        <v>917</v>
      </c>
    </row>
    <row r="4" spans="1:29" x14ac:dyDescent="0.25">
      <c r="A4" s="294" t="s">
        <v>861</v>
      </c>
      <c r="B4" s="294" t="s">
        <v>180</v>
      </c>
      <c r="C4" s="294" t="s">
        <v>863</v>
      </c>
      <c r="D4" s="294" t="s">
        <v>81</v>
      </c>
      <c r="E4" s="294" t="s">
        <v>862</v>
      </c>
      <c r="G4" s="389" t="s">
        <v>81</v>
      </c>
      <c r="H4" s="389" t="s">
        <v>862</v>
      </c>
      <c r="J4" t="e">
        <f t="array" aca="1" ref="J4:K10" ca="1">MLogitRSquare(A5:E16,2,TRUE)</f>
        <v>#NAME?</v>
      </c>
      <c r="K4" s="391" t="e">
        <f ca="1"/>
        <v>#NAME?</v>
      </c>
      <c r="M4" s="7" t="e">
        <f t="array" aca="1" ref="M4:N8" ca="1">MLogitTest(A5:E16,2,TRUE)</f>
        <v>#NAME?</v>
      </c>
      <c r="N4" s="391" t="e">
        <f ca="1"/>
        <v>#NAME?</v>
      </c>
      <c r="P4" s="62" t="s">
        <v>861</v>
      </c>
      <c r="Q4" s="62" t="s">
        <v>180</v>
      </c>
      <c r="R4" s="62" t="s">
        <v>863</v>
      </c>
      <c r="S4" s="62" t="s">
        <v>81</v>
      </c>
      <c r="T4" s="62" t="s">
        <v>862</v>
      </c>
      <c r="V4" s="294" t="e">
        <f t="array" aca="1" ref="V4:Y16" ca="1">MLogitExtract(A4:E16,2,"2,0")</f>
        <v>#NAME?</v>
      </c>
      <c r="W4" s="294" t="e">
        <f ca="1"/>
        <v>#NAME?</v>
      </c>
      <c r="X4" s="294" t="e">
        <f ca="1"/>
        <v>#NAME?</v>
      </c>
      <c r="Y4" s="294" t="e">
        <f ca="1"/>
        <v>#NAME?</v>
      </c>
      <c r="AA4" t="e">
        <f t="array" aca="1" ref="AA4:AC7" ca="1">MLogitCoeff(A5:E16,2,TRUE)</f>
        <v>#NAME?</v>
      </c>
      <c r="AB4" t="e">
        <f ca="1"/>
        <v>#NAME?</v>
      </c>
      <c r="AC4" t="e">
        <f ca="1"/>
        <v>#NAME?</v>
      </c>
    </row>
    <row r="5" spans="1:29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G5" s="344" t="e">
        <f t="array" aca="1" ref="G5:H7" ca="1">MLogitCoeff(A5:E16,2)</f>
        <v>#NAME?</v>
      </c>
      <c r="H5" s="391" t="e">
        <f ca="1"/>
        <v>#NAME?</v>
      </c>
      <c r="J5" t="e">
        <f ca="1"/>
        <v>#NAME?</v>
      </c>
      <c r="K5" s="185" t="e">
        <f ca="1"/>
        <v>#NAME?</v>
      </c>
      <c r="M5" s="7" t="e">
        <f ca="1"/>
        <v>#NAME?</v>
      </c>
      <c r="N5" s="185" t="e">
        <f ca="1"/>
        <v>#NAME?</v>
      </c>
      <c r="P5" s="344">
        <v>24</v>
      </c>
      <c r="Q5" s="345">
        <v>1</v>
      </c>
      <c r="R5" s="344" t="e">
        <f t="array" aca="1" ref="R5:T5" ca="1">MLogitPred(P5:Q5,$A$5:$E$16,2)</f>
        <v>#NAME?</v>
      </c>
      <c r="S5" s="345" t="e">
        <f ca="1"/>
        <v>#NAME?</v>
      </c>
      <c r="T5" s="347" t="e">
        <f ca="1"/>
        <v>#NAME?</v>
      </c>
      <c r="V5" s="366" t="e">
        <f ca="1"/>
        <v>#NAME?</v>
      </c>
      <c r="W5" s="381" t="e">
        <f ca="1"/>
        <v>#NAME?</v>
      </c>
      <c r="X5" s="373" t="e">
        <f ca="1"/>
        <v>#NAME?</v>
      </c>
      <c r="Y5" s="368" t="e">
        <f ca="1"/>
        <v>#NAME?</v>
      </c>
      <c r="AA5" t="e">
        <f ca="1"/>
        <v>#NAME?</v>
      </c>
      <c r="AB5" s="3" t="e">
        <f ca="1"/>
        <v>#NAME?</v>
      </c>
      <c r="AC5" s="5" t="e">
        <f ca="1"/>
        <v>#NAME?</v>
      </c>
    </row>
    <row r="6" spans="1:29" x14ac:dyDescent="0.25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 s="214" t="e">
        <f ca="1"/>
        <v>#NAME?</v>
      </c>
      <c r="H6" s="185" t="e">
        <f ca="1"/>
        <v>#NAME?</v>
      </c>
      <c r="J6" t="e">
        <f ca="1"/>
        <v>#NAME?</v>
      </c>
      <c r="K6" s="185" t="e">
        <f ca="1"/>
        <v>#NAME?</v>
      </c>
      <c r="M6" s="7" t="e">
        <f ca="1"/>
        <v>#NAME?</v>
      </c>
      <c r="N6" s="185" t="e">
        <f ca="1"/>
        <v>#NAME?</v>
      </c>
      <c r="P6" s="214">
        <v>24</v>
      </c>
      <c r="Q6" s="7">
        <v>0</v>
      </c>
      <c r="R6" s="214" t="e">
        <f t="array" aca="1" ref="R6:T6" ca="1">MLogitPred(P6:Q6,$A$5:$E$16,2)</f>
        <v>#NAME?</v>
      </c>
      <c r="S6" s="7" t="e">
        <f ca="1"/>
        <v>#NAME?</v>
      </c>
      <c r="T6" s="215" t="e">
        <f ca="1"/>
        <v>#NAME?</v>
      </c>
      <c r="V6" s="317" t="e">
        <f ca="1"/>
        <v>#NAME?</v>
      </c>
      <c r="W6" s="318" t="e">
        <f ca="1"/>
        <v>#NAME?</v>
      </c>
      <c r="X6" s="255" t="e">
        <f ca="1"/>
        <v>#NAME?</v>
      </c>
      <c r="Y6" s="177" t="e">
        <f ca="1"/>
        <v>#NAME?</v>
      </c>
      <c r="AA6" t="e">
        <f ca="1"/>
        <v>#NAME?</v>
      </c>
      <c r="AB6" s="214" t="e">
        <f ca="1"/>
        <v>#NAME?</v>
      </c>
      <c r="AC6" s="215" t="e">
        <f ca="1"/>
        <v>#NAME?</v>
      </c>
    </row>
    <row r="7" spans="1:29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 s="112" t="e">
        <f ca="1"/>
        <v>#NAME?</v>
      </c>
      <c r="H7" s="123" t="e">
        <f ca="1"/>
        <v>#NAME?</v>
      </c>
      <c r="J7" t="e">
        <f ca="1"/>
        <v>#NAME?</v>
      </c>
      <c r="K7" s="185" t="e">
        <f ca="1"/>
        <v>#NAME?</v>
      </c>
      <c r="M7" s="7" t="e">
        <f ca="1"/>
        <v>#NAME?</v>
      </c>
      <c r="N7" s="185" t="e">
        <f ca="1"/>
        <v>#NAME?</v>
      </c>
      <c r="P7" s="284">
        <v>24.5</v>
      </c>
      <c r="Q7" s="7">
        <v>1</v>
      </c>
      <c r="R7" s="214" t="e">
        <f t="array" aca="1" ref="R7:T7" ca="1">MLogitPred(P7:Q7,$A$5:$E$16,2)</f>
        <v>#NAME?</v>
      </c>
      <c r="S7" s="7" t="e">
        <f ca="1"/>
        <v>#NAME?</v>
      </c>
      <c r="T7" s="215" t="e">
        <f ca="1"/>
        <v>#NAME?</v>
      </c>
      <c r="V7" s="317" t="e">
        <f ca="1"/>
        <v>#NAME?</v>
      </c>
      <c r="W7" s="318" t="e">
        <f ca="1"/>
        <v>#NAME?</v>
      </c>
      <c r="X7" s="255" t="e">
        <f ca="1"/>
        <v>#NAME?</v>
      </c>
      <c r="Y7" s="177" t="e">
        <f ca="1"/>
        <v>#NAME?</v>
      </c>
      <c r="AA7" t="e">
        <f ca="1"/>
        <v>#NAME?</v>
      </c>
      <c r="AB7" s="112" t="e">
        <f ca="1"/>
        <v>#NAME?</v>
      </c>
      <c r="AC7" s="120" t="e">
        <f ca="1"/>
        <v>#NAME?</v>
      </c>
    </row>
    <row r="8" spans="1:29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J8" t="e">
        <f ca="1"/>
        <v>#NAME?</v>
      </c>
      <c r="K8" s="185" t="e">
        <f ca="1"/>
        <v>#NAME?</v>
      </c>
      <c r="M8" s="7" t="e">
        <f ca="1"/>
        <v>#NAME?</v>
      </c>
      <c r="N8" s="123" t="e">
        <f ca="1"/>
        <v>#NAME?</v>
      </c>
      <c r="P8" s="379">
        <v>24.5</v>
      </c>
      <c r="Q8" s="354">
        <v>0</v>
      </c>
      <c r="R8" s="112" t="e">
        <f t="array" aca="1" ref="R8:T8" ca="1">MLogitPred(P8:Q8,$A$5:$E$16,2)</f>
        <v>#NAME?</v>
      </c>
      <c r="S8" s="354" t="e">
        <f ca="1"/>
        <v>#NAME?</v>
      </c>
      <c r="T8" s="120" t="e">
        <f ca="1"/>
        <v>#NAME?</v>
      </c>
      <c r="V8" s="317" t="e">
        <f ca="1"/>
        <v>#NAME?</v>
      </c>
      <c r="W8" s="319" t="e">
        <f ca="1"/>
        <v>#NAME?</v>
      </c>
      <c r="X8" s="255" t="e">
        <f ca="1"/>
        <v>#NAME?</v>
      </c>
      <c r="Y8" s="177" t="e">
        <f ca="1"/>
        <v>#NAME?</v>
      </c>
    </row>
    <row r="9" spans="1:29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J9" t="e">
        <f ca="1"/>
        <v>#NAME?</v>
      </c>
      <c r="K9" s="185" t="e">
        <f ca="1"/>
        <v>#NAME?</v>
      </c>
      <c r="V9" s="317" t="e">
        <f ca="1"/>
        <v>#NAME?</v>
      </c>
      <c r="W9" s="319" t="e">
        <f ca="1"/>
        <v>#NAME?</v>
      </c>
      <c r="X9" s="255" t="e">
        <f ca="1"/>
        <v>#NAME?</v>
      </c>
      <c r="Y9" s="177" t="e">
        <f ca="1"/>
        <v>#NAME?</v>
      </c>
      <c r="AA9" s="14" t="s">
        <v>919</v>
      </c>
    </row>
    <row r="10" spans="1:29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J10" t="e">
        <f ca="1"/>
        <v>#NAME?</v>
      </c>
      <c r="K10" s="123" t="e">
        <f ca="1"/>
        <v>#NAME?</v>
      </c>
      <c r="P10" t="s">
        <v>907</v>
      </c>
      <c r="V10" s="317" t="e">
        <f ca="1"/>
        <v>#NAME?</v>
      </c>
      <c r="W10" s="319" t="e">
        <f ca="1"/>
        <v>#NAME?</v>
      </c>
      <c r="X10" s="214" t="e">
        <f ca="1"/>
        <v>#NAME?</v>
      </c>
      <c r="Y10" s="215" t="e">
        <f ca="1"/>
        <v>#NAME?</v>
      </c>
    </row>
    <row r="11" spans="1:29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V11" s="317" t="e">
        <f ca="1"/>
        <v>#NAME?</v>
      </c>
      <c r="W11" s="319" t="e">
        <f ca="1"/>
        <v>#NAME?</v>
      </c>
      <c r="X11" s="255" t="e">
        <f ca="1"/>
        <v>#NAME?</v>
      </c>
      <c r="Y11" s="177" t="e">
        <f ca="1"/>
        <v>#NAME?</v>
      </c>
      <c r="AA11" t="e">
        <f t="array" aca="1" ref="AA11:AC14" ca="1">MLogitCoeff(A4:E16,2,TRUE,TRUE)</f>
        <v>#NAME?</v>
      </c>
      <c r="AB11" t="e">
        <f ca="1"/>
        <v>#NAME?</v>
      </c>
      <c r="AC11" t="e">
        <f ca="1"/>
        <v>#NAME?</v>
      </c>
    </row>
    <row r="12" spans="1:29" x14ac:dyDescent="0.25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 t="s">
        <v>908</v>
      </c>
      <c r="P12" s="62" t="s">
        <v>861</v>
      </c>
      <c r="Q12" s="62" t="s">
        <v>180</v>
      </c>
      <c r="R12" s="62" t="s">
        <v>863</v>
      </c>
      <c r="S12" s="62" t="s">
        <v>81</v>
      </c>
      <c r="T12" s="62" t="s">
        <v>862</v>
      </c>
      <c r="V12" s="317" t="e">
        <f ca="1"/>
        <v>#NAME?</v>
      </c>
      <c r="W12" s="319" t="e">
        <f ca="1"/>
        <v>#NAME?</v>
      </c>
      <c r="X12" s="255" t="e">
        <f ca="1"/>
        <v>#NAME?</v>
      </c>
      <c r="Y12" s="177" t="e">
        <f ca="1"/>
        <v>#NAME?</v>
      </c>
      <c r="AA12" t="e">
        <f ca="1"/>
        <v>#NAME?</v>
      </c>
      <c r="AB12" s="3" t="e">
        <f ca="1"/>
        <v>#NAME?</v>
      </c>
      <c r="AC12" s="5" t="e">
        <f ca="1"/>
        <v>#NAME?</v>
      </c>
    </row>
    <row r="13" spans="1:29" ht="15.75" thickBot="1" x14ac:dyDescent="0.3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P13" s="344">
        <v>24</v>
      </c>
      <c r="Q13" s="345">
        <v>1</v>
      </c>
      <c r="R13" s="344" t="e">
        <f t="array" aca="1" ref="R13:T13" ca="1">MLogitPredC(P13:Q13,$G$5:$H$7)</f>
        <v>#NAME?</v>
      </c>
      <c r="S13" s="345" t="e">
        <f ca="1"/>
        <v>#NAME?</v>
      </c>
      <c r="T13" s="347" t="e">
        <f ca="1"/>
        <v>#NAME?</v>
      </c>
      <c r="V13" s="317" t="e">
        <f ca="1"/>
        <v>#NAME?</v>
      </c>
      <c r="W13" s="319" t="e">
        <f ca="1"/>
        <v>#NAME?</v>
      </c>
      <c r="X13" s="255" t="e">
        <f ca="1"/>
        <v>#NAME?</v>
      </c>
      <c r="Y13" s="177" t="e">
        <f ca="1"/>
        <v>#NAME?</v>
      </c>
      <c r="AA13" t="e">
        <f ca="1"/>
        <v>#NAME?</v>
      </c>
      <c r="AB13" s="214" t="e">
        <f ca="1"/>
        <v>#NAME?</v>
      </c>
      <c r="AC13" s="215" t="e">
        <f ca="1"/>
        <v>#NAME?</v>
      </c>
    </row>
    <row r="14" spans="1:29" ht="15.75" thickTop="1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 s="360"/>
      <c r="H14" s="360" t="s">
        <v>755</v>
      </c>
      <c r="I14" s="360" t="s">
        <v>148</v>
      </c>
      <c r="J14" s="360" t="s">
        <v>756</v>
      </c>
      <c r="K14" s="360" t="s">
        <v>48</v>
      </c>
      <c r="L14" s="360" t="s">
        <v>757</v>
      </c>
      <c r="M14" s="360" t="s">
        <v>15</v>
      </c>
      <c r="N14" s="360" t="s">
        <v>16</v>
      </c>
      <c r="P14" s="214">
        <v>24</v>
      </c>
      <c r="Q14" s="7">
        <v>0</v>
      </c>
      <c r="R14" s="214" t="e">
        <f t="array" aca="1" ref="R14:T14" ca="1">MLogitPredC(P14:Q14,$G$5:$H$7)</f>
        <v>#NAME?</v>
      </c>
      <c r="S14" s="7" t="e">
        <f ca="1"/>
        <v>#NAME?</v>
      </c>
      <c r="T14" s="215" t="e">
        <f ca="1"/>
        <v>#NAME?</v>
      </c>
      <c r="V14" s="317" t="e">
        <f ca="1"/>
        <v>#NAME?</v>
      </c>
      <c r="W14" s="319" t="e">
        <f ca="1"/>
        <v>#NAME?</v>
      </c>
      <c r="X14" s="255" t="e">
        <f ca="1"/>
        <v>#NAME?</v>
      </c>
      <c r="Y14" s="177" t="e">
        <f ca="1"/>
        <v>#NAME?</v>
      </c>
      <c r="AA14" t="e">
        <f ca="1"/>
        <v>#NAME?</v>
      </c>
      <c r="AB14" s="112" t="e">
        <f ca="1"/>
        <v>#NAME?</v>
      </c>
      <c r="AC14" s="120" t="e">
        <f ca="1"/>
        <v>#NAME?</v>
      </c>
    </row>
    <row r="15" spans="1:29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 t="s">
        <v>127</v>
      </c>
      <c r="H15" t="e">
        <f t="array" aca="1" ref="H15:N17" ca="1">MLogitParam(A5:E16,2,1)</f>
        <v>#NAME?</v>
      </c>
      <c r="I15" t="e">
        <f ca="1"/>
        <v>#NAME?</v>
      </c>
      <c r="J15" t="e">
        <f ca="1"/>
        <v>#NAME?</v>
      </c>
      <c r="K15" t="e">
        <f ca="1"/>
        <v>#NAME?</v>
      </c>
      <c r="L15" t="e">
        <f ca="1"/>
        <v>#NAME?</v>
      </c>
      <c r="M15" t="e">
        <f ca="1"/>
        <v>#NAME?</v>
      </c>
      <c r="N15" t="e">
        <f ca="1"/>
        <v>#NAME?</v>
      </c>
      <c r="P15" s="284">
        <v>24.5</v>
      </c>
      <c r="Q15" s="7">
        <v>1</v>
      </c>
      <c r="R15" s="214" t="e">
        <f t="array" aca="1" ref="R15:T15" ca="1">MLogitPredC(P15:Q15,$G$5:$H$7)</f>
        <v>#NAME?</v>
      </c>
      <c r="S15" s="7" t="e">
        <f ca="1"/>
        <v>#NAME?</v>
      </c>
      <c r="T15" s="215" t="e">
        <f ca="1"/>
        <v>#NAME?</v>
      </c>
      <c r="V15" s="317" t="e">
        <f ca="1"/>
        <v>#NAME?</v>
      </c>
      <c r="W15" s="319" t="e">
        <f ca="1"/>
        <v>#NAME?</v>
      </c>
      <c r="X15" s="255" t="e">
        <f ca="1"/>
        <v>#NAME?</v>
      </c>
      <c r="Y15" s="177" t="e">
        <f ca="1"/>
        <v>#NAME?</v>
      </c>
    </row>
    <row r="16" spans="1:29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 t="str">
        <f>A4</f>
        <v>Dosage</v>
      </c>
      <c r="H16" t="e">
        <f ca="1"/>
        <v>#NAME?</v>
      </c>
      <c r="I16" t="e">
        <f ca="1"/>
        <v>#NAME?</v>
      </c>
      <c r="J16" t="e">
        <f ca="1"/>
        <v>#NAME?</v>
      </c>
      <c r="K16" t="e">
        <f ca="1"/>
        <v>#NAME?</v>
      </c>
      <c r="L16" t="e">
        <f ca="1"/>
        <v>#NAME?</v>
      </c>
      <c r="M16" t="e">
        <f ca="1"/>
        <v>#NAME?</v>
      </c>
      <c r="N16" t="e">
        <f ca="1"/>
        <v>#NAME?</v>
      </c>
      <c r="P16" s="379">
        <v>24.5</v>
      </c>
      <c r="Q16" s="354">
        <v>0</v>
      </c>
      <c r="R16" s="112" t="e">
        <f t="array" aca="1" ref="R16:T16" ca="1">MLogitPredC(P16:Q16,$G$5:$H$7)</f>
        <v>#NAME?</v>
      </c>
      <c r="S16" s="354" t="e">
        <f ca="1"/>
        <v>#NAME?</v>
      </c>
      <c r="T16" s="120" t="e">
        <f ca="1"/>
        <v>#NAME?</v>
      </c>
      <c r="V16" s="320" t="e">
        <f ca="1"/>
        <v>#NAME?</v>
      </c>
      <c r="W16" s="321" t="e">
        <f ca="1"/>
        <v>#NAME?</v>
      </c>
      <c r="X16" s="112" t="e">
        <f ca="1"/>
        <v>#NAME?</v>
      </c>
      <c r="Y16" s="120" t="e">
        <f ca="1"/>
        <v>#NAME?</v>
      </c>
      <c r="AA16" s="14" t="s">
        <v>918</v>
      </c>
    </row>
    <row r="17" spans="3:29" x14ac:dyDescent="0.25">
      <c r="C17">
        <f>SUM(C5:C16)</f>
        <v>400</v>
      </c>
      <c r="D17">
        <f>SUM(D5:D16)</f>
        <v>270</v>
      </c>
      <c r="E17">
        <f>SUM(E5:E16)</f>
        <v>190</v>
      </c>
      <c r="G17" s="354" t="str">
        <f>B4</f>
        <v>Gender</v>
      </c>
      <c r="H17" s="354" t="e">
        <f ca="1"/>
        <v>#NAME?</v>
      </c>
      <c r="I17" s="354" t="e">
        <f ca="1"/>
        <v>#NAME?</v>
      </c>
      <c r="J17" s="354" t="e">
        <f ca="1"/>
        <v>#NAME?</v>
      </c>
      <c r="K17" s="354" t="e">
        <f ca="1"/>
        <v>#NAME?</v>
      </c>
      <c r="L17" s="354" t="e">
        <f ca="1"/>
        <v>#NAME?</v>
      </c>
      <c r="M17" s="354" t="e">
        <f ca="1"/>
        <v>#NAME?</v>
      </c>
      <c r="N17" s="354" t="e">
        <f ca="1"/>
        <v>#NAME?</v>
      </c>
    </row>
    <row r="18" spans="3:29" x14ac:dyDescent="0.25">
      <c r="AB18" s="3" t="e">
        <f t="array" aca="1" ref="AB18:AC20" ca="1">MLogitCoeff(A4:E16,2,,TRUE)</f>
        <v>#NAME?</v>
      </c>
      <c r="AC18" s="5" t="e">
        <f ca="1"/>
        <v>#NAME?</v>
      </c>
    </row>
    <row r="19" spans="3:29" x14ac:dyDescent="0.25">
      <c r="G19" t="s">
        <v>909</v>
      </c>
      <c r="P19" t="s">
        <v>1482</v>
      </c>
      <c r="U19" t="e">
        <f ca="1">FTEXT(U22)</f>
        <v>#NAME?</v>
      </c>
      <c r="AB19" s="214" t="e">
        <f ca="1"/>
        <v>#NAME?</v>
      </c>
      <c r="AC19" s="215" t="e">
        <f ca="1"/>
        <v>#NAME?</v>
      </c>
    </row>
    <row r="20" spans="3:29" ht="15.75" thickBot="1" x14ac:dyDescent="0.3">
      <c r="AB20" s="112" t="e">
        <f ca="1"/>
        <v>#NAME?</v>
      </c>
      <c r="AC20" s="120" t="e">
        <f ca="1"/>
        <v>#NAME?</v>
      </c>
    </row>
    <row r="21" spans="3:29" ht="15.75" thickTop="1" x14ac:dyDescent="0.25">
      <c r="G21" s="360"/>
      <c r="H21" s="360" t="s">
        <v>755</v>
      </c>
      <c r="I21" s="360" t="s">
        <v>148</v>
      </c>
      <c r="J21" s="360" t="s">
        <v>756</v>
      </c>
      <c r="K21" s="360" t="s">
        <v>48</v>
      </c>
      <c r="L21" s="360" t="s">
        <v>757</v>
      </c>
      <c r="M21" s="360" t="s">
        <v>15</v>
      </c>
      <c r="N21" s="360" t="s">
        <v>16</v>
      </c>
      <c r="P21" s="294" t="s">
        <v>861</v>
      </c>
      <c r="Q21" s="294" t="s">
        <v>180</v>
      </c>
      <c r="R21" s="294" t="s">
        <v>863</v>
      </c>
      <c r="S21" s="294" t="s">
        <v>81</v>
      </c>
      <c r="T21" s="294" t="s">
        <v>862</v>
      </c>
      <c r="U21" s="294" t="s">
        <v>863</v>
      </c>
      <c r="V21" s="294" t="s">
        <v>81</v>
      </c>
      <c r="W21" s="294" t="s">
        <v>862</v>
      </c>
    </row>
    <row r="22" spans="3:29" x14ac:dyDescent="0.25">
      <c r="G22" t="s">
        <v>127</v>
      </c>
      <c r="H22" t="e">
        <f t="array" aca="1" ref="H22:N24" ca="1">MLogitParam(A5:E16,2,2)</f>
        <v>#NAME?</v>
      </c>
      <c r="I22" t="e">
        <f ca="1"/>
        <v>#NAME?</v>
      </c>
      <c r="J22" t="e">
        <f ca="1"/>
        <v>#NAME?</v>
      </c>
      <c r="K22" t="e">
        <f ca="1"/>
        <v>#NAME?</v>
      </c>
      <c r="L22" t="e">
        <f ca="1"/>
        <v>#NAME?</v>
      </c>
      <c r="M22" t="e">
        <f ca="1"/>
        <v>#NAME?</v>
      </c>
      <c r="N22" t="e">
        <f ca="1"/>
        <v>#NAME?</v>
      </c>
      <c r="P22" s="366">
        <v>20</v>
      </c>
      <c r="Q22" s="381">
        <v>0</v>
      </c>
      <c r="R22" s="373">
        <v>13</v>
      </c>
      <c r="S22" s="382">
        <v>0</v>
      </c>
      <c r="T22" s="383">
        <v>8</v>
      </c>
      <c r="U22" s="373" t="e">
        <f t="array" aca="1" ref="U22:W33" ca="1">MLogitPred(P22:Q33,P22:T33,2)</f>
        <v>#NAME?</v>
      </c>
      <c r="V22" s="382" t="e">
        <f ca="1"/>
        <v>#NAME?</v>
      </c>
      <c r="W22" s="383" t="e">
        <f ca="1"/>
        <v>#NAME?</v>
      </c>
    </row>
    <row r="23" spans="3:29" x14ac:dyDescent="0.25">
      <c r="G23" t="s">
        <v>861</v>
      </c>
      <c r="H23" t="e">
        <f ca="1"/>
        <v>#NAME?</v>
      </c>
      <c r="I23" t="e">
        <f ca="1"/>
        <v>#NAME?</v>
      </c>
      <c r="J23" t="e">
        <f ca="1"/>
        <v>#NAME?</v>
      </c>
      <c r="K23" t="e">
        <f ca="1"/>
        <v>#NAME?</v>
      </c>
      <c r="L23" t="e">
        <f ca="1"/>
        <v>#NAME?</v>
      </c>
      <c r="M23" t="e">
        <f ca="1"/>
        <v>#NAME?</v>
      </c>
      <c r="N23" t="e">
        <f ca="1"/>
        <v>#NAME?</v>
      </c>
      <c r="P23" s="317">
        <v>21</v>
      </c>
      <c r="Q23" s="318">
        <v>0</v>
      </c>
      <c r="R23" s="255">
        <v>60</v>
      </c>
      <c r="S23" s="46">
        <v>6</v>
      </c>
      <c r="T23" s="384">
        <v>30</v>
      </c>
      <c r="U23" s="255" t="e">
        <f ca="1"/>
        <v>#NAME?</v>
      </c>
      <c r="V23" s="46" t="e">
        <f ca="1"/>
        <v>#NAME?</v>
      </c>
      <c r="W23" s="384" t="e">
        <f ca="1"/>
        <v>#NAME?</v>
      </c>
      <c r="Y23" t="e">
        <f ca="1">FTEXT(Y25)</f>
        <v>#NAME?</v>
      </c>
    </row>
    <row r="24" spans="3:29" x14ac:dyDescent="0.25">
      <c r="G24" s="354" t="s">
        <v>180</v>
      </c>
      <c r="H24" s="354" t="e">
        <f ca="1"/>
        <v>#NAME?</v>
      </c>
      <c r="I24" s="354" t="e">
        <f ca="1"/>
        <v>#NAME?</v>
      </c>
      <c r="J24" s="354" t="e">
        <f ca="1"/>
        <v>#NAME?</v>
      </c>
      <c r="K24" s="354" t="e">
        <f ca="1"/>
        <v>#NAME?</v>
      </c>
      <c r="L24" s="354" t="e">
        <f ca="1"/>
        <v>#NAME?</v>
      </c>
      <c r="M24" s="354" t="e">
        <f ca="1"/>
        <v>#NAME?</v>
      </c>
      <c r="N24" s="354" t="e">
        <f ca="1"/>
        <v>#NAME?</v>
      </c>
      <c r="P24" s="317">
        <v>22</v>
      </c>
      <c r="Q24" s="318">
        <v>0</v>
      </c>
      <c r="R24" s="255">
        <v>61</v>
      </c>
      <c r="S24" s="46">
        <v>13</v>
      </c>
      <c r="T24" s="384">
        <v>40</v>
      </c>
      <c r="U24" s="255" t="e">
        <f ca="1"/>
        <v>#NAME?</v>
      </c>
      <c r="V24" s="46" t="e">
        <f ca="1"/>
        <v>#NAME?</v>
      </c>
      <c r="W24" s="384" t="e">
        <f ca="1"/>
        <v>#NAME?</v>
      </c>
    </row>
    <row r="25" spans="3:29" x14ac:dyDescent="0.25">
      <c r="P25" s="317">
        <v>23</v>
      </c>
      <c r="Q25" s="319">
        <v>0</v>
      </c>
      <c r="R25" s="255">
        <v>49</v>
      </c>
      <c r="S25" s="46">
        <v>60</v>
      </c>
      <c r="T25" s="384">
        <v>25</v>
      </c>
      <c r="U25" s="255" t="e">
        <f ca="1"/>
        <v>#NAME?</v>
      </c>
      <c r="V25" s="46" t="e">
        <f ca="1"/>
        <v>#NAME?</v>
      </c>
      <c r="W25" s="384" t="e">
        <f ca="1"/>
        <v>#NAME?</v>
      </c>
      <c r="Y25" t="e">
        <f t="array" aca="1" ref="Y25:Z28" ca="1">MLogit_Accuracy(P21:T33,2,TRUE,TRUE)</f>
        <v>#NAME?</v>
      </c>
      <c r="Z25" s="524" t="e">
        <f ca="1"/>
        <v>#NAME?</v>
      </c>
    </row>
    <row r="26" spans="3:29" x14ac:dyDescent="0.25">
      <c r="G26" t="s">
        <v>929</v>
      </c>
      <c r="P26" s="317">
        <v>24</v>
      </c>
      <c r="Q26" s="319">
        <v>0</v>
      </c>
      <c r="R26" s="255">
        <v>8</v>
      </c>
      <c r="S26" s="46">
        <v>29</v>
      </c>
      <c r="T26" s="384">
        <v>15</v>
      </c>
      <c r="U26" s="255" t="e">
        <f ca="1"/>
        <v>#NAME?</v>
      </c>
      <c r="V26" s="46" t="e">
        <f ca="1"/>
        <v>#NAME?</v>
      </c>
      <c r="W26" s="384" t="e">
        <f ca="1"/>
        <v>#NAME?</v>
      </c>
      <c r="Y26" t="e">
        <f ca="1"/>
        <v>#NAME?</v>
      </c>
      <c r="Z26" s="185" t="e">
        <f ca="1"/>
        <v>#NAME?</v>
      </c>
    </row>
    <row r="27" spans="3:29" ht="15.75" thickBot="1" x14ac:dyDescent="0.3">
      <c r="P27" s="317">
        <v>25</v>
      </c>
      <c r="Q27" s="319">
        <v>0</v>
      </c>
      <c r="R27" s="214">
        <v>4</v>
      </c>
      <c r="S27" s="7">
        <v>20</v>
      </c>
      <c r="T27" s="384">
        <v>8</v>
      </c>
      <c r="U27" s="214" t="e">
        <f ca="1"/>
        <v>#NAME?</v>
      </c>
      <c r="V27" s="7" t="e">
        <f ca="1"/>
        <v>#NAME?</v>
      </c>
      <c r="W27" s="384" t="e">
        <f ca="1"/>
        <v>#NAME?</v>
      </c>
      <c r="Y27" t="e">
        <f ca="1"/>
        <v>#NAME?</v>
      </c>
      <c r="Z27" s="185" t="e">
        <f ca="1"/>
        <v>#NAME?</v>
      </c>
    </row>
    <row r="28" spans="3:29" ht="15.75" thickTop="1" x14ac:dyDescent="0.25">
      <c r="G28" s="360" t="e">
        <f t="array" aca="1" ref="G28:N31" ca="1">MLogitParam(A4:E16,2,2,TRUE,TRUE)</f>
        <v>#NAME?</v>
      </c>
      <c r="H28" s="360" t="e">
        <f ca="1"/>
        <v>#NAME?</v>
      </c>
      <c r="I28" s="360" t="e">
        <f ca="1"/>
        <v>#NAME?</v>
      </c>
      <c r="J28" s="360" t="e">
        <f ca="1"/>
        <v>#NAME?</v>
      </c>
      <c r="K28" s="360" t="e">
        <f ca="1"/>
        <v>#NAME?</v>
      </c>
      <c r="L28" s="360" t="e">
        <f ca="1"/>
        <v>#NAME?</v>
      </c>
      <c r="M28" s="360" t="e">
        <f ca="1"/>
        <v>#NAME?</v>
      </c>
      <c r="N28" s="360" t="e">
        <f ca="1"/>
        <v>#NAME?</v>
      </c>
      <c r="P28" s="317">
        <v>20</v>
      </c>
      <c r="Q28" s="319">
        <v>1</v>
      </c>
      <c r="R28" s="255">
        <v>16</v>
      </c>
      <c r="S28" s="46">
        <v>4</v>
      </c>
      <c r="T28" s="384">
        <v>2</v>
      </c>
      <c r="U28" s="255" t="e">
        <f ca="1"/>
        <v>#NAME?</v>
      </c>
      <c r="V28" s="46" t="e">
        <f ca="1"/>
        <v>#NAME?</v>
      </c>
      <c r="W28" s="384" t="e">
        <f ca="1"/>
        <v>#NAME?</v>
      </c>
      <c r="Y28" t="e">
        <f ca="1"/>
        <v>#NAME?</v>
      </c>
      <c r="Z28" s="123" t="e">
        <f ca="1"/>
        <v>#NAME?</v>
      </c>
    </row>
    <row r="29" spans="3:29" x14ac:dyDescent="0.25">
      <c r="G29" t="e">
        <f ca="1"/>
        <v>#NAME?</v>
      </c>
      <c r="H29" t="e">
        <f ca="1"/>
        <v>#NAME?</v>
      </c>
      <c r="I29" t="e">
        <f ca="1"/>
        <v>#NAME?</v>
      </c>
      <c r="J29" t="e">
        <f ca="1"/>
        <v>#NAME?</v>
      </c>
      <c r="K29" t="e">
        <f ca="1"/>
        <v>#NAME?</v>
      </c>
      <c r="L29" t="e">
        <f ca="1"/>
        <v>#NAME?</v>
      </c>
      <c r="M29" t="e">
        <f ca="1"/>
        <v>#NAME?</v>
      </c>
      <c r="N29" t="e">
        <f ca="1"/>
        <v>#NAME?</v>
      </c>
      <c r="P29" s="317">
        <v>21</v>
      </c>
      <c r="Q29" s="319">
        <v>1</v>
      </c>
      <c r="R29" s="255">
        <v>67</v>
      </c>
      <c r="S29" s="46">
        <v>9</v>
      </c>
      <c r="T29" s="384">
        <v>8</v>
      </c>
      <c r="U29" s="255" t="e">
        <f ca="1"/>
        <v>#NAME?</v>
      </c>
      <c r="V29" s="46" t="e">
        <f ca="1"/>
        <v>#NAME?</v>
      </c>
      <c r="W29" s="384" t="e">
        <f ca="1"/>
        <v>#NAME?</v>
      </c>
    </row>
    <row r="30" spans="3:29" x14ac:dyDescent="0.25">
      <c r="G30" t="e">
        <f ca="1"/>
        <v>#NAME?</v>
      </c>
      <c r="H30" t="e">
        <f ca="1"/>
        <v>#NAME?</v>
      </c>
      <c r="I30" t="e">
        <f ca="1"/>
        <v>#NAME?</v>
      </c>
      <c r="J30" t="e">
        <f ca="1"/>
        <v>#NAME?</v>
      </c>
      <c r="K30" t="e">
        <f ca="1"/>
        <v>#NAME?</v>
      </c>
      <c r="L30" t="e">
        <f ca="1"/>
        <v>#NAME?</v>
      </c>
      <c r="M30" t="e">
        <f ca="1"/>
        <v>#NAME?</v>
      </c>
      <c r="N30" t="e">
        <f ca="1"/>
        <v>#NAME?</v>
      </c>
      <c r="P30" s="317">
        <v>22</v>
      </c>
      <c r="Q30" s="319">
        <v>1</v>
      </c>
      <c r="R30" s="255">
        <v>55</v>
      </c>
      <c r="S30" s="46">
        <v>20</v>
      </c>
      <c r="T30" s="384">
        <v>14</v>
      </c>
      <c r="U30" s="255" t="e">
        <f ca="1"/>
        <v>#NAME?</v>
      </c>
      <c r="V30" s="46" t="e">
        <f ca="1"/>
        <v>#NAME?</v>
      </c>
      <c r="W30" s="384" t="e">
        <f ca="1"/>
        <v>#NAME?</v>
      </c>
    </row>
    <row r="31" spans="3:29" x14ac:dyDescent="0.25">
      <c r="G31" s="354" t="e">
        <f ca="1"/>
        <v>#NAME?</v>
      </c>
      <c r="H31" s="354" t="e">
        <f ca="1"/>
        <v>#NAME?</v>
      </c>
      <c r="I31" s="354" t="e">
        <f ca="1"/>
        <v>#NAME?</v>
      </c>
      <c r="J31" s="354" t="e">
        <f ca="1"/>
        <v>#NAME?</v>
      </c>
      <c r="K31" s="354" t="e">
        <f ca="1"/>
        <v>#NAME?</v>
      </c>
      <c r="L31" s="354" t="e">
        <f ca="1"/>
        <v>#NAME?</v>
      </c>
      <c r="M31" s="354" t="e">
        <f ca="1"/>
        <v>#NAME?</v>
      </c>
      <c r="N31" s="354" t="e">
        <f ca="1"/>
        <v>#NAME?</v>
      </c>
      <c r="P31" s="317">
        <v>23</v>
      </c>
      <c r="Q31" s="319">
        <v>1</v>
      </c>
      <c r="R31" s="255">
        <v>49</v>
      </c>
      <c r="S31" s="46">
        <v>55</v>
      </c>
      <c r="T31" s="384">
        <v>20</v>
      </c>
      <c r="U31" s="255" t="e">
        <f ca="1"/>
        <v>#NAME?</v>
      </c>
      <c r="V31" s="46" t="e">
        <f ca="1"/>
        <v>#NAME?</v>
      </c>
      <c r="W31" s="384" t="e">
        <f ca="1"/>
        <v>#NAME?</v>
      </c>
    </row>
    <row r="32" spans="3:29" x14ac:dyDescent="0.25">
      <c r="P32" s="317">
        <v>24</v>
      </c>
      <c r="Q32" s="319">
        <v>1</v>
      </c>
      <c r="R32" s="255">
        <v>12</v>
      </c>
      <c r="S32" s="46">
        <v>36</v>
      </c>
      <c r="T32" s="384">
        <v>15</v>
      </c>
      <c r="U32" s="255" t="e">
        <f ca="1"/>
        <v>#NAME?</v>
      </c>
      <c r="V32" s="46" t="e">
        <f ca="1"/>
        <v>#NAME?</v>
      </c>
      <c r="W32" s="384" t="e">
        <f ca="1"/>
        <v>#NAME?</v>
      </c>
    </row>
    <row r="33" spans="7:23" x14ac:dyDescent="0.25">
      <c r="G33" t="s">
        <v>929</v>
      </c>
      <c r="P33" s="320">
        <v>25</v>
      </c>
      <c r="Q33" s="321">
        <v>1</v>
      </c>
      <c r="R33" s="112">
        <v>6</v>
      </c>
      <c r="S33" s="354">
        <v>18</v>
      </c>
      <c r="T33" s="385">
        <v>5</v>
      </c>
      <c r="U33" s="112" t="e">
        <f ca="1"/>
        <v>#NAME?</v>
      </c>
      <c r="V33" s="354" t="e">
        <f ca="1"/>
        <v>#NAME?</v>
      </c>
      <c r="W33" s="385" t="e">
        <f ca="1"/>
        <v>#NAME?</v>
      </c>
    </row>
    <row r="34" spans="7:23" ht="15.75" thickBot="1" x14ac:dyDescent="0.3">
      <c r="R34">
        <f>SUM(R22:R33)</f>
        <v>400</v>
      </c>
      <c r="S34">
        <f>SUM(S22:S33)</f>
        <v>270</v>
      </c>
      <c r="T34">
        <f>SUM(T22:T33)</f>
        <v>190</v>
      </c>
    </row>
    <row r="35" spans="7:23" ht="15.75" thickTop="1" x14ac:dyDescent="0.25">
      <c r="G35" s="360" t="e">
        <f t="array" aca="1" ref="G35:N38" ca="1">MLogitParam(A5:E16,2,2,TRUE)</f>
        <v>#NAME?</v>
      </c>
      <c r="H35" s="360" t="e">
        <f ca="1"/>
        <v>#NAME?</v>
      </c>
      <c r="I35" s="360" t="e">
        <f ca="1"/>
        <v>#NAME?</v>
      </c>
      <c r="J35" s="360" t="e">
        <f ca="1"/>
        <v>#NAME?</v>
      </c>
      <c r="K35" s="360" t="e">
        <f ca="1"/>
        <v>#NAME?</v>
      </c>
      <c r="L35" s="360" t="e">
        <f ca="1"/>
        <v>#NAME?</v>
      </c>
      <c r="M35" s="360" t="e">
        <f ca="1"/>
        <v>#NAME?</v>
      </c>
      <c r="N35" s="360" t="e">
        <f ca="1"/>
        <v>#NAME?</v>
      </c>
    </row>
    <row r="36" spans="7:23" x14ac:dyDescent="0.25">
      <c r="G36" t="e">
        <f ca="1"/>
        <v>#NAME?</v>
      </c>
      <c r="H36" t="e">
        <f ca="1"/>
        <v>#NAME?</v>
      </c>
      <c r="I36" t="e">
        <f ca="1"/>
        <v>#NAME?</v>
      </c>
      <c r="J36" t="e">
        <f ca="1"/>
        <v>#NAME?</v>
      </c>
      <c r="K36" t="e">
        <f ca="1"/>
        <v>#NAME?</v>
      </c>
      <c r="L36" t="e">
        <f ca="1"/>
        <v>#NAME?</v>
      </c>
      <c r="M36" t="e">
        <f ca="1"/>
        <v>#NAME?</v>
      </c>
      <c r="N36" t="e">
        <f ca="1"/>
        <v>#NAME?</v>
      </c>
    </row>
    <row r="37" spans="7:23" x14ac:dyDescent="0.25">
      <c r="G37" t="e">
        <f ca="1"/>
        <v>#NAME?</v>
      </c>
      <c r="H37" t="e">
        <f ca="1"/>
        <v>#NAME?</v>
      </c>
      <c r="I37" t="e">
        <f ca="1"/>
        <v>#NAME?</v>
      </c>
      <c r="J37" t="e">
        <f ca="1"/>
        <v>#NAME?</v>
      </c>
      <c r="K37" t="e">
        <f ca="1"/>
        <v>#NAME?</v>
      </c>
      <c r="L37" t="e">
        <f ca="1"/>
        <v>#NAME?</v>
      </c>
      <c r="M37" t="e">
        <f ca="1"/>
        <v>#NAME?</v>
      </c>
      <c r="N37" t="e">
        <f ca="1"/>
        <v>#NAME?</v>
      </c>
    </row>
    <row r="38" spans="7:23" x14ac:dyDescent="0.25">
      <c r="G38" s="354" t="e">
        <f ca="1"/>
        <v>#NAME?</v>
      </c>
      <c r="H38" s="354" t="e">
        <f ca="1"/>
        <v>#NAME?</v>
      </c>
      <c r="I38" s="354" t="e">
        <f ca="1"/>
        <v>#NAME?</v>
      </c>
      <c r="J38" s="354" t="e">
        <f ca="1"/>
        <v>#NAME?</v>
      </c>
      <c r="K38" s="354" t="e">
        <f ca="1"/>
        <v>#NAME?</v>
      </c>
      <c r="L38" s="354" t="e">
        <f ca="1"/>
        <v>#NAME?</v>
      </c>
      <c r="M38" s="354" t="e">
        <f ca="1"/>
        <v>#NAME?</v>
      </c>
      <c r="N38" s="354" t="e">
        <f ca="1"/>
        <v>#NAME?</v>
      </c>
    </row>
    <row r="40" spans="7:23" x14ac:dyDescent="0.25">
      <c r="G40" t="s">
        <v>909</v>
      </c>
    </row>
    <row r="41" spans="7:23" ht="15.75" thickBot="1" x14ac:dyDescent="0.3"/>
    <row r="42" spans="7:23" ht="15.75" thickTop="1" x14ac:dyDescent="0.25">
      <c r="G42" s="360"/>
      <c r="H42" s="360" t="s">
        <v>755</v>
      </c>
      <c r="I42" s="360" t="s">
        <v>148</v>
      </c>
      <c r="J42" s="360" t="s">
        <v>756</v>
      </c>
      <c r="K42" s="360" t="s">
        <v>48</v>
      </c>
      <c r="L42" s="360" t="s">
        <v>757</v>
      </c>
      <c r="M42" s="360" t="s">
        <v>15</v>
      </c>
      <c r="N42" s="360" t="s">
        <v>16</v>
      </c>
    </row>
    <row r="43" spans="7:23" x14ac:dyDescent="0.25">
      <c r="G43" t="s">
        <v>127</v>
      </c>
      <c r="H43" t="e">
        <f t="array" aca="1" ref="H43:N45" ca="1">MLogitParam(A4:E16,2,2,,TRUE)</f>
        <v>#NAME?</v>
      </c>
      <c r="I43" t="e">
        <f ca="1"/>
        <v>#NAME?</v>
      </c>
      <c r="J43" t="e">
        <f ca="1"/>
        <v>#NAME?</v>
      </c>
      <c r="K43" t="e">
        <f ca="1"/>
        <v>#NAME?</v>
      </c>
      <c r="L43" t="e">
        <f ca="1"/>
        <v>#NAME?</v>
      </c>
      <c r="M43" t="e">
        <f ca="1"/>
        <v>#NAME?</v>
      </c>
      <c r="N43" t="e">
        <f ca="1"/>
        <v>#NAME?</v>
      </c>
    </row>
    <row r="44" spans="7:23" x14ac:dyDescent="0.25">
      <c r="G44" t="s">
        <v>861</v>
      </c>
      <c r="H44" t="e">
        <f ca="1"/>
        <v>#NAME?</v>
      </c>
      <c r="I44" t="e">
        <f ca="1"/>
        <v>#NAME?</v>
      </c>
      <c r="J44" t="e">
        <f ca="1"/>
        <v>#NAME?</v>
      </c>
      <c r="K44" t="e">
        <f ca="1"/>
        <v>#NAME?</v>
      </c>
      <c r="L44" t="e">
        <f ca="1"/>
        <v>#NAME?</v>
      </c>
      <c r="M44" t="e">
        <f ca="1"/>
        <v>#NAME?</v>
      </c>
      <c r="N44" t="e">
        <f ca="1"/>
        <v>#NAME?</v>
      </c>
    </row>
    <row r="45" spans="7:23" x14ac:dyDescent="0.25">
      <c r="G45" s="354" t="s">
        <v>180</v>
      </c>
      <c r="H45" s="354" t="e">
        <f ca="1"/>
        <v>#NAME?</v>
      </c>
      <c r="I45" s="354" t="e">
        <f ca="1"/>
        <v>#NAME?</v>
      </c>
      <c r="J45" s="354" t="e">
        <f ca="1"/>
        <v>#NAME?</v>
      </c>
      <c r="K45" s="354" t="e">
        <f ca="1"/>
        <v>#NAME?</v>
      </c>
      <c r="L45" s="354" t="e">
        <f ca="1"/>
        <v>#NAME?</v>
      </c>
      <c r="M45" s="354" t="e">
        <f ca="1"/>
        <v>#NAME?</v>
      </c>
      <c r="N45" s="354" t="e">
        <f ca="1"/>
        <v>#NAME?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T19"/>
  <sheetViews>
    <sheetView workbookViewId="0"/>
  </sheetViews>
  <sheetFormatPr defaultRowHeight="15" x14ac:dyDescent="0.25"/>
  <cols>
    <col min="1" max="5" width="7.5703125" customWidth="1"/>
    <col min="6" max="6" width="9.28515625" bestFit="1" customWidth="1"/>
    <col min="7" max="7" width="12" bestFit="1" customWidth="1"/>
    <col min="8" max="8" width="9.28515625" bestFit="1" customWidth="1"/>
  </cols>
  <sheetData>
    <row r="1" spans="1:20" x14ac:dyDescent="0.25">
      <c r="A1" s="1" t="s">
        <v>854</v>
      </c>
    </row>
    <row r="2" spans="1:20" x14ac:dyDescent="0.25">
      <c r="A2" t="s">
        <v>1483</v>
      </c>
      <c r="F2" t="e">
        <f ca="1">FTEXT(F6)</f>
        <v>#NAME?</v>
      </c>
    </row>
    <row r="4" spans="1:20" x14ac:dyDescent="0.25">
      <c r="C4" s="773" t="s">
        <v>91</v>
      </c>
      <c r="D4" s="773"/>
      <c r="E4" s="773"/>
      <c r="F4" s="773" t="s">
        <v>1484</v>
      </c>
      <c r="G4" s="773"/>
      <c r="H4" s="773"/>
      <c r="I4" s="773" t="s">
        <v>1485</v>
      </c>
      <c r="J4" s="773"/>
      <c r="K4" s="773"/>
      <c r="L4" s="773"/>
      <c r="N4" t="e">
        <f t="array" aca="1" ref="N4" ca="1">FTEXT(N7)</f>
        <v>#NAME?</v>
      </c>
      <c r="R4" t="e">
        <f t="array" aca="1" ref="R4" ca="1">FTEXT(R6)</f>
        <v>#NAME?</v>
      </c>
    </row>
    <row r="5" spans="1:20" s="55" customFormat="1" x14ac:dyDescent="0.25">
      <c r="A5" s="56" t="s">
        <v>861</v>
      </c>
      <c r="B5" s="56" t="s">
        <v>180</v>
      </c>
      <c r="C5" s="56" t="s">
        <v>863</v>
      </c>
      <c r="D5" s="56" t="s">
        <v>81</v>
      </c>
      <c r="E5" s="56" t="s">
        <v>862</v>
      </c>
      <c r="F5" s="56" t="s">
        <v>863</v>
      </c>
      <c r="G5" s="56" t="s">
        <v>81</v>
      </c>
      <c r="H5" s="56" t="s">
        <v>862</v>
      </c>
      <c r="I5" s="56" t="s">
        <v>863</v>
      </c>
      <c r="J5" s="56" t="s">
        <v>81</v>
      </c>
      <c r="K5" s="56" t="s">
        <v>862</v>
      </c>
      <c r="L5" s="56" t="s">
        <v>1</v>
      </c>
    </row>
    <row r="6" spans="1:20" x14ac:dyDescent="0.25">
      <c r="A6" s="708">
        <v>20</v>
      </c>
      <c r="B6" s="709">
        <v>0</v>
      </c>
      <c r="C6" s="710">
        <v>13</v>
      </c>
      <c r="D6" s="711">
        <v>0</v>
      </c>
      <c r="E6" s="712">
        <v>8</v>
      </c>
      <c r="F6" s="713" t="e">
        <f t="array" aca="1" ref="F6:H17" ca="1">MLogitPred(A6:B17,$A$6:$E$17,2)</f>
        <v>#NAME?</v>
      </c>
      <c r="G6" s="387" t="e">
        <f ca="1"/>
        <v>#NAME?</v>
      </c>
      <c r="H6" s="714" t="e">
        <f ca="1"/>
        <v>#NAME?</v>
      </c>
      <c r="I6" s="710" t="e">
        <f ca="1">IF(F6&gt;=MAX($F6:$H6),C6,"")</f>
        <v>#NAME?</v>
      </c>
      <c r="J6" s="711" t="e">
        <f ca="1">IF(G6&gt;=MAX($F6:$H6),D6,"")</f>
        <v>#NAME?</v>
      </c>
      <c r="K6" s="711" t="e">
        <f ca="1">IF(H6&gt;=MAX($F6:$H6),E6,"")</f>
        <v>#NAME?</v>
      </c>
      <c r="L6" s="714" t="e">
        <f ca="1">SUM(I6:K6)</f>
        <v>#NAME?</v>
      </c>
      <c r="N6" t="e">
        <f t="array" aca="1" ref="N6:P9" ca="1">MLogitCoeff(A5:E17,2,TRUE,TRUE)</f>
        <v>#NAME?</v>
      </c>
      <c r="O6" s="707" t="e">
        <f ca="1"/>
        <v>#NAME?</v>
      </c>
      <c r="P6" s="707" t="e">
        <f ca="1"/>
        <v>#NAME?</v>
      </c>
      <c r="R6" s="713" t="e">
        <f t="array" aca="1" ref="R6:T17" ca="1">MLogitPredC(A6:B17,O7:P9)</f>
        <v>#NAME?</v>
      </c>
      <c r="S6" s="387" t="e">
        <f ca="1"/>
        <v>#NAME?</v>
      </c>
      <c r="T6" s="714" t="e">
        <f ca="1"/>
        <v>#NAME?</v>
      </c>
    </row>
    <row r="7" spans="1:20" x14ac:dyDescent="0.25">
      <c r="A7" s="317">
        <v>21</v>
      </c>
      <c r="B7" s="318">
        <v>0</v>
      </c>
      <c r="C7" s="255">
        <v>60</v>
      </c>
      <c r="D7" s="46">
        <v>6</v>
      </c>
      <c r="E7" s="384">
        <v>30</v>
      </c>
      <c r="F7" s="214" t="e">
        <f ca="1"/>
        <v>#NAME?</v>
      </c>
      <c r="G7" s="7" t="e">
        <f ca="1"/>
        <v>#NAME?</v>
      </c>
      <c r="H7" s="215" t="e">
        <f ca="1"/>
        <v>#NAME?</v>
      </c>
      <c r="I7" s="255" t="e">
        <f t="shared" ref="I7:K17" ca="1" si="0">IF(F7&gt;=MAX($F7:$H7),C7,"")</f>
        <v>#NAME?</v>
      </c>
      <c r="J7" s="46" t="e">
        <f t="shared" ca="1" si="0"/>
        <v>#NAME?</v>
      </c>
      <c r="K7" s="46" t="e">
        <f t="shared" ca="1" si="0"/>
        <v>#NAME?</v>
      </c>
      <c r="L7" s="215" t="e">
        <f t="shared" ref="L7:L17" ca="1" si="1">SUM(I7:K7)</f>
        <v>#NAME?</v>
      </c>
      <c r="N7" t="e">
        <f ca="1"/>
        <v>#NAME?</v>
      </c>
      <c r="O7" s="713" t="e">
        <f ca="1"/>
        <v>#NAME?</v>
      </c>
      <c r="P7" s="714" t="e">
        <f ca="1"/>
        <v>#NAME?</v>
      </c>
      <c r="R7" s="214" t="e">
        <f ca="1"/>
        <v>#NAME?</v>
      </c>
      <c r="S7" s="7" t="e">
        <f ca="1"/>
        <v>#NAME?</v>
      </c>
      <c r="T7" s="215" t="e">
        <f ca="1"/>
        <v>#NAME?</v>
      </c>
    </row>
    <row r="8" spans="1:20" x14ac:dyDescent="0.25">
      <c r="A8" s="317">
        <v>22</v>
      </c>
      <c r="B8" s="318">
        <v>0</v>
      </c>
      <c r="C8" s="255">
        <v>61</v>
      </c>
      <c r="D8" s="46">
        <v>13</v>
      </c>
      <c r="E8" s="384">
        <v>40</v>
      </c>
      <c r="F8" s="214" t="e">
        <f ca="1"/>
        <v>#NAME?</v>
      </c>
      <c r="G8" s="7" t="e">
        <f ca="1"/>
        <v>#NAME?</v>
      </c>
      <c r="H8" s="215" t="e">
        <f ca="1"/>
        <v>#NAME?</v>
      </c>
      <c r="I8" s="255" t="e">
        <f t="shared" ca="1" si="0"/>
        <v>#NAME?</v>
      </c>
      <c r="J8" s="46" t="e">
        <f t="shared" ca="1" si="0"/>
        <v>#NAME?</v>
      </c>
      <c r="K8" s="46" t="e">
        <f t="shared" ca="1" si="0"/>
        <v>#NAME?</v>
      </c>
      <c r="L8" s="215" t="e">
        <f t="shared" ca="1" si="1"/>
        <v>#NAME?</v>
      </c>
      <c r="N8" t="e">
        <f ca="1"/>
        <v>#NAME?</v>
      </c>
      <c r="O8" s="214" t="e">
        <f ca="1"/>
        <v>#NAME?</v>
      </c>
      <c r="P8" s="215" t="e">
        <f ca="1"/>
        <v>#NAME?</v>
      </c>
      <c r="R8" s="214" t="e">
        <f ca="1"/>
        <v>#NAME?</v>
      </c>
      <c r="S8" s="7" t="e">
        <f ca="1"/>
        <v>#NAME?</v>
      </c>
      <c r="T8" s="215" t="e">
        <f ca="1"/>
        <v>#NAME?</v>
      </c>
    </row>
    <row r="9" spans="1:20" x14ac:dyDescent="0.25">
      <c r="A9" s="317">
        <v>23</v>
      </c>
      <c r="B9" s="319">
        <v>0</v>
      </c>
      <c r="C9" s="255">
        <v>49</v>
      </c>
      <c r="D9" s="46">
        <v>60</v>
      </c>
      <c r="E9" s="384">
        <v>25</v>
      </c>
      <c r="F9" s="214" t="e">
        <f ca="1"/>
        <v>#NAME?</v>
      </c>
      <c r="G9" s="7" t="e">
        <f ca="1"/>
        <v>#NAME?</v>
      </c>
      <c r="H9" s="215" t="e">
        <f ca="1"/>
        <v>#NAME?</v>
      </c>
      <c r="I9" s="255" t="e">
        <f t="shared" ca="1" si="0"/>
        <v>#NAME?</v>
      </c>
      <c r="J9" s="46" t="e">
        <f t="shared" ca="1" si="0"/>
        <v>#NAME?</v>
      </c>
      <c r="K9" s="46" t="e">
        <f t="shared" ca="1" si="0"/>
        <v>#NAME?</v>
      </c>
      <c r="L9" s="215" t="e">
        <f t="shared" ca="1" si="1"/>
        <v>#NAME?</v>
      </c>
      <c r="N9" t="e">
        <f ca="1"/>
        <v>#NAME?</v>
      </c>
      <c r="O9" s="112" t="e">
        <f ca="1"/>
        <v>#NAME?</v>
      </c>
      <c r="P9" s="120" t="e">
        <f ca="1"/>
        <v>#NAME?</v>
      </c>
      <c r="R9" s="214" t="e">
        <f ca="1"/>
        <v>#NAME?</v>
      </c>
      <c r="S9" s="7" t="e">
        <f ca="1"/>
        <v>#NAME?</v>
      </c>
      <c r="T9" s="215" t="e">
        <f ca="1"/>
        <v>#NAME?</v>
      </c>
    </row>
    <row r="10" spans="1:20" x14ac:dyDescent="0.25">
      <c r="A10" s="317">
        <v>24</v>
      </c>
      <c r="B10" s="319">
        <v>0</v>
      </c>
      <c r="C10" s="255">
        <v>8</v>
      </c>
      <c r="D10" s="46">
        <v>29</v>
      </c>
      <c r="E10" s="384">
        <v>15</v>
      </c>
      <c r="F10" s="214" t="e">
        <f ca="1"/>
        <v>#NAME?</v>
      </c>
      <c r="G10" s="7" t="e">
        <f ca="1"/>
        <v>#NAME?</v>
      </c>
      <c r="H10" s="215" t="e">
        <f ca="1"/>
        <v>#NAME?</v>
      </c>
      <c r="I10" s="255" t="e">
        <f t="shared" ca="1" si="0"/>
        <v>#NAME?</v>
      </c>
      <c r="J10" s="46" t="e">
        <f t="shared" ca="1" si="0"/>
        <v>#NAME?</v>
      </c>
      <c r="K10" s="46" t="e">
        <f t="shared" ca="1" si="0"/>
        <v>#NAME?</v>
      </c>
      <c r="L10" s="215" t="e">
        <f t="shared" ca="1" si="1"/>
        <v>#NAME?</v>
      </c>
      <c r="R10" s="214" t="e">
        <f ca="1"/>
        <v>#NAME?</v>
      </c>
      <c r="S10" s="7" t="e">
        <f ca="1"/>
        <v>#NAME?</v>
      </c>
      <c r="T10" s="215" t="e">
        <f ca="1"/>
        <v>#NAME?</v>
      </c>
    </row>
    <row r="11" spans="1:20" x14ac:dyDescent="0.25">
      <c r="A11" s="317">
        <v>25</v>
      </c>
      <c r="B11" s="319">
        <v>0</v>
      </c>
      <c r="C11" s="214">
        <v>4</v>
      </c>
      <c r="D11" s="7">
        <v>20</v>
      </c>
      <c r="E11" s="384">
        <v>8</v>
      </c>
      <c r="F11" s="214" t="e">
        <f ca="1"/>
        <v>#NAME?</v>
      </c>
      <c r="G11" s="7" t="e">
        <f ca="1"/>
        <v>#NAME?</v>
      </c>
      <c r="H11" s="215" t="e">
        <f ca="1"/>
        <v>#NAME?</v>
      </c>
      <c r="I11" s="255" t="e">
        <f t="shared" ca="1" si="0"/>
        <v>#NAME?</v>
      </c>
      <c r="J11" s="46" t="e">
        <f t="shared" ca="1" si="0"/>
        <v>#NAME?</v>
      </c>
      <c r="K11" s="46" t="e">
        <f t="shared" ca="1" si="0"/>
        <v>#NAME?</v>
      </c>
      <c r="L11" s="215" t="e">
        <f t="shared" ca="1" si="1"/>
        <v>#NAME?</v>
      </c>
      <c r="N11" t="s">
        <v>1486</v>
      </c>
      <c r="R11" s="214" t="e">
        <f ca="1"/>
        <v>#NAME?</v>
      </c>
      <c r="S11" s="7" t="e">
        <f ca="1"/>
        <v>#NAME?</v>
      </c>
      <c r="T11" s="215" t="e">
        <f ca="1"/>
        <v>#NAME?</v>
      </c>
    </row>
    <row r="12" spans="1:20" x14ac:dyDescent="0.25">
      <c r="A12" s="317">
        <v>20</v>
      </c>
      <c r="B12" s="319">
        <v>1</v>
      </c>
      <c r="C12" s="255">
        <v>16</v>
      </c>
      <c r="D12" s="46">
        <v>4</v>
      </c>
      <c r="E12" s="384">
        <v>2</v>
      </c>
      <c r="F12" s="214" t="e">
        <f ca="1"/>
        <v>#NAME?</v>
      </c>
      <c r="G12" s="7" t="e">
        <f ca="1"/>
        <v>#NAME?</v>
      </c>
      <c r="H12" s="215" t="e">
        <f ca="1"/>
        <v>#NAME?</v>
      </c>
      <c r="I12" s="255" t="e">
        <f t="shared" ca="1" si="0"/>
        <v>#NAME?</v>
      </c>
      <c r="J12" s="46" t="e">
        <f t="shared" ca="1" si="0"/>
        <v>#NAME?</v>
      </c>
      <c r="K12" s="46" t="e">
        <f t="shared" ca="1" si="0"/>
        <v>#NAME?</v>
      </c>
      <c r="L12" s="215" t="e">
        <f t="shared" ca="1" si="1"/>
        <v>#NAME?</v>
      </c>
      <c r="R12" s="214" t="e">
        <f ca="1"/>
        <v>#NAME?</v>
      </c>
      <c r="S12" s="7" t="e">
        <f ca="1"/>
        <v>#NAME?</v>
      </c>
      <c r="T12" s="215" t="e">
        <f ca="1"/>
        <v>#NAME?</v>
      </c>
    </row>
    <row r="13" spans="1:20" x14ac:dyDescent="0.25">
      <c r="A13" s="317">
        <v>21</v>
      </c>
      <c r="B13" s="319">
        <v>1</v>
      </c>
      <c r="C13" s="255">
        <v>67</v>
      </c>
      <c r="D13" s="46">
        <v>9</v>
      </c>
      <c r="E13" s="384">
        <v>8</v>
      </c>
      <c r="F13" s="214" t="e">
        <f ca="1"/>
        <v>#NAME?</v>
      </c>
      <c r="G13" s="7" t="e">
        <f ca="1"/>
        <v>#NAME?</v>
      </c>
      <c r="H13" s="215" t="e">
        <f ca="1"/>
        <v>#NAME?</v>
      </c>
      <c r="I13" s="255" t="e">
        <f t="shared" ca="1" si="0"/>
        <v>#NAME?</v>
      </c>
      <c r="J13" s="46" t="e">
        <f t="shared" ca="1" si="0"/>
        <v>#NAME?</v>
      </c>
      <c r="K13" s="46" t="e">
        <f t="shared" ca="1" si="0"/>
        <v>#NAME?</v>
      </c>
      <c r="L13" s="215" t="e">
        <f t="shared" ca="1" si="1"/>
        <v>#NAME?</v>
      </c>
      <c r="N13" t="e">
        <f t="array" aca="1" ref="N13:O16" ca="1">MLogit_Accuracy(A5:E17,2,TRUE,TRUE)</f>
        <v>#NAME?</v>
      </c>
      <c r="O13" s="719" t="e">
        <f ca="1"/>
        <v>#NAME?</v>
      </c>
      <c r="R13" s="214" t="e">
        <f ca="1"/>
        <v>#NAME?</v>
      </c>
      <c r="S13" s="7" t="e">
        <f ca="1"/>
        <v>#NAME?</v>
      </c>
      <c r="T13" s="215" t="e">
        <f ca="1"/>
        <v>#NAME?</v>
      </c>
    </row>
    <row r="14" spans="1:20" x14ac:dyDescent="0.25">
      <c r="A14" s="317">
        <v>22</v>
      </c>
      <c r="B14" s="319">
        <v>1</v>
      </c>
      <c r="C14" s="255">
        <v>55</v>
      </c>
      <c r="D14" s="46">
        <v>20</v>
      </c>
      <c r="E14" s="384">
        <v>14</v>
      </c>
      <c r="F14" s="214" t="e">
        <f ca="1"/>
        <v>#NAME?</v>
      </c>
      <c r="G14" s="7" t="e">
        <f ca="1"/>
        <v>#NAME?</v>
      </c>
      <c r="H14" s="215" t="e">
        <f ca="1"/>
        <v>#NAME?</v>
      </c>
      <c r="I14" s="255" t="e">
        <f t="shared" ca="1" si="0"/>
        <v>#NAME?</v>
      </c>
      <c r="J14" s="46" t="e">
        <f t="shared" ca="1" si="0"/>
        <v>#NAME?</v>
      </c>
      <c r="K14" s="46" t="e">
        <f t="shared" ca="1" si="0"/>
        <v>#NAME?</v>
      </c>
      <c r="L14" s="215" t="e">
        <f t="shared" ca="1" si="1"/>
        <v>#NAME?</v>
      </c>
      <c r="N14" t="e">
        <f ca="1"/>
        <v>#NAME?</v>
      </c>
      <c r="O14" s="185" t="e">
        <f ca="1"/>
        <v>#NAME?</v>
      </c>
      <c r="R14" s="214" t="e">
        <f ca="1"/>
        <v>#NAME?</v>
      </c>
      <c r="S14" s="7" t="e">
        <f ca="1"/>
        <v>#NAME?</v>
      </c>
      <c r="T14" s="215" t="e">
        <f ca="1"/>
        <v>#NAME?</v>
      </c>
    </row>
    <row r="15" spans="1:20" x14ac:dyDescent="0.25">
      <c r="A15" s="317">
        <v>23</v>
      </c>
      <c r="B15" s="319">
        <v>1</v>
      </c>
      <c r="C15" s="255">
        <v>49</v>
      </c>
      <c r="D15" s="46">
        <v>55</v>
      </c>
      <c r="E15" s="384">
        <v>20</v>
      </c>
      <c r="F15" s="214" t="e">
        <f ca="1"/>
        <v>#NAME?</v>
      </c>
      <c r="G15" s="7" t="e">
        <f ca="1"/>
        <v>#NAME?</v>
      </c>
      <c r="H15" s="215" t="e">
        <f ca="1"/>
        <v>#NAME?</v>
      </c>
      <c r="I15" s="255" t="e">
        <f t="shared" ca="1" si="0"/>
        <v>#NAME?</v>
      </c>
      <c r="J15" s="46" t="e">
        <f t="shared" ca="1" si="0"/>
        <v>#NAME?</v>
      </c>
      <c r="K15" s="46" t="e">
        <f t="shared" ca="1" si="0"/>
        <v>#NAME?</v>
      </c>
      <c r="L15" s="215" t="e">
        <f t="shared" ca="1" si="1"/>
        <v>#NAME?</v>
      </c>
      <c r="N15" t="e">
        <f ca="1"/>
        <v>#NAME?</v>
      </c>
      <c r="O15" s="185" t="e">
        <f ca="1"/>
        <v>#NAME?</v>
      </c>
      <c r="R15" s="214" t="e">
        <f ca="1"/>
        <v>#NAME?</v>
      </c>
      <c r="S15" s="7" t="e">
        <f ca="1"/>
        <v>#NAME?</v>
      </c>
      <c r="T15" s="215" t="e">
        <f ca="1"/>
        <v>#NAME?</v>
      </c>
    </row>
    <row r="16" spans="1:20" x14ac:dyDescent="0.25">
      <c r="A16" s="317">
        <v>24</v>
      </c>
      <c r="B16" s="319">
        <v>1</v>
      </c>
      <c r="C16" s="255">
        <v>12</v>
      </c>
      <c r="D16" s="46">
        <v>36</v>
      </c>
      <c r="E16" s="384">
        <v>15</v>
      </c>
      <c r="F16" s="214" t="e">
        <f ca="1"/>
        <v>#NAME?</v>
      </c>
      <c r="G16" s="7" t="e">
        <f ca="1"/>
        <v>#NAME?</v>
      </c>
      <c r="H16" s="215" t="e">
        <f ca="1"/>
        <v>#NAME?</v>
      </c>
      <c r="I16" s="255" t="e">
        <f t="shared" ca="1" si="0"/>
        <v>#NAME?</v>
      </c>
      <c r="J16" s="46" t="e">
        <f t="shared" ca="1" si="0"/>
        <v>#NAME?</v>
      </c>
      <c r="K16" s="46" t="e">
        <f t="shared" ca="1" si="0"/>
        <v>#NAME?</v>
      </c>
      <c r="L16" s="215" t="e">
        <f t="shared" ca="1" si="1"/>
        <v>#NAME?</v>
      </c>
      <c r="N16" t="e">
        <f ca="1"/>
        <v>#NAME?</v>
      </c>
      <c r="O16" s="123" t="e">
        <f ca="1"/>
        <v>#NAME?</v>
      </c>
      <c r="R16" s="214" t="e">
        <f ca="1"/>
        <v>#NAME?</v>
      </c>
      <c r="S16" s="7" t="e">
        <f ca="1"/>
        <v>#NAME?</v>
      </c>
      <c r="T16" s="215" t="e">
        <f ca="1"/>
        <v>#NAME?</v>
      </c>
    </row>
    <row r="17" spans="1:20" x14ac:dyDescent="0.25">
      <c r="A17" s="320">
        <v>25</v>
      </c>
      <c r="B17" s="321">
        <v>1</v>
      </c>
      <c r="C17" s="112">
        <v>6</v>
      </c>
      <c r="D17" s="696">
        <v>18</v>
      </c>
      <c r="E17" s="385">
        <v>5</v>
      </c>
      <c r="F17" s="112" t="e">
        <f ca="1"/>
        <v>#NAME?</v>
      </c>
      <c r="G17" s="696" t="e">
        <f ca="1"/>
        <v>#NAME?</v>
      </c>
      <c r="H17" s="120" t="e">
        <f ca="1"/>
        <v>#NAME?</v>
      </c>
      <c r="I17" s="178" t="e">
        <f t="shared" ca="1" si="0"/>
        <v>#NAME?</v>
      </c>
      <c r="J17" s="715" t="e">
        <f t="shared" ca="1" si="0"/>
        <v>#NAME?</v>
      </c>
      <c r="K17" s="715" t="e">
        <f t="shared" ca="1" si="0"/>
        <v>#NAME?</v>
      </c>
      <c r="L17" s="120" t="e">
        <f t="shared" ca="1" si="1"/>
        <v>#NAME?</v>
      </c>
      <c r="R17" s="112" t="e">
        <f ca="1"/>
        <v>#NAME?</v>
      </c>
      <c r="S17" s="696" t="e">
        <f ca="1"/>
        <v>#NAME?</v>
      </c>
      <c r="T17" s="120" t="e">
        <f ca="1"/>
        <v>#NAME?</v>
      </c>
    </row>
    <row r="18" spans="1:20" x14ac:dyDescent="0.25">
      <c r="C18">
        <f>SUM(C6:C17)</f>
        <v>400</v>
      </c>
      <c r="D18">
        <f>SUM(D6:D17)</f>
        <v>270</v>
      </c>
      <c r="E18">
        <f>SUM(E6:E17)</f>
        <v>190</v>
      </c>
      <c r="I18">
        <v>370</v>
      </c>
      <c r="J18">
        <v>103</v>
      </c>
      <c r="K18">
        <v>0</v>
      </c>
      <c r="L18">
        <v>473</v>
      </c>
      <c r="N18" t="e">
        <f ca="1">FTEXT(N14)</f>
        <v>#NAME?</v>
      </c>
    </row>
    <row r="19" spans="1:20" x14ac:dyDescent="0.25">
      <c r="I19" s="716">
        <v>0.92500000000000004</v>
      </c>
      <c r="J19" s="717">
        <v>0.38148148148148148</v>
      </c>
      <c r="K19" s="717">
        <v>0</v>
      </c>
      <c r="L19" s="718">
        <v>0.55000000000000004</v>
      </c>
    </row>
  </sheetData>
  <mergeCells count="3">
    <mergeCell ref="C4:E4"/>
    <mergeCell ref="F4:H4"/>
    <mergeCell ref="I4:L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T17"/>
  <sheetViews>
    <sheetView workbookViewId="0"/>
  </sheetViews>
  <sheetFormatPr defaultRowHeight="15" x14ac:dyDescent="0.25"/>
  <cols>
    <col min="1" max="2" width="7.28515625" customWidth="1"/>
    <col min="3" max="5" width="6.42578125" customWidth="1"/>
    <col min="6" max="6" width="5" customWidth="1"/>
    <col min="15" max="15" width="2.85546875" customWidth="1"/>
    <col min="18" max="18" width="3" customWidth="1"/>
  </cols>
  <sheetData>
    <row r="1" spans="1:20" x14ac:dyDescent="0.25">
      <c r="A1" s="1" t="s">
        <v>854</v>
      </c>
    </row>
    <row r="2" spans="1:20" x14ac:dyDescent="0.25">
      <c r="A2" t="s">
        <v>1230</v>
      </c>
    </row>
    <row r="3" spans="1:20" x14ac:dyDescent="0.25">
      <c r="G3" t="s">
        <v>854</v>
      </c>
      <c r="P3" t="s">
        <v>1200</v>
      </c>
      <c r="S3" t="s">
        <v>1232</v>
      </c>
    </row>
    <row r="4" spans="1:20" x14ac:dyDescent="0.25">
      <c r="A4" s="294" t="s">
        <v>861</v>
      </c>
      <c r="B4" s="294" t="s">
        <v>180</v>
      </c>
      <c r="C4" s="294" t="s">
        <v>863</v>
      </c>
      <c r="D4" s="294" t="s">
        <v>81</v>
      </c>
      <c r="E4" s="294" t="s">
        <v>862</v>
      </c>
      <c r="G4" t="s">
        <v>1231</v>
      </c>
      <c r="I4">
        <v>0</v>
      </c>
      <c r="J4" t="str">
        <f>C4</f>
        <v>Dead</v>
      </c>
    </row>
    <row r="5" spans="1:20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P5" t="e">
        <f t="array" aca="1" ref="P5:Q11" ca="1">MLogitRSquare(A5:E16,2,TRUE)</f>
        <v>#NAME?</v>
      </c>
      <c r="Q5" s="525" t="e">
        <f ca="1"/>
        <v>#NAME?</v>
      </c>
      <c r="S5" t="e">
        <f t="array" aca="1" ref="S5:T9" ca="1">MLogitTest(A5:E16,2,TRUE)</f>
        <v>#NAME?</v>
      </c>
      <c r="T5" s="525" t="e">
        <f ca="1"/>
        <v>#NAME?</v>
      </c>
    </row>
    <row r="6" spans="1:20" ht="15.75" thickBot="1" x14ac:dyDescent="0.3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>
        <v>1</v>
      </c>
      <c r="H6" t="str">
        <f>D4</f>
        <v>Cured</v>
      </c>
      <c r="P6" t="e">
        <f ca="1"/>
        <v>#NAME?</v>
      </c>
      <c r="Q6" s="322" t="e">
        <f ca="1"/>
        <v>#NAME?</v>
      </c>
      <c r="S6" t="e">
        <f ca="1"/>
        <v>#NAME?</v>
      </c>
      <c r="T6" s="322" t="e">
        <f ca="1"/>
        <v>#NAME?</v>
      </c>
    </row>
    <row r="7" spans="1:20" ht="15.75" thickTop="1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 s="386" t="e">
        <f t="array" aca="1" ref="G7:N10" ca="1">MLogitParam(A4:E16,2,1,TRUE,TRUE,0.05,20)</f>
        <v>#NAME?</v>
      </c>
      <c r="H7" s="386" t="e">
        <f ca="1"/>
        <v>#NAME?</v>
      </c>
      <c r="I7" s="386" t="e">
        <f ca="1"/>
        <v>#NAME?</v>
      </c>
      <c r="J7" s="386" t="e">
        <f ca="1"/>
        <v>#NAME?</v>
      </c>
      <c r="K7" s="386" t="e">
        <f ca="1"/>
        <v>#NAME?</v>
      </c>
      <c r="L7" s="386" t="e">
        <f ca="1"/>
        <v>#NAME?</v>
      </c>
      <c r="M7" s="386" t="e">
        <f ca="1"/>
        <v>#NAME?</v>
      </c>
      <c r="N7" s="386" t="e">
        <f ca="1"/>
        <v>#NAME?</v>
      </c>
      <c r="P7" t="e">
        <f ca="1"/>
        <v>#NAME?</v>
      </c>
      <c r="Q7" s="322" t="e">
        <f ca="1"/>
        <v>#NAME?</v>
      </c>
      <c r="S7" t="e">
        <f ca="1"/>
        <v>#NAME?</v>
      </c>
      <c r="T7" s="322" t="e">
        <f ca="1"/>
        <v>#NAME?</v>
      </c>
    </row>
    <row r="8" spans="1:20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G8" t="e">
        <f ca="1"/>
        <v>#NAME?</v>
      </c>
      <c r="H8" t="e">
        <f ca="1"/>
        <v>#NAME?</v>
      </c>
      <c r="I8" t="e">
        <f ca="1"/>
        <v>#NAME?</v>
      </c>
      <c r="J8" t="e">
        <f ca="1"/>
        <v>#NAME?</v>
      </c>
      <c r="K8" t="e">
        <f ca="1"/>
        <v>#NAME?</v>
      </c>
      <c r="L8" t="e">
        <f ca="1"/>
        <v>#NAME?</v>
      </c>
      <c r="M8" t="e">
        <f ca="1"/>
        <v>#NAME?</v>
      </c>
      <c r="N8" t="e">
        <f ca="1"/>
        <v>#NAME?</v>
      </c>
      <c r="P8" t="e">
        <f ca="1"/>
        <v>#NAME?</v>
      </c>
      <c r="Q8" s="322" t="e">
        <f ca="1"/>
        <v>#NAME?</v>
      </c>
      <c r="S8" t="e">
        <f ca="1"/>
        <v>#NAME?</v>
      </c>
      <c r="T8" s="322" t="e">
        <f ca="1"/>
        <v>#NAME?</v>
      </c>
    </row>
    <row r="9" spans="1:20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G9" t="e">
        <f ca="1"/>
        <v>#NAME?</v>
      </c>
      <c r="H9" t="e">
        <f ca="1"/>
        <v>#NAME?</v>
      </c>
      <c r="I9" t="e">
        <f ca="1"/>
        <v>#NAME?</v>
      </c>
      <c r="J9" t="e">
        <f ca="1"/>
        <v>#NAME?</v>
      </c>
      <c r="K9" t="e">
        <f ca="1"/>
        <v>#NAME?</v>
      </c>
      <c r="L9" t="e">
        <f ca="1"/>
        <v>#NAME?</v>
      </c>
      <c r="M9" t="e">
        <f ca="1"/>
        <v>#NAME?</v>
      </c>
      <c r="N9" t="e">
        <f ca="1"/>
        <v>#NAME?</v>
      </c>
      <c r="P9" t="e">
        <f ca="1"/>
        <v>#NAME?</v>
      </c>
      <c r="Q9" s="322" t="e">
        <f ca="1"/>
        <v>#NAME?</v>
      </c>
      <c r="S9" t="e">
        <f ca="1"/>
        <v>#NAME?</v>
      </c>
      <c r="T9" s="349" t="e">
        <f ca="1"/>
        <v>#NAME?</v>
      </c>
    </row>
    <row r="10" spans="1:20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G10" s="354" t="e">
        <f ca="1"/>
        <v>#NAME?</v>
      </c>
      <c r="H10" s="354" t="e">
        <f ca="1"/>
        <v>#NAME?</v>
      </c>
      <c r="I10" s="354" t="e">
        <f ca="1"/>
        <v>#NAME?</v>
      </c>
      <c r="J10" s="354" t="e">
        <f ca="1"/>
        <v>#NAME?</v>
      </c>
      <c r="K10" s="354" t="e">
        <f ca="1"/>
        <v>#NAME?</v>
      </c>
      <c r="L10" s="354" t="e">
        <f ca="1"/>
        <v>#NAME?</v>
      </c>
      <c r="M10" s="354" t="e">
        <f ca="1"/>
        <v>#NAME?</v>
      </c>
      <c r="N10" s="354" t="e">
        <f ca="1"/>
        <v>#NAME?</v>
      </c>
      <c r="P10" t="e">
        <f ca="1"/>
        <v>#NAME?</v>
      </c>
      <c r="Q10" s="322" t="e">
        <f ca="1"/>
        <v>#NAME?</v>
      </c>
    </row>
    <row r="11" spans="1:20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P11" t="e">
        <f ca="1"/>
        <v>#NAME?</v>
      </c>
      <c r="Q11" s="349" t="e">
        <f ca="1"/>
        <v>#NAME?</v>
      </c>
    </row>
    <row r="12" spans="1:20" ht="15.75" thickBot="1" x14ac:dyDescent="0.3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>
        <v>2</v>
      </c>
      <c r="H12" t="str">
        <f>E4</f>
        <v>Sick</v>
      </c>
    </row>
    <row r="13" spans="1:20" ht="15.75" thickTop="1" x14ac:dyDescent="0.25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G13" s="386" t="e">
        <f t="array" aca="1" ref="G13:N16" ca="1">MLogitParam(A4:E16,2,2,TRUE,TRUE,0.05,20)</f>
        <v>#NAME?</v>
      </c>
      <c r="H13" s="386" t="e">
        <f ca="1"/>
        <v>#NAME?</v>
      </c>
      <c r="I13" s="386" t="e">
        <f ca="1"/>
        <v>#NAME?</v>
      </c>
      <c r="J13" s="386" t="e">
        <f ca="1"/>
        <v>#NAME?</v>
      </c>
      <c r="K13" s="386" t="e">
        <f ca="1"/>
        <v>#NAME?</v>
      </c>
      <c r="L13" s="386" t="e">
        <f ca="1"/>
        <v>#NAME?</v>
      </c>
      <c r="M13" s="386" t="e">
        <f ca="1"/>
        <v>#NAME?</v>
      </c>
      <c r="N13" s="386" t="e">
        <f ca="1"/>
        <v>#NAME?</v>
      </c>
    </row>
    <row r="14" spans="1:20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 t="e">
        <f ca="1"/>
        <v>#NAME?</v>
      </c>
      <c r="H14" t="e">
        <f ca="1"/>
        <v>#NAME?</v>
      </c>
      <c r="I14" t="e">
        <f ca="1"/>
        <v>#NAME?</v>
      </c>
      <c r="J14" t="e">
        <f ca="1"/>
        <v>#NAME?</v>
      </c>
      <c r="K14" t="e">
        <f ca="1"/>
        <v>#NAME?</v>
      </c>
      <c r="L14" t="e">
        <f ca="1"/>
        <v>#NAME?</v>
      </c>
      <c r="M14" t="e">
        <f ca="1"/>
        <v>#NAME?</v>
      </c>
      <c r="N14" t="e">
        <f ca="1"/>
        <v>#NAME?</v>
      </c>
    </row>
    <row r="15" spans="1:20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 t="e">
        <f ca="1"/>
        <v>#NAME?</v>
      </c>
      <c r="H15" t="e">
        <f ca="1"/>
        <v>#NAME?</v>
      </c>
      <c r="I15" t="e">
        <f ca="1"/>
        <v>#NAME?</v>
      </c>
      <c r="J15" t="e">
        <f ca="1"/>
        <v>#NAME?</v>
      </c>
      <c r="K15" t="e">
        <f ca="1"/>
        <v>#NAME?</v>
      </c>
      <c r="L15" t="e">
        <f ca="1"/>
        <v>#NAME?</v>
      </c>
      <c r="M15" t="e">
        <f ca="1"/>
        <v>#NAME?</v>
      </c>
      <c r="N15" t="e">
        <f ca="1"/>
        <v>#NAME?</v>
      </c>
    </row>
    <row r="16" spans="1:20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 s="354" t="e">
        <f ca="1"/>
        <v>#NAME?</v>
      </c>
      <c r="H16" s="354" t="e">
        <f ca="1"/>
        <v>#NAME?</v>
      </c>
      <c r="I16" s="354" t="e">
        <f ca="1"/>
        <v>#NAME?</v>
      </c>
      <c r="J16" s="354" t="e">
        <f ca="1"/>
        <v>#NAME?</v>
      </c>
      <c r="K16" s="354" t="e">
        <f ca="1"/>
        <v>#NAME?</v>
      </c>
      <c r="L16" s="354" t="e">
        <f ca="1"/>
        <v>#NAME?</v>
      </c>
      <c r="M16" s="354" t="e">
        <f ca="1"/>
        <v>#NAME?</v>
      </c>
      <c r="N16" s="354" t="e">
        <f ca="1"/>
        <v>#NAME?</v>
      </c>
    </row>
    <row r="17" spans="3:5" x14ac:dyDescent="0.25">
      <c r="C17">
        <f>SUM(C5:C16)</f>
        <v>400</v>
      </c>
      <c r="D17">
        <f>SUM(D5:D16)</f>
        <v>270</v>
      </c>
      <c r="E17">
        <f>SUM(E5:E16)</f>
        <v>190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O53"/>
  <sheetViews>
    <sheetView workbookViewId="0"/>
  </sheetViews>
  <sheetFormatPr defaultRowHeight="15" x14ac:dyDescent="0.25"/>
  <cols>
    <col min="1" max="1" width="9.140625" style="683"/>
    <col min="2" max="2" width="9.140625" style="683" customWidth="1"/>
    <col min="3" max="3" width="9.140625" style="683"/>
    <col min="4" max="4" width="9.140625" customWidth="1"/>
    <col min="5" max="5" width="10.140625" customWidth="1"/>
    <col min="6" max="9" width="9.85546875" customWidth="1"/>
  </cols>
  <sheetData>
    <row r="1" spans="1:15" x14ac:dyDescent="0.25">
      <c r="A1" s="694" t="s">
        <v>854</v>
      </c>
    </row>
    <row r="2" spans="1:15" x14ac:dyDescent="0.25">
      <c r="A2" s="39" t="s">
        <v>22</v>
      </c>
      <c r="E2" t="s">
        <v>915</v>
      </c>
      <c r="K2" t="s">
        <v>916</v>
      </c>
    </row>
    <row r="4" spans="1:15" x14ac:dyDescent="0.25">
      <c r="A4" s="685" t="s">
        <v>656</v>
      </c>
      <c r="B4" s="685" t="s">
        <v>657</v>
      </c>
      <c r="C4" s="683" t="s">
        <v>230</v>
      </c>
      <c r="E4" s="12" t="s">
        <v>656</v>
      </c>
      <c r="F4" s="12" t="s">
        <v>657</v>
      </c>
      <c r="G4">
        <v>0</v>
      </c>
      <c r="H4">
        <v>1</v>
      </c>
      <c r="I4">
        <v>2</v>
      </c>
      <c r="K4" t="e">
        <f t="array" aca="1" ref="K4:O10" ca="1">MLogitSummary(A4:C53,TRUE)</f>
        <v>#NAME?</v>
      </c>
      <c r="L4" t="e">
        <f ca="1"/>
        <v>#NAME?</v>
      </c>
      <c r="M4" t="e">
        <f ca="1"/>
        <v>#NAME?</v>
      </c>
      <c r="N4" t="e">
        <f ca="1"/>
        <v>#NAME?</v>
      </c>
      <c r="O4" t="e">
        <f ca="1"/>
        <v>#NAME?</v>
      </c>
    </row>
    <row r="5" spans="1:15" x14ac:dyDescent="0.25">
      <c r="A5" s="686">
        <v>20</v>
      </c>
      <c r="B5" s="687">
        <v>0</v>
      </c>
      <c r="C5" s="688">
        <v>1</v>
      </c>
      <c r="E5" s="344" t="e">
        <f t="array" aca="1" ref="E5:I10" ca="1">MLogitSummary(A5:C53)</f>
        <v>#NAME?</v>
      </c>
      <c r="F5" s="345" t="e">
        <f ca="1"/>
        <v>#NAME?</v>
      </c>
      <c r="G5" s="345" t="e">
        <f ca="1"/>
        <v>#NAME?</v>
      </c>
      <c r="H5" s="345" t="e">
        <f ca="1"/>
        <v>#NAME?</v>
      </c>
      <c r="I5" s="347" t="e">
        <f ca="1"/>
        <v>#NAME?</v>
      </c>
      <c r="K5" s="3" t="e">
        <f ca="1"/>
        <v>#NAME?</v>
      </c>
      <c r="L5" s="387" t="e">
        <f ca="1"/>
        <v>#NAME?</v>
      </c>
      <c r="M5" s="387" t="e">
        <f ca="1"/>
        <v>#NAME?</v>
      </c>
      <c r="N5" s="387" t="e">
        <f ca="1"/>
        <v>#NAME?</v>
      </c>
      <c r="O5" s="5" t="e">
        <f ca="1"/>
        <v>#NAME?</v>
      </c>
    </row>
    <row r="6" spans="1:15" x14ac:dyDescent="0.25">
      <c r="A6" s="689">
        <v>22</v>
      </c>
      <c r="B6" s="690">
        <v>1</v>
      </c>
      <c r="C6" s="254">
        <v>2</v>
      </c>
      <c r="E6" s="214" t="e">
        <f ca="1"/>
        <v>#NAME?</v>
      </c>
      <c r="F6" s="7" t="e">
        <f ca="1"/>
        <v>#NAME?</v>
      </c>
      <c r="G6" s="7" t="e">
        <f ca="1"/>
        <v>#NAME?</v>
      </c>
      <c r="H6" s="7" t="e">
        <f ca="1"/>
        <v>#NAME?</v>
      </c>
      <c r="I6" s="215" t="e">
        <f ca="1"/>
        <v>#NAME?</v>
      </c>
      <c r="K6" s="214" t="e">
        <f ca="1"/>
        <v>#NAME?</v>
      </c>
      <c r="L6" s="7" t="e">
        <f ca="1"/>
        <v>#NAME?</v>
      </c>
      <c r="M6" s="7" t="e">
        <f ca="1"/>
        <v>#NAME?</v>
      </c>
      <c r="N6" s="7" t="e">
        <f ca="1"/>
        <v>#NAME?</v>
      </c>
      <c r="O6" s="215" t="e">
        <f ca="1"/>
        <v>#NAME?</v>
      </c>
    </row>
    <row r="7" spans="1:15" x14ac:dyDescent="0.25">
      <c r="A7" s="689">
        <v>22</v>
      </c>
      <c r="B7" s="690">
        <v>1</v>
      </c>
      <c r="C7" s="254">
        <v>2</v>
      </c>
      <c r="E7" s="214" t="e">
        <f ca="1"/>
        <v>#NAME?</v>
      </c>
      <c r="F7" s="7" t="e">
        <f ca="1"/>
        <v>#NAME?</v>
      </c>
      <c r="G7" s="7" t="e">
        <f ca="1"/>
        <v>#NAME?</v>
      </c>
      <c r="H7" s="7" t="e">
        <f ca="1"/>
        <v>#NAME?</v>
      </c>
      <c r="I7" s="215" t="e">
        <f ca="1"/>
        <v>#NAME?</v>
      </c>
      <c r="K7" s="214" t="e">
        <f ca="1"/>
        <v>#NAME?</v>
      </c>
      <c r="L7" s="7" t="e">
        <f ca="1"/>
        <v>#NAME?</v>
      </c>
      <c r="M7" s="7" t="e">
        <f ca="1"/>
        <v>#NAME?</v>
      </c>
      <c r="N7" s="7" t="e">
        <f ca="1"/>
        <v>#NAME?</v>
      </c>
      <c r="O7" s="215" t="e">
        <f ca="1"/>
        <v>#NAME?</v>
      </c>
    </row>
    <row r="8" spans="1:15" x14ac:dyDescent="0.25">
      <c r="A8" s="689">
        <v>24</v>
      </c>
      <c r="B8" s="691">
        <v>0</v>
      </c>
      <c r="C8" s="254">
        <v>0</v>
      </c>
      <c r="E8" s="214" t="e">
        <f ca="1"/>
        <v>#NAME?</v>
      </c>
      <c r="F8" s="7" t="e">
        <f ca="1"/>
        <v>#NAME?</v>
      </c>
      <c r="G8" s="7" t="e">
        <f ca="1"/>
        <v>#NAME?</v>
      </c>
      <c r="H8" s="7" t="e">
        <f ca="1"/>
        <v>#NAME?</v>
      </c>
      <c r="I8" s="215" t="e">
        <f ca="1"/>
        <v>#NAME?</v>
      </c>
      <c r="K8" s="214" t="e">
        <f ca="1"/>
        <v>#NAME?</v>
      </c>
      <c r="L8" s="7" t="e">
        <f ca="1"/>
        <v>#NAME?</v>
      </c>
      <c r="M8" s="7" t="e">
        <f ca="1"/>
        <v>#NAME?</v>
      </c>
      <c r="N8" s="7" t="e">
        <f ca="1"/>
        <v>#NAME?</v>
      </c>
      <c r="O8" s="215" t="e">
        <f ca="1"/>
        <v>#NAME?</v>
      </c>
    </row>
    <row r="9" spans="1:15" x14ac:dyDescent="0.25">
      <c r="A9" s="689">
        <v>22</v>
      </c>
      <c r="B9" s="690">
        <v>0</v>
      </c>
      <c r="C9" s="254">
        <v>1</v>
      </c>
      <c r="E9" s="214" t="e">
        <f ca="1"/>
        <v>#NAME?</v>
      </c>
      <c r="F9" s="7" t="e">
        <f ca="1"/>
        <v>#NAME?</v>
      </c>
      <c r="G9" s="7" t="e">
        <f ca="1"/>
        <v>#NAME?</v>
      </c>
      <c r="H9" s="7" t="e">
        <f ca="1"/>
        <v>#NAME?</v>
      </c>
      <c r="I9" s="215" t="e">
        <f ca="1"/>
        <v>#NAME?</v>
      </c>
      <c r="K9" s="214" t="e">
        <f ca="1"/>
        <v>#NAME?</v>
      </c>
      <c r="L9" s="7" t="e">
        <f ca="1"/>
        <v>#NAME?</v>
      </c>
      <c r="M9" s="7" t="e">
        <f ca="1"/>
        <v>#NAME?</v>
      </c>
      <c r="N9" s="7" t="e">
        <f ca="1"/>
        <v>#NAME?</v>
      </c>
      <c r="O9" s="215" t="e">
        <f ca="1"/>
        <v>#NAME?</v>
      </c>
    </row>
    <row r="10" spans="1:15" x14ac:dyDescent="0.25">
      <c r="A10" s="689">
        <v>22</v>
      </c>
      <c r="B10" s="690">
        <v>1</v>
      </c>
      <c r="C10" s="254">
        <v>0</v>
      </c>
      <c r="E10" s="112" t="e">
        <f ca="1"/>
        <v>#NAME?</v>
      </c>
      <c r="F10" s="354" t="e">
        <f ca="1"/>
        <v>#NAME?</v>
      </c>
      <c r="G10" s="354" t="e">
        <f ca="1"/>
        <v>#NAME?</v>
      </c>
      <c r="H10" s="354" t="e">
        <f ca="1"/>
        <v>#NAME?</v>
      </c>
      <c r="I10" s="120" t="e">
        <f ca="1"/>
        <v>#NAME?</v>
      </c>
      <c r="K10" s="112" t="e">
        <f ca="1"/>
        <v>#NAME?</v>
      </c>
      <c r="L10" s="354" t="e">
        <f ca="1"/>
        <v>#NAME?</v>
      </c>
      <c r="M10" s="354" t="e">
        <f ca="1"/>
        <v>#NAME?</v>
      </c>
      <c r="N10" s="354" t="e">
        <f ca="1"/>
        <v>#NAME?</v>
      </c>
      <c r="O10" s="120" t="e">
        <f ca="1"/>
        <v>#NAME?</v>
      </c>
    </row>
    <row r="11" spans="1:15" x14ac:dyDescent="0.25">
      <c r="A11" s="689">
        <v>20</v>
      </c>
      <c r="B11" s="690">
        <v>1</v>
      </c>
      <c r="C11" s="254">
        <v>0</v>
      </c>
    </row>
    <row r="12" spans="1:15" x14ac:dyDescent="0.25">
      <c r="A12" s="689">
        <v>24</v>
      </c>
      <c r="B12" s="690">
        <v>1</v>
      </c>
      <c r="C12" s="254">
        <v>2</v>
      </c>
      <c r="E12" t="s">
        <v>868</v>
      </c>
      <c r="H12" t="s">
        <v>867</v>
      </c>
      <c r="K12" s="14" t="s">
        <v>924</v>
      </c>
    </row>
    <row r="13" spans="1:15" x14ac:dyDescent="0.25">
      <c r="A13" s="689">
        <v>24</v>
      </c>
      <c r="B13" s="691">
        <v>0</v>
      </c>
      <c r="C13" s="254">
        <v>0</v>
      </c>
    </row>
    <row r="14" spans="1:15" x14ac:dyDescent="0.25">
      <c r="A14" s="689">
        <v>20</v>
      </c>
      <c r="B14" s="690">
        <v>0</v>
      </c>
      <c r="C14" s="254">
        <v>1</v>
      </c>
      <c r="E14" s="7" t="e">
        <f t="array" aca="1" ref="E14:F18" ca="1">MLogitTest(A5:C53,0,TRUE)</f>
        <v>#NAME?</v>
      </c>
      <c r="F14" s="391" t="e">
        <f ca="1"/>
        <v>#NAME?</v>
      </c>
      <c r="H14" s="7" t="e">
        <f t="array" aca="1" ref="H14:I18" ca="1">MLogitTest(E5:I10,2,TRUE)</f>
        <v>#NAME?</v>
      </c>
      <c r="I14" s="391" t="e">
        <f ca="1"/>
        <v>#NAME?</v>
      </c>
      <c r="K14" t="e">
        <f t="array" aca="1" ref="K14:M17" ca="1">MLogitCoeff(A4:C53,0,TRUE,TRUE)</f>
        <v>#NAME?</v>
      </c>
      <c r="L14" t="e">
        <f ca="1"/>
        <v>#NAME?</v>
      </c>
      <c r="M14" t="e">
        <f ca="1"/>
        <v>#NAME?</v>
      </c>
    </row>
    <row r="15" spans="1:15" x14ac:dyDescent="0.25">
      <c r="A15" s="689">
        <v>20</v>
      </c>
      <c r="B15" s="690">
        <v>0</v>
      </c>
      <c r="C15" s="254">
        <v>2</v>
      </c>
      <c r="E15" s="7" t="e">
        <f ca="1"/>
        <v>#NAME?</v>
      </c>
      <c r="F15" s="185" t="e">
        <f ca="1"/>
        <v>#NAME?</v>
      </c>
      <c r="H15" s="7" t="e">
        <f ca="1"/>
        <v>#NAME?</v>
      </c>
      <c r="I15" s="185" t="e">
        <f ca="1"/>
        <v>#NAME?</v>
      </c>
      <c r="K15" t="e">
        <f ca="1"/>
        <v>#NAME?</v>
      </c>
      <c r="L15" s="3" t="e">
        <f ca="1"/>
        <v>#NAME?</v>
      </c>
      <c r="M15" s="5" t="e">
        <f ca="1"/>
        <v>#NAME?</v>
      </c>
    </row>
    <row r="16" spans="1:15" x14ac:dyDescent="0.25">
      <c r="A16" s="689">
        <v>22</v>
      </c>
      <c r="B16" s="690">
        <v>1</v>
      </c>
      <c r="C16" s="254">
        <v>0</v>
      </c>
      <c r="E16" s="7" t="e">
        <f ca="1"/>
        <v>#NAME?</v>
      </c>
      <c r="F16" s="185" t="e">
        <f ca="1"/>
        <v>#NAME?</v>
      </c>
      <c r="H16" s="7" t="e">
        <f ca="1"/>
        <v>#NAME?</v>
      </c>
      <c r="I16" s="185" t="e">
        <f ca="1"/>
        <v>#NAME?</v>
      </c>
      <c r="K16" t="e">
        <f ca="1"/>
        <v>#NAME?</v>
      </c>
      <c r="L16" s="214" t="e">
        <f ca="1"/>
        <v>#NAME?</v>
      </c>
      <c r="M16" s="215" t="e">
        <f ca="1"/>
        <v>#NAME?</v>
      </c>
    </row>
    <row r="17" spans="1:13" x14ac:dyDescent="0.25">
      <c r="A17" s="689">
        <v>20</v>
      </c>
      <c r="B17" s="690">
        <v>1</v>
      </c>
      <c r="C17" s="254">
        <v>1</v>
      </c>
      <c r="E17" s="7" t="e">
        <f ca="1"/>
        <v>#NAME?</v>
      </c>
      <c r="F17" s="185" t="e">
        <f ca="1"/>
        <v>#NAME?</v>
      </c>
      <c r="H17" s="7" t="e">
        <f ca="1"/>
        <v>#NAME?</v>
      </c>
      <c r="I17" s="185" t="e">
        <f ca="1"/>
        <v>#NAME?</v>
      </c>
      <c r="K17" t="e">
        <f ca="1"/>
        <v>#NAME?</v>
      </c>
      <c r="L17" s="112" t="e">
        <f ca="1"/>
        <v>#NAME?</v>
      </c>
      <c r="M17" s="120" t="e">
        <f ca="1"/>
        <v>#NAME?</v>
      </c>
    </row>
    <row r="18" spans="1:13" x14ac:dyDescent="0.25">
      <c r="A18" s="689">
        <v>22</v>
      </c>
      <c r="B18" s="691">
        <v>0</v>
      </c>
      <c r="C18" s="254">
        <v>0</v>
      </c>
      <c r="E18" s="7" t="e">
        <f ca="1"/>
        <v>#NAME?</v>
      </c>
      <c r="F18" s="123" t="e">
        <f ca="1"/>
        <v>#NAME?</v>
      </c>
      <c r="H18" s="7" t="e">
        <f ca="1"/>
        <v>#NAME?</v>
      </c>
      <c r="I18" s="123" t="e">
        <f ca="1"/>
        <v>#NAME?</v>
      </c>
    </row>
    <row r="19" spans="1:13" x14ac:dyDescent="0.25">
      <c r="A19" s="689">
        <v>22</v>
      </c>
      <c r="B19" s="690">
        <v>0</v>
      </c>
      <c r="C19" s="254">
        <v>1</v>
      </c>
      <c r="K19" s="14" t="s">
        <v>925</v>
      </c>
    </row>
    <row r="20" spans="1:13" x14ac:dyDescent="0.25">
      <c r="A20" s="689">
        <v>24</v>
      </c>
      <c r="B20" s="690">
        <v>1</v>
      </c>
      <c r="C20" s="254">
        <v>2</v>
      </c>
    </row>
    <row r="21" spans="1:13" x14ac:dyDescent="0.25">
      <c r="A21" s="689">
        <v>24</v>
      </c>
      <c r="B21" s="691">
        <v>0</v>
      </c>
      <c r="C21" s="254">
        <v>0</v>
      </c>
      <c r="K21" t="e">
        <f t="array" aca="1" ref="K21:M24" ca="1">MLogitCoeff(A5:C53,0,TRUE)</f>
        <v>#NAME?</v>
      </c>
      <c r="L21" t="e">
        <f ca="1"/>
        <v>#NAME?</v>
      </c>
      <c r="M21" t="e">
        <f ca="1"/>
        <v>#NAME?</v>
      </c>
    </row>
    <row r="22" spans="1:13" x14ac:dyDescent="0.25">
      <c r="A22" s="689">
        <v>22</v>
      </c>
      <c r="B22" s="690">
        <v>1</v>
      </c>
      <c r="C22" s="254">
        <v>2</v>
      </c>
      <c r="K22" t="e">
        <f ca="1"/>
        <v>#NAME?</v>
      </c>
      <c r="L22" s="3" t="e">
        <f ca="1"/>
        <v>#NAME?</v>
      </c>
      <c r="M22" s="5" t="e">
        <f ca="1"/>
        <v>#NAME?</v>
      </c>
    </row>
    <row r="23" spans="1:13" x14ac:dyDescent="0.25">
      <c r="A23" s="689">
        <v>24</v>
      </c>
      <c r="B23" s="690">
        <v>1</v>
      </c>
      <c r="C23" s="254">
        <v>2</v>
      </c>
      <c r="K23" t="e">
        <f ca="1"/>
        <v>#NAME?</v>
      </c>
      <c r="L23" s="214" t="e">
        <f ca="1"/>
        <v>#NAME?</v>
      </c>
      <c r="M23" s="215" t="e">
        <f ca="1"/>
        <v>#NAME?</v>
      </c>
    </row>
    <row r="24" spans="1:13" x14ac:dyDescent="0.25">
      <c r="A24" s="689">
        <v>20</v>
      </c>
      <c r="B24" s="691">
        <v>0</v>
      </c>
      <c r="C24" s="254">
        <v>0</v>
      </c>
      <c r="K24" t="e">
        <f ca="1"/>
        <v>#NAME?</v>
      </c>
      <c r="L24" s="112" t="e">
        <f ca="1"/>
        <v>#NAME?</v>
      </c>
      <c r="M24" s="120" t="e">
        <f ca="1"/>
        <v>#NAME?</v>
      </c>
    </row>
    <row r="25" spans="1:13" x14ac:dyDescent="0.25">
      <c r="A25" s="689">
        <v>20</v>
      </c>
      <c r="B25" s="690">
        <v>1</v>
      </c>
      <c r="C25" s="254">
        <v>0</v>
      </c>
    </row>
    <row r="26" spans="1:13" x14ac:dyDescent="0.25">
      <c r="A26" s="689">
        <v>20</v>
      </c>
      <c r="B26" s="690">
        <v>0</v>
      </c>
      <c r="C26" s="254">
        <v>2</v>
      </c>
    </row>
    <row r="27" spans="1:13" x14ac:dyDescent="0.25">
      <c r="A27" s="689">
        <v>20</v>
      </c>
      <c r="B27" s="690">
        <v>1</v>
      </c>
      <c r="C27" s="254">
        <v>1</v>
      </c>
    </row>
    <row r="28" spans="1:13" x14ac:dyDescent="0.25">
      <c r="A28" s="689">
        <v>20</v>
      </c>
      <c r="B28" s="690">
        <v>1</v>
      </c>
      <c r="C28" s="254">
        <v>1</v>
      </c>
    </row>
    <row r="29" spans="1:13" x14ac:dyDescent="0.25">
      <c r="A29" s="689">
        <v>20</v>
      </c>
      <c r="B29" s="691">
        <v>0</v>
      </c>
      <c r="C29" s="254">
        <v>1</v>
      </c>
    </row>
    <row r="30" spans="1:13" x14ac:dyDescent="0.25">
      <c r="A30" s="689">
        <v>24</v>
      </c>
      <c r="B30" s="691">
        <v>0</v>
      </c>
      <c r="C30" s="254">
        <v>0</v>
      </c>
    </row>
    <row r="31" spans="1:13" x14ac:dyDescent="0.25">
      <c r="A31" s="689">
        <v>22</v>
      </c>
      <c r="B31" s="691">
        <v>0</v>
      </c>
      <c r="C31" s="254">
        <v>2</v>
      </c>
    </row>
    <row r="32" spans="1:13" x14ac:dyDescent="0.25">
      <c r="A32" s="689">
        <v>24</v>
      </c>
      <c r="B32" s="690">
        <v>1</v>
      </c>
      <c r="C32" s="254">
        <v>1</v>
      </c>
    </row>
    <row r="33" spans="1:3" x14ac:dyDescent="0.25">
      <c r="A33" s="689">
        <v>24</v>
      </c>
      <c r="B33" s="691">
        <v>0</v>
      </c>
      <c r="C33" s="254">
        <v>1</v>
      </c>
    </row>
    <row r="34" spans="1:3" x14ac:dyDescent="0.25">
      <c r="A34" s="689">
        <v>22</v>
      </c>
      <c r="B34" s="690">
        <v>1</v>
      </c>
      <c r="C34" s="254">
        <v>2</v>
      </c>
    </row>
    <row r="35" spans="1:3" x14ac:dyDescent="0.25">
      <c r="A35" s="689">
        <v>22</v>
      </c>
      <c r="B35" s="691">
        <v>0</v>
      </c>
      <c r="C35" s="254">
        <v>2</v>
      </c>
    </row>
    <row r="36" spans="1:3" x14ac:dyDescent="0.25">
      <c r="A36" s="689">
        <v>22</v>
      </c>
      <c r="B36" s="691">
        <v>0</v>
      </c>
      <c r="C36" s="254">
        <v>1</v>
      </c>
    </row>
    <row r="37" spans="1:3" x14ac:dyDescent="0.25">
      <c r="A37" s="689">
        <v>20</v>
      </c>
      <c r="B37" s="690">
        <v>1</v>
      </c>
      <c r="C37" s="254">
        <v>0</v>
      </c>
    </row>
    <row r="38" spans="1:3" x14ac:dyDescent="0.25">
      <c r="A38" s="689">
        <v>24</v>
      </c>
      <c r="B38" s="690">
        <v>1</v>
      </c>
      <c r="C38" s="254">
        <v>2</v>
      </c>
    </row>
    <row r="39" spans="1:3" x14ac:dyDescent="0.25">
      <c r="A39" s="689">
        <v>24</v>
      </c>
      <c r="B39" s="691">
        <v>0</v>
      </c>
      <c r="C39" s="254">
        <v>0</v>
      </c>
    </row>
    <row r="40" spans="1:3" x14ac:dyDescent="0.25">
      <c r="A40" s="689">
        <v>22</v>
      </c>
      <c r="B40" s="690">
        <v>1</v>
      </c>
      <c r="C40" s="254">
        <v>1</v>
      </c>
    </row>
    <row r="41" spans="1:3" x14ac:dyDescent="0.25">
      <c r="A41" s="689">
        <v>20</v>
      </c>
      <c r="B41" s="691">
        <v>0</v>
      </c>
      <c r="C41" s="254">
        <v>1</v>
      </c>
    </row>
    <row r="42" spans="1:3" x14ac:dyDescent="0.25">
      <c r="A42" s="689">
        <v>22</v>
      </c>
      <c r="B42" s="690">
        <v>0</v>
      </c>
      <c r="C42" s="254">
        <v>2</v>
      </c>
    </row>
    <row r="43" spans="1:3" x14ac:dyDescent="0.25">
      <c r="A43" s="689">
        <v>22</v>
      </c>
      <c r="B43" s="690">
        <v>1</v>
      </c>
      <c r="C43" s="254">
        <v>0</v>
      </c>
    </row>
    <row r="44" spans="1:3" x14ac:dyDescent="0.25">
      <c r="A44" s="689">
        <v>20</v>
      </c>
      <c r="B44" s="690">
        <v>1</v>
      </c>
      <c r="C44" s="254">
        <v>1</v>
      </c>
    </row>
    <row r="45" spans="1:3" x14ac:dyDescent="0.25">
      <c r="A45" s="689">
        <v>20</v>
      </c>
      <c r="B45" s="690">
        <v>1</v>
      </c>
      <c r="C45" s="254">
        <v>2</v>
      </c>
    </row>
    <row r="46" spans="1:3" x14ac:dyDescent="0.25">
      <c r="A46" s="689">
        <v>22</v>
      </c>
      <c r="B46" s="690">
        <v>1</v>
      </c>
      <c r="C46" s="254">
        <v>1</v>
      </c>
    </row>
    <row r="47" spans="1:3" x14ac:dyDescent="0.25">
      <c r="A47" s="689">
        <v>24</v>
      </c>
      <c r="B47" s="691">
        <v>0</v>
      </c>
      <c r="C47" s="254">
        <v>1</v>
      </c>
    </row>
    <row r="48" spans="1:3" x14ac:dyDescent="0.25">
      <c r="A48" s="689">
        <v>20</v>
      </c>
      <c r="B48" s="690">
        <v>1</v>
      </c>
      <c r="C48" s="254">
        <v>1</v>
      </c>
    </row>
    <row r="49" spans="1:3" x14ac:dyDescent="0.25">
      <c r="A49" s="689">
        <v>20</v>
      </c>
      <c r="B49" s="690">
        <v>0</v>
      </c>
      <c r="C49" s="254">
        <v>1</v>
      </c>
    </row>
    <row r="50" spans="1:3" x14ac:dyDescent="0.25">
      <c r="A50" s="689">
        <v>24</v>
      </c>
      <c r="B50" s="690">
        <v>1</v>
      </c>
      <c r="C50" s="254">
        <v>0</v>
      </c>
    </row>
    <row r="51" spans="1:3" x14ac:dyDescent="0.25">
      <c r="A51" s="689">
        <v>24</v>
      </c>
      <c r="B51" s="690">
        <v>1</v>
      </c>
      <c r="C51" s="254">
        <v>0</v>
      </c>
    </row>
    <row r="52" spans="1:3" x14ac:dyDescent="0.25">
      <c r="A52" s="689">
        <v>22</v>
      </c>
      <c r="B52" s="690">
        <v>0</v>
      </c>
      <c r="C52" s="254">
        <v>1</v>
      </c>
    </row>
    <row r="53" spans="1:3" x14ac:dyDescent="0.25">
      <c r="A53" s="692">
        <v>24</v>
      </c>
      <c r="B53" s="693">
        <v>1</v>
      </c>
      <c r="C53" s="25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X53"/>
  <sheetViews>
    <sheetView workbookViewId="0"/>
  </sheetViews>
  <sheetFormatPr defaultRowHeight="15" x14ac:dyDescent="0.25"/>
  <cols>
    <col min="5" max="9" width="6.140625" customWidth="1"/>
    <col min="10" max="10" width="5.42578125" customWidth="1"/>
    <col min="19" max="19" width="3.7109375" customWidth="1"/>
    <col min="22" max="22" width="3.7109375" customWidth="1"/>
  </cols>
  <sheetData>
    <row r="1" spans="1:24" x14ac:dyDescent="0.25">
      <c r="A1" s="1" t="s">
        <v>854</v>
      </c>
    </row>
    <row r="2" spans="1:24" x14ac:dyDescent="0.25">
      <c r="A2" t="s">
        <v>1230</v>
      </c>
    </row>
    <row r="4" spans="1:24" x14ac:dyDescent="0.25">
      <c r="A4" s="294" t="s">
        <v>656</v>
      </c>
      <c r="B4" s="294" t="s">
        <v>657</v>
      </c>
      <c r="C4" s="12" t="s">
        <v>230</v>
      </c>
      <c r="E4" t="s">
        <v>1240</v>
      </c>
      <c r="K4" t="s">
        <v>854</v>
      </c>
      <c r="T4" t="s">
        <v>1200</v>
      </c>
      <c r="W4" t="s">
        <v>1232</v>
      </c>
    </row>
    <row r="5" spans="1:24" x14ac:dyDescent="0.25">
      <c r="A5" s="366">
        <v>20</v>
      </c>
      <c r="B5" s="392">
        <v>0</v>
      </c>
      <c r="C5" s="391">
        <v>1</v>
      </c>
      <c r="K5" t="s">
        <v>1231</v>
      </c>
      <c r="M5">
        <v>0</v>
      </c>
    </row>
    <row r="6" spans="1:24" x14ac:dyDescent="0.25">
      <c r="A6" s="317">
        <v>22</v>
      </c>
      <c r="B6" s="332">
        <v>1</v>
      </c>
      <c r="C6" s="185">
        <v>2</v>
      </c>
      <c r="E6" s="526" t="e">
        <f t="array" aca="1" ref="E6:I12" ca="1">MLogitSummary(A4:C53,TRUE)</f>
        <v>#NAME?</v>
      </c>
      <c r="F6" s="527" t="e">
        <f ca="1"/>
        <v>#NAME?</v>
      </c>
      <c r="G6" s="530" t="e">
        <f ca="1"/>
        <v>#NAME?</v>
      </c>
      <c r="H6" s="530" t="e">
        <f ca="1"/>
        <v>#NAME?</v>
      </c>
      <c r="I6" s="527" t="e">
        <f ca="1"/>
        <v>#NAME?</v>
      </c>
      <c r="T6" t="e">
        <f t="array" aca="1" ref="T6:U12" ca="1">MLogitRSquare(E7:I12,2,TRUE)</f>
        <v>#NAME?</v>
      </c>
      <c r="U6" s="525" t="e">
        <f ca="1"/>
        <v>#NAME?</v>
      </c>
      <c r="W6" t="e">
        <f t="array" aca="1" ref="W6:X10" ca="1">MLogitTest(E7:I12,2,TRUE)</f>
        <v>#NAME?</v>
      </c>
      <c r="X6" s="525" t="e">
        <f ca="1"/>
        <v>#NAME?</v>
      </c>
    </row>
    <row r="7" spans="1:24" ht="15.75" thickBot="1" x14ac:dyDescent="0.3">
      <c r="A7" s="317">
        <v>22</v>
      </c>
      <c r="B7" s="332">
        <v>1</v>
      </c>
      <c r="C7" s="185">
        <v>2</v>
      </c>
      <c r="E7" s="183" t="e">
        <f ca="1"/>
        <v>#NAME?</v>
      </c>
      <c r="F7" s="43" t="e">
        <f ca="1"/>
        <v>#NAME?</v>
      </c>
      <c r="G7" s="7" t="e">
        <f ca="1"/>
        <v>#NAME?</v>
      </c>
      <c r="H7" s="7" t="e">
        <f ca="1"/>
        <v>#NAME?</v>
      </c>
      <c r="I7" s="43" t="e">
        <f ca="1"/>
        <v>#NAME?</v>
      </c>
      <c r="K7">
        <v>1</v>
      </c>
      <c r="T7" t="e">
        <f ca="1"/>
        <v>#NAME?</v>
      </c>
      <c r="U7" s="322" t="e">
        <f ca="1"/>
        <v>#NAME?</v>
      </c>
      <c r="W7" t="e">
        <f ca="1"/>
        <v>#NAME?</v>
      </c>
      <c r="X7" s="322" t="e">
        <f ca="1"/>
        <v>#NAME?</v>
      </c>
    </row>
    <row r="8" spans="1:24" ht="15.75" thickTop="1" x14ac:dyDescent="0.25">
      <c r="A8" s="317">
        <v>24</v>
      </c>
      <c r="B8" s="333">
        <v>0</v>
      </c>
      <c r="C8" s="185">
        <v>0</v>
      </c>
      <c r="E8" s="183" t="e">
        <f ca="1"/>
        <v>#NAME?</v>
      </c>
      <c r="F8" s="43" t="e">
        <f ca="1"/>
        <v>#NAME?</v>
      </c>
      <c r="G8" s="7" t="e">
        <f ca="1"/>
        <v>#NAME?</v>
      </c>
      <c r="H8" s="7" t="e">
        <f ca="1"/>
        <v>#NAME?</v>
      </c>
      <c r="I8" s="43" t="e">
        <f ca="1"/>
        <v>#NAME?</v>
      </c>
      <c r="K8" s="386" t="e">
        <f t="array" aca="1" ref="K8:R11" ca="1">MLogitParam(E6:I12,2,1,TRUE,TRUE,0.05,20)</f>
        <v>#NAME?</v>
      </c>
      <c r="L8" s="386" t="e">
        <f ca="1"/>
        <v>#NAME?</v>
      </c>
      <c r="M8" s="386" t="e">
        <f ca="1"/>
        <v>#NAME?</v>
      </c>
      <c r="N8" s="386" t="e">
        <f ca="1"/>
        <v>#NAME?</v>
      </c>
      <c r="O8" s="386" t="e">
        <f ca="1"/>
        <v>#NAME?</v>
      </c>
      <c r="P8" s="386" t="e">
        <f ca="1"/>
        <v>#NAME?</v>
      </c>
      <c r="Q8" s="386" t="e">
        <f ca="1"/>
        <v>#NAME?</v>
      </c>
      <c r="R8" s="386" t="e">
        <f ca="1"/>
        <v>#NAME?</v>
      </c>
      <c r="T8" t="e">
        <f ca="1"/>
        <v>#NAME?</v>
      </c>
      <c r="U8" s="322" t="e">
        <f ca="1"/>
        <v>#NAME?</v>
      </c>
      <c r="W8" t="e">
        <f ca="1"/>
        <v>#NAME?</v>
      </c>
      <c r="X8" s="322" t="e">
        <f ca="1"/>
        <v>#NAME?</v>
      </c>
    </row>
    <row r="9" spans="1:24" x14ac:dyDescent="0.25">
      <c r="A9" s="317">
        <v>22</v>
      </c>
      <c r="B9" s="332">
        <v>0</v>
      </c>
      <c r="C9" s="185">
        <v>1</v>
      </c>
      <c r="E9" s="183" t="e">
        <f ca="1"/>
        <v>#NAME?</v>
      </c>
      <c r="F9" s="43" t="e">
        <f ca="1"/>
        <v>#NAME?</v>
      </c>
      <c r="G9" s="7" t="e">
        <f ca="1"/>
        <v>#NAME?</v>
      </c>
      <c r="H9" s="7" t="e">
        <f ca="1"/>
        <v>#NAME?</v>
      </c>
      <c r="I9" s="43" t="e">
        <f ca="1"/>
        <v>#NAME?</v>
      </c>
      <c r="K9" t="e">
        <f ca="1"/>
        <v>#NAME?</v>
      </c>
      <c r="L9" t="e">
        <f ca="1"/>
        <v>#NAME?</v>
      </c>
      <c r="M9" t="e">
        <f ca="1"/>
        <v>#NAME?</v>
      </c>
      <c r="N9" t="e">
        <f ca="1"/>
        <v>#NAME?</v>
      </c>
      <c r="O9" t="e">
        <f ca="1"/>
        <v>#NAME?</v>
      </c>
      <c r="P9" t="e">
        <f ca="1"/>
        <v>#NAME?</v>
      </c>
      <c r="Q9" t="e">
        <f ca="1"/>
        <v>#NAME?</v>
      </c>
      <c r="R9" t="e">
        <f ca="1"/>
        <v>#NAME?</v>
      </c>
      <c r="T9" t="e">
        <f ca="1"/>
        <v>#NAME?</v>
      </c>
      <c r="U9" s="322" t="e">
        <f ca="1"/>
        <v>#NAME?</v>
      </c>
      <c r="W9" t="e">
        <f ca="1"/>
        <v>#NAME?</v>
      </c>
      <c r="X9" s="322" t="e">
        <f ca="1"/>
        <v>#NAME?</v>
      </c>
    </row>
    <row r="10" spans="1:24" x14ac:dyDescent="0.25">
      <c r="A10" s="317">
        <v>22</v>
      </c>
      <c r="B10" s="332">
        <v>1</v>
      </c>
      <c r="C10" s="185">
        <v>0</v>
      </c>
      <c r="E10" s="183" t="e">
        <f ca="1"/>
        <v>#NAME?</v>
      </c>
      <c r="F10" s="43" t="e">
        <f ca="1"/>
        <v>#NAME?</v>
      </c>
      <c r="G10" s="7" t="e">
        <f ca="1"/>
        <v>#NAME?</v>
      </c>
      <c r="H10" s="7" t="e">
        <f ca="1"/>
        <v>#NAME?</v>
      </c>
      <c r="I10" s="43" t="e">
        <f ca="1"/>
        <v>#NAME?</v>
      </c>
      <c r="K10" t="e">
        <f ca="1"/>
        <v>#NAME?</v>
      </c>
      <c r="L10" t="e">
        <f ca="1"/>
        <v>#NAME?</v>
      </c>
      <c r="M10" t="e">
        <f ca="1"/>
        <v>#NAME?</v>
      </c>
      <c r="N10" t="e">
        <f ca="1"/>
        <v>#NAME?</v>
      </c>
      <c r="O10" t="e">
        <f ca="1"/>
        <v>#NAME?</v>
      </c>
      <c r="P10" t="e">
        <f ca="1"/>
        <v>#NAME?</v>
      </c>
      <c r="Q10" t="e">
        <f ca="1"/>
        <v>#NAME?</v>
      </c>
      <c r="R10" t="e">
        <f ca="1"/>
        <v>#NAME?</v>
      </c>
      <c r="T10" t="e">
        <f ca="1"/>
        <v>#NAME?</v>
      </c>
      <c r="U10" s="322" t="e">
        <f ca="1"/>
        <v>#NAME?</v>
      </c>
      <c r="W10" t="e">
        <f ca="1"/>
        <v>#NAME?</v>
      </c>
      <c r="X10" s="349" t="e">
        <f ca="1"/>
        <v>#NAME?</v>
      </c>
    </row>
    <row r="11" spans="1:24" x14ac:dyDescent="0.25">
      <c r="A11" s="317">
        <v>20</v>
      </c>
      <c r="B11" s="332">
        <v>1</v>
      </c>
      <c r="C11" s="185">
        <v>0</v>
      </c>
      <c r="E11" s="183" t="e">
        <f ca="1"/>
        <v>#NAME?</v>
      </c>
      <c r="F11" s="43" t="e">
        <f ca="1"/>
        <v>#NAME?</v>
      </c>
      <c r="G11" s="7" t="e">
        <f ca="1"/>
        <v>#NAME?</v>
      </c>
      <c r="H11" s="7" t="e">
        <f ca="1"/>
        <v>#NAME?</v>
      </c>
      <c r="I11" s="43" t="e">
        <f ca="1"/>
        <v>#NAME?</v>
      </c>
      <c r="K11" s="354" t="e">
        <f ca="1"/>
        <v>#NAME?</v>
      </c>
      <c r="L11" s="354" t="e">
        <f ca="1"/>
        <v>#NAME?</v>
      </c>
      <c r="M11" s="354" t="e">
        <f ca="1"/>
        <v>#NAME?</v>
      </c>
      <c r="N11" s="354" t="e">
        <f ca="1"/>
        <v>#NAME?</v>
      </c>
      <c r="O11" s="354" t="e">
        <f ca="1"/>
        <v>#NAME?</v>
      </c>
      <c r="P11" s="354" t="e">
        <f ca="1"/>
        <v>#NAME?</v>
      </c>
      <c r="Q11" s="354" t="e">
        <f ca="1"/>
        <v>#NAME?</v>
      </c>
      <c r="R11" s="354" t="e">
        <f ca="1"/>
        <v>#NAME?</v>
      </c>
      <c r="T11" t="e">
        <f ca="1"/>
        <v>#NAME?</v>
      </c>
      <c r="U11" s="322" t="e">
        <f ca="1"/>
        <v>#NAME?</v>
      </c>
    </row>
    <row r="12" spans="1:24" x14ac:dyDescent="0.25">
      <c r="A12" s="317">
        <v>24</v>
      </c>
      <c r="B12" s="332">
        <v>1</v>
      </c>
      <c r="C12" s="185">
        <v>2</v>
      </c>
      <c r="E12" s="351" t="e">
        <f ca="1"/>
        <v>#NAME?</v>
      </c>
      <c r="F12" s="353" t="e">
        <f ca="1"/>
        <v>#NAME?</v>
      </c>
      <c r="G12" s="352" t="e">
        <f ca="1"/>
        <v>#NAME?</v>
      </c>
      <c r="H12" s="352" t="e">
        <f ca="1"/>
        <v>#NAME?</v>
      </c>
      <c r="I12" s="353" t="e">
        <f ca="1"/>
        <v>#NAME?</v>
      </c>
      <c r="T12" t="e">
        <f ca="1"/>
        <v>#NAME?</v>
      </c>
      <c r="U12" s="349" t="e">
        <f ca="1"/>
        <v>#NAME?</v>
      </c>
    </row>
    <row r="13" spans="1:24" ht="15.75" thickBot="1" x14ac:dyDescent="0.3">
      <c r="A13" s="317">
        <v>24</v>
      </c>
      <c r="B13" s="333">
        <v>0</v>
      </c>
      <c r="C13" s="185">
        <v>0</v>
      </c>
      <c r="K13">
        <v>2</v>
      </c>
    </row>
    <row r="14" spans="1:24" ht="15.75" thickTop="1" x14ac:dyDescent="0.25">
      <c r="A14" s="317">
        <v>20</v>
      </c>
      <c r="B14" s="332">
        <v>0</v>
      </c>
      <c r="C14" s="185">
        <v>1</v>
      </c>
      <c r="K14" s="386" t="e">
        <f t="array" aca="1" ref="K14:R17" ca="1">MLogitParam(E6:I12,2,2,TRUE,TRUE,0.05,20)</f>
        <v>#NAME?</v>
      </c>
      <c r="L14" s="386" t="e">
        <f ca="1"/>
        <v>#NAME?</v>
      </c>
      <c r="M14" s="386" t="e">
        <f ca="1"/>
        <v>#NAME?</v>
      </c>
      <c r="N14" s="386" t="e">
        <f ca="1"/>
        <v>#NAME?</v>
      </c>
      <c r="O14" s="386" t="e">
        <f ca="1"/>
        <v>#NAME?</v>
      </c>
      <c r="P14" s="386" t="e">
        <f ca="1"/>
        <v>#NAME?</v>
      </c>
      <c r="Q14" s="386" t="e">
        <f ca="1"/>
        <v>#NAME?</v>
      </c>
      <c r="R14" s="386" t="e">
        <f ca="1"/>
        <v>#NAME?</v>
      </c>
    </row>
    <row r="15" spans="1:24" x14ac:dyDescent="0.25">
      <c r="A15" s="317">
        <v>20</v>
      </c>
      <c r="B15" s="332">
        <v>0</v>
      </c>
      <c r="C15" s="185">
        <v>2</v>
      </c>
      <c r="K15" t="e">
        <f ca="1"/>
        <v>#NAME?</v>
      </c>
      <c r="L15" t="e">
        <f ca="1"/>
        <v>#NAME?</v>
      </c>
      <c r="M15" t="e">
        <f ca="1"/>
        <v>#NAME?</v>
      </c>
      <c r="N15" t="e">
        <f ca="1"/>
        <v>#NAME?</v>
      </c>
      <c r="O15" t="e">
        <f ca="1"/>
        <v>#NAME?</v>
      </c>
      <c r="P15" t="e">
        <f ca="1"/>
        <v>#NAME?</v>
      </c>
      <c r="Q15" t="e">
        <f ca="1"/>
        <v>#NAME?</v>
      </c>
      <c r="R15" t="e">
        <f ca="1"/>
        <v>#NAME?</v>
      </c>
    </row>
    <row r="16" spans="1:24" x14ac:dyDescent="0.25">
      <c r="A16" s="317">
        <v>22</v>
      </c>
      <c r="B16" s="332">
        <v>1</v>
      </c>
      <c r="C16" s="185">
        <v>0</v>
      </c>
      <c r="K16" t="e">
        <f ca="1"/>
        <v>#NAME?</v>
      </c>
      <c r="L16" t="e">
        <f ca="1"/>
        <v>#NAME?</v>
      </c>
      <c r="M16" t="e">
        <f ca="1"/>
        <v>#NAME?</v>
      </c>
      <c r="N16" t="e">
        <f ca="1"/>
        <v>#NAME?</v>
      </c>
      <c r="O16" t="e">
        <f ca="1"/>
        <v>#NAME?</v>
      </c>
      <c r="P16" t="e">
        <f ca="1"/>
        <v>#NAME?</v>
      </c>
      <c r="Q16" t="e">
        <f ca="1"/>
        <v>#NAME?</v>
      </c>
      <c r="R16" t="e">
        <f ca="1"/>
        <v>#NAME?</v>
      </c>
    </row>
    <row r="17" spans="1:18" x14ac:dyDescent="0.25">
      <c r="A17" s="317">
        <v>20</v>
      </c>
      <c r="B17" s="332">
        <v>1</v>
      </c>
      <c r="C17" s="185">
        <v>1</v>
      </c>
      <c r="K17" s="354" t="e">
        <f ca="1"/>
        <v>#NAME?</v>
      </c>
      <c r="L17" s="354" t="e">
        <f ca="1"/>
        <v>#NAME?</v>
      </c>
      <c r="M17" s="354" t="e">
        <f ca="1"/>
        <v>#NAME?</v>
      </c>
      <c r="N17" s="354" t="e">
        <f ca="1"/>
        <v>#NAME?</v>
      </c>
      <c r="O17" s="354" t="e">
        <f ca="1"/>
        <v>#NAME?</v>
      </c>
      <c r="P17" s="354" t="e">
        <f ca="1"/>
        <v>#NAME?</v>
      </c>
      <c r="Q17" s="354" t="e">
        <f ca="1"/>
        <v>#NAME?</v>
      </c>
      <c r="R17" s="354" t="e">
        <f ca="1"/>
        <v>#NAME?</v>
      </c>
    </row>
    <row r="18" spans="1:18" x14ac:dyDescent="0.25">
      <c r="A18" s="317">
        <v>22</v>
      </c>
      <c r="B18" s="333">
        <v>0</v>
      </c>
      <c r="C18" s="185">
        <v>0</v>
      </c>
    </row>
    <row r="19" spans="1:18" x14ac:dyDescent="0.25">
      <c r="A19" s="317">
        <v>22</v>
      </c>
      <c r="B19" s="332">
        <v>0</v>
      </c>
      <c r="C19" s="185">
        <v>1</v>
      </c>
    </row>
    <row r="20" spans="1:18" x14ac:dyDescent="0.25">
      <c r="A20" s="317">
        <v>24</v>
      </c>
      <c r="B20" s="332">
        <v>1</v>
      </c>
      <c r="C20" s="185">
        <v>2</v>
      </c>
    </row>
    <row r="21" spans="1:18" x14ac:dyDescent="0.25">
      <c r="A21" s="317">
        <v>24</v>
      </c>
      <c r="B21" s="333">
        <v>0</v>
      </c>
      <c r="C21" s="185">
        <v>0</v>
      </c>
    </row>
    <row r="22" spans="1:18" x14ac:dyDescent="0.25">
      <c r="A22" s="317">
        <v>22</v>
      </c>
      <c r="B22" s="332">
        <v>1</v>
      </c>
      <c r="C22" s="185">
        <v>2</v>
      </c>
    </row>
    <row r="23" spans="1:18" x14ac:dyDescent="0.25">
      <c r="A23" s="317">
        <v>24</v>
      </c>
      <c r="B23" s="332">
        <v>1</v>
      </c>
      <c r="C23" s="185">
        <v>2</v>
      </c>
    </row>
    <row r="24" spans="1:18" x14ac:dyDescent="0.25">
      <c r="A24" s="317">
        <v>20</v>
      </c>
      <c r="B24" s="333">
        <v>0</v>
      </c>
      <c r="C24" s="185">
        <v>0</v>
      </c>
    </row>
    <row r="25" spans="1:18" x14ac:dyDescent="0.25">
      <c r="A25" s="317">
        <v>20</v>
      </c>
      <c r="B25" s="332">
        <v>1</v>
      </c>
      <c r="C25" s="185">
        <v>0</v>
      </c>
    </row>
    <row r="26" spans="1:18" x14ac:dyDescent="0.25">
      <c r="A26" s="317">
        <v>20</v>
      </c>
      <c r="B26" s="332">
        <v>0</v>
      </c>
      <c r="C26" s="185">
        <v>2</v>
      </c>
    </row>
    <row r="27" spans="1:18" x14ac:dyDescent="0.25">
      <c r="A27" s="317">
        <v>20</v>
      </c>
      <c r="B27" s="332">
        <v>1</v>
      </c>
      <c r="C27" s="185">
        <v>1</v>
      </c>
    </row>
    <row r="28" spans="1:18" x14ac:dyDescent="0.25">
      <c r="A28" s="317">
        <v>20</v>
      </c>
      <c r="B28" s="332">
        <v>1</v>
      </c>
      <c r="C28" s="185">
        <v>1</v>
      </c>
    </row>
    <row r="29" spans="1:18" x14ac:dyDescent="0.25">
      <c r="A29" s="317">
        <v>20</v>
      </c>
      <c r="B29" s="333">
        <v>0</v>
      </c>
      <c r="C29" s="185">
        <v>1</v>
      </c>
    </row>
    <row r="30" spans="1:18" x14ac:dyDescent="0.25">
      <c r="A30" s="317">
        <v>24</v>
      </c>
      <c r="B30" s="333">
        <v>0</v>
      </c>
      <c r="C30" s="185">
        <v>0</v>
      </c>
    </row>
    <row r="31" spans="1:18" x14ac:dyDescent="0.25">
      <c r="A31" s="317">
        <v>22</v>
      </c>
      <c r="B31" s="333">
        <v>0</v>
      </c>
      <c r="C31" s="185">
        <v>2</v>
      </c>
    </row>
    <row r="32" spans="1:18" x14ac:dyDescent="0.25">
      <c r="A32" s="317">
        <v>24</v>
      </c>
      <c r="B32" s="332">
        <v>1</v>
      </c>
      <c r="C32" s="185">
        <v>1</v>
      </c>
    </row>
    <row r="33" spans="1:3" x14ac:dyDescent="0.25">
      <c r="A33" s="317">
        <v>24</v>
      </c>
      <c r="B33" s="333">
        <v>0</v>
      </c>
      <c r="C33" s="185">
        <v>1</v>
      </c>
    </row>
    <row r="34" spans="1:3" x14ac:dyDescent="0.25">
      <c r="A34" s="317">
        <v>22</v>
      </c>
      <c r="B34" s="332">
        <v>1</v>
      </c>
      <c r="C34" s="185">
        <v>2</v>
      </c>
    </row>
    <row r="35" spans="1:3" x14ac:dyDescent="0.25">
      <c r="A35" s="317">
        <v>22</v>
      </c>
      <c r="B35" s="333">
        <v>0</v>
      </c>
      <c r="C35" s="185">
        <v>2</v>
      </c>
    </row>
    <row r="36" spans="1:3" x14ac:dyDescent="0.25">
      <c r="A36" s="317">
        <v>22</v>
      </c>
      <c r="B36" s="333">
        <v>0</v>
      </c>
      <c r="C36" s="185">
        <v>1</v>
      </c>
    </row>
    <row r="37" spans="1:3" x14ac:dyDescent="0.25">
      <c r="A37" s="317">
        <v>20</v>
      </c>
      <c r="B37" s="332">
        <v>1</v>
      </c>
      <c r="C37" s="185">
        <v>0</v>
      </c>
    </row>
    <row r="38" spans="1:3" x14ac:dyDescent="0.25">
      <c r="A38" s="317">
        <v>24</v>
      </c>
      <c r="B38" s="332">
        <v>1</v>
      </c>
      <c r="C38" s="185">
        <v>2</v>
      </c>
    </row>
    <row r="39" spans="1:3" x14ac:dyDescent="0.25">
      <c r="A39" s="317">
        <v>24</v>
      </c>
      <c r="B39" s="333">
        <v>0</v>
      </c>
      <c r="C39" s="185">
        <v>0</v>
      </c>
    </row>
    <row r="40" spans="1:3" x14ac:dyDescent="0.25">
      <c r="A40" s="317">
        <v>22</v>
      </c>
      <c r="B40" s="332">
        <v>1</v>
      </c>
      <c r="C40" s="185">
        <v>1</v>
      </c>
    </row>
    <row r="41" spans="1:3" x14ac:dyDescent="0.25">
      <c r="A41" s="317">
        <v>20</v>
      </c>
      <c r="B41" s="333">
        <v>0</v>
      </c>
      <c r="C41" s="185">
        <v>1</v>
      </c>
    </row>
    <row r="42" spans="1:3" x14ac:dyDescent="0.25">
      <c r="A42" s="317">
        <v>22</v>
      </c>
      <c r="B42" s="332">
        <v>0</v>
      </c>
      <c r="C42" s="185">
        <v>2</v>
      </c>
    </row>
    <row r="43" spans="1:3" x14ac:dyDescent="0.25">
      <c r="A43" s="317">
        <v>22</v>
      </c>
      <c r="B43" s="332">
        <v>1</v>
      </c>
      <c r="C43" s="185">
        <v>0</v>
      </c>
    </row>
    <row r="44" spans="1:3" x14ac:dyDescent="0.25">
      <c r="A44" s="317">
        <v>20</v>
      </c>
      <c r="B44" s="332">
        <v>1</v>
      </c>
      <c r="C44" s="185">
        <v>1</v>
      </c>
    </row>
    <row r="45" spans="1:3" x14ac:dyDescent="0.25">
      <c r="A45" s="317">
        <v>20</v>
      </c>
      <c r="B45" s="332">
        <v>1</v>
      </c>
      <c r="C45" s="185">
        <v>2</v>
      </c>
    </row>
    <row r="46" spans="1:3" x14ac:dyDescent="0.25">
      <c r="A46" s="317">
        <v>22</v>
      </c>
      <c r="B46" s="332">
        <v>1</v>
      </c>
      <c r="C46" s="185">
        <v>1</v>
      </c>
    </row>
    <row r="47" spans="1:3" x14ac:dyDescent="0.25">
      <c r="A47" s="317">
        <v>24</v>
      </c>
      <c r="B47" s="333">
        <v>0</v>
      </c>
      <c r="C47" s="185">
        <v>1</v>
      </c>
    </row>
    <row r="48" spans="1:3" x14ac:dyDescent="0.25">
      <c r="A48" s="317">
        <v>20</v>
      </c>
      <c r="B48" s="332">
        <v>1</v>
      </c>
      <c r="C48" s="185">
        <v>1</v>
      </c>
    </row>
    <row r="49" spans="1:3" x14ac:dyDescent="0.25">
      <c r="A49" s="317">
        <v>20</v>
      </c>
      <c r="B49" s="332">
        <v>0</v>
      </c>
      <c r="C49" s="185">
        <v>1</v>
      </c>
    </row>
    <row r="50" spans="1:3" x14ac:dyDescent="0.25">
      <c r="A50" s="317">
        <v>24</v>
      </c>
      <c r="B50" s="332">
        <v>1</v>
      </c>
      <c r="C50" s="185">
        <v>0</v>
      </c>
    </row>
    <row r="51" spans="1:3" x14ac:dyDescent="0.25">
      <c r="A51" s="317">
        <v>24</v>
      </c>
      <c r="B51" s="332">
        <v>1</v>
      </c>
      <c r="C51" s="185">
        <v>0</v>
      </c>
    </row>
    <row r="52" spans="1:3" x14ac:dyDescent="0.25">
      <c r="A52" s="317">
        <v>22</v>
      </c>
      <c r="B52" s="332">
        <v>0</v>
      </c>
      <c r="C52" s="185">
        <v>1</v>
      </c>
    </row>
    <row r="53" spans="1:3" x14ac:dyDescent="0.25">
      <c r="A53" s="320">
        <v>24</v>
      </c>
      <c r="B53" s="372">
        <v>1</v>
      </c>
      <c r="C53" s="12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P30"/>
  <sheetViews>
    <sheetView workbookViewId="0"/>
  </sheetViews>
  <sheetFormatPr defaultRowHeight="15" x14ac:dyDescent="0.25"/>
  <sheetData>
    <row r="1" spans="1:16" x14ac:dyDescent="0.25">
      <c r="A1" s="1" t="s">
        <v>854</v>
      </c>
    </row>
    <row r="2" spans="1:16" x14ac:dyDescent="0.25">
      <c r="A2" t="s">
        <v>912</v>
      </c>
      <c r="N2" s="14" t="s">
        <v>920</v>
      </c>
    </row>
    <row r="4" spans="1:16" x14ac:dyDescent="0.25">
      <c r="A4" s="294" t="s">
        <v>913</v>
      </c>
      <c r="B4" s="294" t="s">
        <v>914</v>
      </c>
      <c r="C4" s="294" t="s">
        <v>863</v>
      </c>
      <c r="D4" s="294" t="s">
        <v>81</v>
      </c>
      <c r="E4" s="294" t="s">
        <v>862</v>
      </c>
      <c r="G4" s="12" t="e">
        <f t="array" aca="1" ref="G4:L16" ca="1">MLogitSelect(A4:E16,2,"1,2,1*2",TRUE)</f>
        <v>#NAME?</v>
      </c>
      <c r="H4" s="12" t="e">
        <f ca="1"/>
        <v>#NAME?</v>
      </c>
      <c r="I4" s="12" t="e">
        <f ca="1"/>
        <v>#NAME?</v>
      </c>
      <c r="J4" s="12" t="e">
        <f ca="1"/>
        <v>#NAME?</v>
      </c>
      <c r="K4" s="12" t="e">
        <f ca="1"/>
        <v>#NAME?</v>
      </c>
      <c r="L4" s="12" t="e">
        <f ca="1"/>
        <v>#NAME?</v>
      </c>
      <c r="N4" t="e">
        <f t="array" aca="1" ref="N4:P8" ca="1">MLogitCoeff(MLogitSelect(A4:E16,2,"1,2,1*2",TRUE),2,TRUE,TRUE)</f>
        <v>#NAME?</v>
      </c>
      <c r="O4" t="e">
        <f ca="1"/>
        <v>#NAME?</v>
      </c>
      <c r="P4" t="e">
        <f ca="1"/>
        <v>#NAME?</v>
      </c>
    </row>
    <row r="5" spans="1:16" x14ac:dyDescent="0.25">
      <c r="A5" s="366">
        <v>20</v>
      </c>
      <c r="B5" s="381">
        <v>0</v>
      </c>
      <c r="C5" s="373">
        <v>13</v>
      </c>
      <c r="D5" s="382">
        <v>0</v>
      </c>
      <c r="E5" s="383">
        <v>8</v>
      </c>
      <c r="G5" s="3" t="e">
        <f ca="1"/>
        <v>#NAME?</v>
      </c>
      <c r="H5" s="387" t="e">
        <f ca="1"/>
        <v>#NAME?</v>
      </c>
      <c r="I5" s="387" t="e">
        <f ca="1"/>
        <v>#NAME?</v>
      </c>
      <c r="J5" s="387" t="e">
        <f ca="1"/>
        <v>#NAME?</v>
      </c>
      <c r="K5" s="387" t="e">
        <f ca="1"/>
        <v>#NAME?</v>
      </c>
      <c r="L5" s="5" t="e">
        <f ca="1"/>
        <v>#NAME?</v>
      </c>
      <c r="N5" t="e">
        <f ca="1"/>
        <v>#NAME?</v>
      </c>
      <c r="O5" s="3" t="e">
        <f ca="1"/>
        <v>#NAME?</v>
      </c>
      <c r="P5" s="5" t="e">
        <f ca="1"/>
        <v>#NAME?</v>
      </c>
    </row>
    <row r="6" spans="1:16" x14ac:dyDescent="0.25">
      <c r="A6" s="317">
        <v>21</v>
      </c>
      <c r="B6" s="318">
        <v>0</v>
      </c>
      <c r="C6" s="255">
        <v>60</v>
      </c>
      <c r="D6" s="46">
        <v>6</v>
      </c>
      <c r="E6" s="384">
        <v>30</v>
      </c>
      <c r="G6" s="214" t="e">
        <f ca="1"/>
        <v>#NAME?</v>
      </c>
      <c r="H6" s="7" t="e">
        <f ca="1"/>
        <v>#NAME?</v>
      </c>
      <c r="I6" s="7" t="e">
        <f ca="1"/>
        <v>#NAME?</v>
      </c>
      <c r="J6" s="7" t="e">
        <f ca="1"/>
        <v>#NAME?</v>
      </c>
      <c r="K6" s="7" t="e">
        <f ca="1"/>
        <v>#NAME?</v>
      </c>
      <c r="L6" s="215" t="e">
        <f ca="1"/>
        <v>#NAME?</v>
      </c>
      <c r="N6" t="e">
        <f ca="1"/>
        <v>#NAME?</v>
      </c>
      <c r="O6" s="214" t="e">
        <f ca="1"/>
        <v>#NAME?</v>
      </c>
      <c r="P6" s="215" t="e">
        <f ca="1"/>
        <v>#NAME?</v>
      </c>
    </row>
    <row r="7" spans="1:16" x14ac:dyDescent="0.25">
      <c r="A7" s="317">
        <v>22</v>
      </c>
      <c r="B7" s="318">
        <v>0</v>
      </c>
      <c r="C7" s="255">
        <v>61</v>
      </c>
      <c r="D7" s="46">
        <v>13</v>
      </c>
      <c r="E7" s="384">
        <v>40</v>
      </c>
      <c r="G7" s="214" t="e">
        <f ca="1"/>
        <v>#NAME?</v>
      </c>
      <c r="H7" s="7" t="e">
        <f ca="1"/>
        <v>#NAME?</v>
      </c>
      <c r="I7" s="7" t="e">
        <f ca="1"/>
        <v>#NAME?</v>
      </c>
      <c r="J7" s="7" t="e">
        <f ca="1"/>
        <v>#NAME?</v>
      </c>
      <c r="K7" s="7" t="e">
        <f ca="1"/>
        <v>#NAME?</v>
      </c>
      <c r="L7" s="215" t="e">
        <f ca="1"/>
        <v>#NAME?</v>
      </c>
      <c r="N7" t="e">
        <f ca="1"/>
        <v>#NAME?</v>
      </c>
      <c r="O7" s="214" t="e">
        <f ca="1"/>
        <v>#NAME?</v>
      </c>
      <c r="P7" s="215" t="e">
        <f ca="1"/>
        <v>#NAME?</v>
      </c>
    </row>
    <row r="8" spans="1:16" x14ac:dyDescent="0.25">
      <c r="A8" s="317">
        <v>23</v>
      </c>
      <c r="B8" s="319">
        <v>0</v>
      </c>
      <c r="C8" s="255">
        <v>49</v>
      </c>
      <c r="D8" s="46">
        <v>60</v>
      </c>
      <c r="E8" s="384">
        <v>25</v>
      </c>
      <c r="G8" s="214" t="e">
        <f ca="1"/>
        <v>#NAME?</v>
      </c>
      <c r="H8" s="7" t="e">
        <f ca="1"/>
        <v>#NAME?</v>
      </c>
      <c r="I8" s="7" t="e">
        <f ca="1"/>
        <v>#NAME?</v>
      </c>
      <c r="J8" s="7" t="e">
        <f ca="1"/>
        <v>#NAME?</v>
      </c>
      <c r="K8" s="7" t="e">
        <f ca="1"/>
        <v>#NAME?</v>
      </c>
      <c r="L8" s="215" t="e">
        <f ca="1"/>
        <v>#NAME?</v>
      </c>
      <c r="N8" t="e">
        <f ca="1"/>
        <v>#NAME?</v>
      </c>
      <c r="O8" s="112" t="e">
        <f ca="1"/>
        <v>#NAME?</v>
      </c>
      <c r="P8" s="120" t="e">
        <f ca="1"/>
        <v>#NAME?</v>
      </c>
    </row>
    <row r="9" spans="1:16" x14ac:dyDescent="0.25">
      <c r="A9" s="317">
        <v>24</v>
      </c>
      <c r="B9" s="319">
        <v>0</v>
      </c>
      <c r="C9" s="255">
        <v>8</v>
      </c>
      <c r="D9" s="46">
        <v>29</v>
      </c>
      <c r="E9" s="384">
        <v>15</v>
      </c>
      <c r="G9" s="214" t="e">
        <f ca="1"/>
        <v>#NAME?</v>
      </c>
      <c r="H9" s="7" t="e">
        <f ca="1"/>
        <v>#NAME?</v>
      </c>
      <c r="I9" s="7" t="e">
        <f ca="1"/>
        <v>#NAME?</v>
      </c>
      <c r="J9" s="7" t="e">
        <f ca="1"/>
        <v>#NAME?</v>
      </c>
      <c r="K9" s="7" t="e">
        <f ca="1"/>
        <v>#NAME?</v>
      </c>
      <c r="L9" s="215" t="e">
        <f ca="1"/>
        <v>#NAME?</v>
      </c>
    </row>
    <row r="10" spans="1:16" x14ac:dyDescent="0.25">
      <c r="A10" s="317">
        <v>25</v>
      </c>
      <c r="B10" s="319">
        <v>0</v>
      </c>
      <c r="C10" s="214">
        <v>4</v>
      </c>
      <c r="D10" s="7">
        <v>20</v>
      </c>
      <c r="E10" s="384">
        <v>8</v>
      </c>
      <c r="G10" s="214" t="e">
        <f ca="1"/>
        <v>#NAME?</v>
      </c>
      <c r="H10" s="7" t="e">
        <f ca="1"/>
        <v>#NAME?</v>
      </c>
      <c r="I10" s="7" t="e">
        <f ca="1"/>
        <v>#NAME?</v>
      </c>
      <c r="J10" s="7" t="e">
        <f ca="1"/>
        <v>#NAME?</v>
      </c>
      <c r="K10" s="7" t="e">
        <f ca="1"/>
        <v>#NAME?</v>
      </c>
      <c r="L10" s="215" t="e">
        <f ca="1"/>
        <v>#NAME?</v>
      </c>
      <c r="N10" s="14" t="s">
        <v>923</v>
      </c>
    </row>
    <row r="11" spans="1:16" x14ac:dyDescent="0.25">
      <c r="A11" s="317">
        <v>20</v>
      </c>
      <c r="B11" s="319">
        <v>1</v>
      </c>
      <c r="C11" s="255">
        <v>16</v>
      </c>
      <c r="D11" s="46">
        <v>4</v>
      </c>
      <c r="E11" s="384">
        <v>2</v>
      </c>
      <c r="G11" s="214" t="e">
        <f ca="1"/>
        <v>#NAME?</v>
      </c>
      <c r="H11" s="7" t="e">
        <f ca="1"/>
        <v>#NAME?</v>
      </c>
      <c r="I11" s="7" t="e">
        <f ca="1"/>
        <v>#NAME?</v>
      </c>
      <c r="J11" s="7" t="e">
        <f ca="1"/>
        <v>#NAME?</v>
      </c>
      <c r="K11" s="7" t="e">
        <f ca="1"/>
        <v>#NAME?</v>
      </c>
      <c r="L11" s="215" t="e">
        <f ca="1"/>
        <v>#NAME?</v>
      </c>
    </row>
    <row r="12" spans="1:16" x14ac:dyDescent="0.25">
      <c r="A12" s="317">
        <v>21</v>
      </c>
      <c r="B12" s="319">
        <v>1</v>
      </c>
      <c r="C12" s="255">
        <v>67</v>
      </c>
      <c r="D12" s="46">
        <v>9</v>
      </c>
      <c r="E12" s="384">
        <v>8</v>
      </c>
      <c r="G12" s="214" t="e">
        <f ca="1"/>
        <v>#NAME?</v>
      </c>
      <c r="H12" s="7" t="e">
        <f ca="1"/>
        <v>#NAME?</v>
      </c>
      <c r="I12" s="7" t="e">
        <f ca="1"/>
        <v>#NAME?</v>
      </c>
      <c r="J12" s="7" t="e">
        <f ca="1"/>
        <v>#NAME?</v>
      </c>
      <c r="K12" s="7" t="e">
        <f ca="1"/>
        <v>#NAME?</v>
      </c>
      <c r="L12" s="215" t="e">
        <f ca="1"/>
        <v>#NAME?</v>
      </c>
      <c r="O12" s="397" t="e">
        <f t="array" aca="1" ref="O12:P15" ca="1">MLogitCoeff(MLogitSelect(A4:E16,2,"1,2,1*2",TRUE),2,,TRUE)</f>
        <v>#NAME?</v>
      </c>
      <c r="P12" s="398" t="e">
        <f ca="1"/>
        <v>#NAME?</v>
      </c>
    </row>
    <row r="13" spans="1:16" x14ac:dyDescent="0.25">
      <c r="A13" s="317">
        <v>22</v>
      </c>
      <c r="B13" s="319">
        <v>1</v>
      </c>
      <c r="C13" s="255">
        <v>55</v>
      </c>
      <c r="D13" s="46">
        <v>20</v>
      </c>
      <c r="E13" s="384">
        <v>14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7" t="e">
        <f ca="1"/>
        <v>#NAME?</v>
      </c>
      <c r="K13" s="7" t="e">
        <f ca="1"/>
        <v>#NAME?</v>
      </c>
      <c r="L13" s="215" t="e">
        <f ca="1"/>
        <v>#NAME?</v>
      </c>
      <c r="O13" s="399" t="e">
        <f ca="1"/>
        <v>#NAME?</v>
      </c>
      <c r="P13" s="400" t="e">
        <f ca="1"/>
        <v>#NAME?</v>
      </c>
    </row>
    <row r="14" spans="1:16" x14ac:dyDescent="0.25">
      <c r="A14" s="317">
        <v>23</v>
      </c>
      <c r="B14" s="319">
        <v>1</v>
      </c>
      <c r="C14" s="255">
        <v>49</v>
      </c>
      <c r="D14" s="46">
        <v>55</v>
      </c>
      <c r="E14" s="384">
        <v>20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7" t="e">
        <f ca="1"/>
        <v>#NAME?</v>
      </c>
      <c r="K14" s="7" t="e">
        <f ca="1"/>
        <v>#NAME?</v>
      </c>
      <c r="L14" s="215" t="e">
        <f ca="1"/>
        <v>#NAME?</v>
      </c>
      <c r="O14" s="399" t="e">
        <f ca="1"/>
        <v>#NAME?</v>
      </c>
      <c r="P14" s="400" t="e">
        <f ca="1"/>
        <v>#NAME?</v>
      </c>
    </row>
    <row r="15" spans="1:16" x14ac:dyDescent="0.25">
      <c r="A15" s="317">
        <v>24</v>
      </c>
      <c r="B15" s="319">
        <v>1</v>
      </c>
      <c r="C15" s="255">
        <v>12</v>
      </c>
      <c r="D15" s="46">
        <v>36</v>
      </c>
      <c r="E15" s="384">
        <v>15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7" t="e">
        <f ca="1"/>
        <v>#NAME?</v>
      </c>
      <c r="K15" s="7" t="e">
        <f ca="1"/>
        <v>#NAME?</v>
      </c>
      <c r="L15" s="215" t="e">
        <f ca="1"/>
        <v>#NAME?</v>
      </c>
      <c r="O15" s="401" t="e">
        <f ca="1"/>
        <v>#NAME?</v>
      </c>
      <c r="P15" s="402" t="e">
        <f ca="1"/>
        <v>#NAME?</v>
      </c>
    </row>
    <row r="16" spans="1:16" x14ac:dyDescent="0.25">
      <c r="A16" s="320">
        <v>25</v>
      </c>
      <c r="B16" s="321">
        <v>1</v>
      </c>
      <c r="C16" s="112">
        <v>6</v>
      </c>
      <c r="D16" s="354">
        <v>18</v>
      </c>
      <c r="E16" s="385">
        <v>5</v>
      </c>
      <c r="G16" s="112" t="e">
        <f ca="1"/>
        <v>#NAME?</v>
      </c>
      <c r="H16" s="354" t="e">
        <f ca="1"/>
        <v>#NAME?</v>
      </c>
      <c r="I16" s="354" t="e">
        <f ca="1"/>
        <v>#NAME?</v>
      </c>
      <c r="J16" s="354" t="e">
        <f ca="1"/>
        <v>#NAME?</v>
      </c>
      <c r="K16" s="354" t="e">
        <f ca="1"/>
        <v>#NAME?</v>
      </c>
      <c r="L16" s="120" t="e">
        <f ca="1"/>
        <v>#NAME?</v>
      </c>
    </row>
    <row r="17" spans="3:16" x14ac:dyDescent="0.25">
      <c r="C17">
        <f>SUM(C5:C16)</f>
        <v>400</v>
      </c>
      <c r="D17">
        <f>SUM(D5:D16)</f>
        <v>270</v>
      </c>
      <c r="E17">
        <f>SUM(E5:E16)</f>
        <v>190</v>
      </c>
      <c r="N17" s="14" t="s">
        <v>921</v>
      </c>
    </row>
    <row r="19" spans="3:16" x14ac:dyDescent="0.25">
      <c r="N19" t="e">
        <f t="array" aca="1" ref="N19:P23" ca="1">MLogitCoeff(MLogitSelect(A5:E16,2,"1,2,1*2"),2,TRUE)</f>
        <v>#NAME?</v>
      </c>
      <c r="O19" t="e">
        <f ca="1"/>
        <v>#NAME?</v>
      </c>
      <c r="P19" t="e">
        <f ca="1"/>
        <v>#NAME?</v>
      </c>
    </row>
    <row r="20" spans="3:16" x14ac:dyDescent="0.25">
      <c r="N20" t="e">
        <f ca="1"/>
        <v>#NAME?</v>
      </c>
      <c r="O20" s="3" t="e">
        <f ca="1"/>
        <v>#NAME?</v>
      </c>
      <c r="P20" s="5" t="e">
        <f ca="1"/>
        <v>#NAME?</v>
      </c>
    </row>
    <row r="21" spans="3:16" x14ac:dyDescent="0.25">
      <c r="N21" t="e">
        <f ca="1"/>
        <v>#NAME?</v>
      </c>
      <c r="O21" s="214" t="e">
        <f ca="1"/>
        <v>#NAME?</v>
      </c>
      <c r="P21" s="215" t="e">
        <f ca="1"/>
        <v>#NAME?</v>
      </c>
    </row>
    <row r="22" spans="3:16" x14ac:dyDescent="0.25">
      <c r="N22" t="e">
        <f ca="1"/>
        <v>#NAME?</v>
      </c>
      <c r="O22" s="214" t="e">
        <f ca="1"/>
        <v>#NAME?</v>
      </c>
      <c r="P22" s="215" t="e">
        <f ca="1"/>
        <v>#NAME?</v>
      </c>
    </row>
    <row r="23" spans="3:16" x14ac:dyDescent="0.25">
      <c r="N23" t="e">
        <f ca="1"/>
        <v>#NAME?</v>
      </c>
      <c r="O23" s="112" t="e">
        <f ca="1"/>
        <v>#NAME?</v>
      </c>
      <c r="P23" s="120" t="e">
        <f ca="1"/>
        <v>#NAME?</v>
      </c>
    </row>
    <row r="25" spans="3:16" x14ac:dyDescent="0.25">
      <c r="N25" s="14" t="s">
        <v>922</v>
      </c>
    </row>
    <row r="27" spans="3:16" x14ac:dyDescent="0.25">
      <c r="O27" s="3" t="e">
        <f t="array" aca="1" ref="O27:P30" ca="1">MLogitCoeff(MLogitSelect(A5:E16,2,"1,2,1*2"),2)</f>
        <v>#NAME?</v>
      </c>
      <c r="P27" s="5" t="e">
        <f ca="1"/>
        <v>#NAME?</v>
      </c>
    </row>
    <row r="28" spans="3:16" x14ac:dyDescent="0.25">
      <c r="O28" s="214" t="e">
        <f ca="1"/>
        <v>#NAME?</v>
      </c>
      <c r="P28" s="215" t="e">
        <f ca="1"/>
        <v>#NAME?</v>
      </c>
    </row>
    <row r="29" spans="3:16" x14ac:dyDescent="0.25">
      <c r="O29" s="214" t="e">
        <f ca="1"/>
        <v>#NAME?</v>
      </c>
      <c r="P29" s="215" t="e">
        <f ca="1"/>
        <v>#NAME?</v>
      </c>
    </row>
    <row r="30" spans="3:16" x14ac:dyDescent="0.25">
      <c r="O30" s="112" t="e">
        <f ca="1"/>
        <v>#NAME?</v>
      </c>
      <c r="P30" s="120" t="e">
        <f ca="1"/>
        <v>#NAME?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AL35"/>
  <sheetViews>
    <sheetView zoomScale="99" zoomScaleNormal="99" workbookViewId="0"/>
  </sheetViews>
  <sheetFormatPr defaultRowHeight="15" x14ac:dyDescent="0.25"/>
  <cols>
    <col min="1" max="5" width="9.140625" customWidth="1"/>
    <col min="7" max="7" width="9.140625" customWidth="1"/>
    <col min="9" max="15" width="9.140625" customWidth="1"/>
    <col min="30" max="31" width="9.140625" customWidth="1"/>
    <col min="32" max="32" width="4.140625" customWidth="1"/>
  </cols>
  <sheetData>
    <row r="1" spans="1:38" x14ac:dyDescent="0.25">
      <c r="A1" s="1" t="s">
        <v>930</v>
      </c>
    </row>
    <row r="2" spans="1:38" x14ac:dyDescent="0.25">
      <c r="A2" s="15" t="s">
        <v>937</v>
      </c>
    </row>
    <row r="3" spans="1:38" ht="15.75" thickBot="1" x14ac:dyDescent="0.3">
      <c r="I3" s="772" t="s">
        <v>892</v>
      </c>
      <c r="J3" s="772"/>
      <c r="K3" s="772" t="s">
        <v>77</v>
      </c>
      <c r="L3" s="772"/>
      <c r="M3" s="772"/>
      <c r="N3" s="772"/>
      <c r="O3" s="772"/>
      <c r="P3" s="772" t="s">
        <v>93</v>
      </c>
      <c r="Q3" s="772"/>
      <c r="R3" s="772"/>
      <c r="S3" s="772" t="s">
        <v>931</v>
      </c>
      <c r="T3" s="772"/>
      <c r="U3" s="772"/>
      <c r="V3" s="772" t="s">
        <v>894</v>
      </c>
      <c r="W3" s="772"/>
      <c r="X3" s="772"/>
      <c r="Y3" s="772"/>
      <c r="Z3" s="772" t="s">
        <v>893</v>
      </c>
      <c r="AA3" s="772"/>
      <c r="AB3" s="772"/>
      <c r="AC3" s="772"/>
      <c r="AD3" s="772" t="s">
        <v>891</v>
      </c>
      <c r="AE3" s="772"/>
      <c r="AG3" s="773" t="s">
        <v>129</v>
      </c>
      <c r="AH3" s="773"/>
      <c r="AI3" s="773"/>
    </row>
    <row r="4" spans="1:38" ht="15.75" thickTop="1" x14ac:dyDescent="0.25">
      <c r="A4" s="12" t="s">
        <v>932</v>
      </c>
      <c r="B4" s="12" t="s">
        <v>933</v>
      </c>
      <c r="C4">
        <v>1</v>
      </c>
      <c r="D4">
        <v>2</v>
      </c>
      <c r="E4">
        <v>3</v>
      </c>
      <c r="F4">
        <v>4</v>
      </c>
      <c r="G4" s="12" t="s">
        <v>934</v>
      </c>
      <c r="I4" s="386" t="str">
        <f t="shared" ref="I4:N12" si="0">A4</f>
        <v>gender</v>
      </c>
      <c r="J4" s="386" t="str">
        <f t="shared" si="0"/>
        <v>age</v>
      </c>
      <c r="K4" s="386">
        <f t="shared" si="0"/>
        <v>1</v>
      </c>
      <c r="L4" s="386">
        <f t="shared" si="0"/>
        <v>2</v>
      </c>
      <c r="M4" s="386">
        <f t="shared" si="0"/>
        <v>3</v>
      </c>
      <c r="N4" s="386">
        <f t="shared" si="0"/>
        <v>4</v>
      </c>
      <c r="O4" s="386" t="s">
        <v>1</v>
      </c>
      <c r="P4" s="386">
        <f>K4</f>
        <v>1</v>
      </c>
      <c r="Q4" s="386">
        <f>L4</f>
        <v>2</v>
      </c>
      <c r="R4" s="386">
        <f>M4</f>
        <v>3</v>
      </c>
      <c r="S4" s="386">
        <f>K4</f>
        <v>1</v>
      </c>
      <c r="T4" s="386">
        <f>L4</f>
        <v>2</v>
      </c>
      <c r="U4" s="386">
        <f>M4</f>
        <v>3</v>
      </c>
      <c r="V4" s="386">
        <f>K4</f>
        <v>1</v>
      </c>
      <c r="W4" s="386">
        <f>L4</f>
        <v>2</v>
      </c>
      <c r="X4" s="386">
        <f>M4</f>
        <v>3</v>
      </c>
      <c r="Y4" s="386">
        <f>N4</f>
        <v>4</v>
      </c>
      <c r="Z4" s="386">
        <f>V4</f>
        <v>1</v>
      </c>
      <c r="AA4" s="386">
        <f>W4</f>
        <v>2</v>
      </c>
      <c r="AB4" s="386">
        <f>X4</f>
        <v>3</v>
      </c>
      <c r="AC4" s="386">
        <f>Y4</f>
        <v>4</v>
      </c>
      <c r="AD4" s="386" t="s">
        <v>626</v>
      </c>
      <c r="AE4" s="386" t="s">
        <v>860</v>
      </c>
    </row>
    <row r="5" spans="1:38" x14ac:dyDescent="0.25">
      <c r="A5" s="344">
        <v>0</v>
      </c>
      <c r="B5" s="387">
        <v>0</v>
      </c>
      <c r="C5" s="344">
        <v>3</v>
      </c>
      <c r="D5" s="387">
        <v>9</v>
      </c>
      <c r="E5" s="387">
        <v>18</v>
      </c>
      <c r="F5" s="347">
        <v>24</v>
      </c>
      <c r="G5" s="391">
        <f>SUM(C5:F5)</f>
        <v>54</v>
      </c>
      <c r="I5">
        <f>A5</f>
        <v>0</v>
      </c>
      <c r="J5">
        <f>B5</f>
        <v>0</v>
      </c>
      <c r="K5" s="344">
        <f t="shared" si="0"/>
        <v>3</v>
      </c>
      <c r="L5" s="387">
        <f t="shared" si="0"/>
        <v>9</v>
      </c>
      <c r="M5" s="387">
        <f t="shared" si="0"/>
        <v>18</v>
      </c>
      <c r="N5" s="387">
        <f t="shared" si="0"/>
        <v>24</v>
      </c>
      <c r="O5" s="391">
        <f>SUM(K5:N5)</f>
        <v>54</v>
      </c>
      <c r="P5" s="344" t="e">
        <f ca="1">EXP(AG$5+MMULT($I5:$J5,AG$6:AG$7))</f>
        <v>#NAME?</v>
      </c>
      <c r="Q5" s="387" t="e">
        <f t="shared" ref="Q5:R12" ca="1" si="1">EXP(AH$5+MMULT($I5:$J5,AH$6:AH$7))</f>
        <v>#NAME?</v>
      </c>
      <c r="R5" s="347" t="e">
        <f t="shared" ca="1" si="1"/>
        <v>#NAME?</v>
      </c>
      <c r="S5" s="344" t="e">
        <f t="shared" ref="S5:U12" ca="1" si="2">P5/(1+P5)</f>
        <v>#NAME?</v>
      </c>
      <c r="T5" s="387" t="e">
        <f ca="1">Q5/(1+Q5)</f>
        <v>#NAME?</v>
      </c>
      <c r="U5" s="347" t="e">
        <f t="shared" ca="1" si="2"/>
        <v>#NAME?</v>
      </c>
      <c r="V5" s="344" t="e">
        <f t="shared" ref="V5:V12" ca="1" si="3">S5</f>
        <v>#NAME?</v>
      </c>
      <c r="W5" s="387" t="e">
        <f ca="1">T5-S5</f>
        <v>#NAME?</v>
      </c>
      <c r="X5" s="387" t="e">
        <f ca="1">U5-T5</f>
        <v>#NAME?</v>
      </c>
      <c r="Y5" s="347" t="e">
        <f t="shared" ref="Y5:Y12" ca="1" si="4">1-U5</f>
        <v>#NAME?</v>
      </c>
      <c r="Z5" s="344" t="e">
        <f ca="1">V5*$O5</f>
        <v>#NAME?</v>
      </c>
      <c r="AA5" s="387" t="e">
        <f t="shared" ref="AA5:AC12" ca="1" si="5">W5*$O5</f>
        <v>#NAME?</v>
      </c>
      <c r="AB5" s="387" t="e">
        <f t="shared" ca="1" si="5"/>
        <v>#NAME?</v>
      </c>
      <c r="AC5" s="347" t="e">
        <f t="shared" ca="1" si="5"/>
        <v>#NAME?</v>
      </c>
      <c r="AD5" s="7" t="e">
        <f ca="1">SUMPRODUCT(K5:N5,LN(V5:Y5))</f>
        <v>#NAME?</v>
      </c>
      <c r="AE5">
        <f>GAMMALN(O5+1)-SUMPRODUCT(GAMMALN(K5:N5+1))</f>
        <v>58.546350707740302</v>
      </c>
      <c r="AG5" s="344" t="e">
        <f ca="1">F16</f>
        <v>#NAME?</v>
      </c>
      <c r="AH5" s="391" t="e">
        <f ca="1">M16</f>
        <v>#NAME?</v>
      </c>
      <c r="AI5" s="347" t="e">
        <f ca="1">T16</f>
        <v>#NAME?</v>
      </c>
      <c r="AK5" t="s">
        <v>625</v>
      </c>
      <c r="AL5" s="380">
        <f>SUMPRODUCT(K13:N13,LN(K13:N13/O13))+AE13</f>
        <v>-58.714364607210314</v>
      </c>
    </row>
    <row r="6" spans="1:38" x14ac:dyDescent="0.25">
      <c r="A6" s="214">
        <v>0</v>
      </c>
      <c r="B6" s="7">
        <v>1</v>
      </c>
      <c r="C6" s="214">
        <v>6</v>
      </c>
      <c r="D6" s="7">
        <v>13</v>
      </c>
      <c r="E6" s="7">
        <v>16</v>
      </c>
      <c r="F6" s="215">
        <v>28</v>
      </c>
      <c r="G6" s="185">
        <f t="shared" ref="G6:G13" si="6">SUM(C6:F6)</f>
        <v>63</v>
      </c>
      <c r="I6">
        <f t="shared" ref="I6:J12" si="7">A6</f>
        <v>0</v>
      </c>
      <c r="J6">
        <f t="shared" si="7"/>
        <v>1</v>
      </c>
      <c r="K6" s="214">
        <f t="shared" si="0"/>
        <v>6</v>
      </c>
      <c r="L6" s="7">
        <f t="shared" si="0"/>
        <v>13</v>
      </c>
      <c r="M6" s="7">
        <f t="shared" si="0"/>
        <v>16</v>
      </c>
      <c r="N6" s="7">
        <f t="shared" si="0"/>
        <v>28</v>
      </c>
      <c r="O6" s="185">
        <f t="shared" ref="O6:O12" si="8">SUM(K6:N6)</f>
        <v>63</v>
      </c>
      <c r="P6" s="214" t="e">
        <f t="shared" ref="P6:P12" ca="1" si="9">EXP(AG$5+MMULT($I6:$J6,AG$6:AG$7))</f>
        <v>#NAME?</v>
      </c>
      <c r="Q6" s="7" t="e">
        <f t="shared" ca="1" si="1"/>
        <v>#NAME?</v>
      </c>
      <c r="R6" s="215" t="e">
        <f t="shared" ca="1" si="1"/>
        <v>#NAME?</v>
      </c>
      <c r="S6" s="214" t="e">
        <f t="shared" ca="1" si="2"/>
        <v>#NAME?</v>
      </c>
      <c r="T6" s="7" t="e">
        <f t="shared" ca="1" si="2"/>
        <v>#NAME?</v>
      </c>
      <c r="U6" s="215" t="e">
        <f t="shared" ca="1" si="2"/>
        <v>#NAME?</v>
      </c>
      <c r="V6" s="214" t="e">
        <f t="shared" ca="1" si="3"/>
        <v>#NAME?</v>
      </c>
      <c r="W6" s="7" t="e">
        <f t="shared" ref="W6:X12" ca="1" si="10">T6-S6</f>
        <v>#NAME?</v>
      </c>
      <c r="X6" s="7" t="e">
        <f t="shared" ca="1" si="10"/>
        <v>#NAME?</v>
      </c>
      <c r="Y6" s="215" t="e">
        <f t="shared" ca="1" si="4"/>
        <v>#NAME?</v>
      </c>
      <c r="Z6" s="214" t="e">
        <f t="shared" ref="Z6:Z12" ca="1" si="11">V6*$O6</f>
        <v>#NAME?</v>
      </c>
      <c r="AA6" s="7" t="e">
        <f t="shared" ca="1" si="5"/>
        <v>#NAME?</v>
      </c>
      <c r="AB6" s="7" t="e">
        <f t="shared" ca="1" si="5"/>
        <v>#NAME?</v>
      </c>
      <c r="AC6" s="215" t="e">
        <f t="shared" ca="1" si="5"/>
        <v>#NAME?</v>
      </c>
      <c r="AD6" s="7" t="e">
        <f t="shared" ref="AD6:AD12" ca="1" si="12">SUMPRODUCT(K6:N6,LN(V6:Y6))</f>
        <v>#NAME?</v>
      </c>
      <c r="AE6">
        <f t="shared" ref="AE6:AE12" si="13">GAMMALN(O6+1)-SUMPRODUCT(GAMMALN(K6:N6+1))</f>
        <v>73.31629809088578</v>
      </c>
      <c r="AG6" s="214" t="e">
        <f ca="1">F17</f>
        <v>#NAME?</v>
      </c>
      <c r="AH6" s="185" t="e">
        <f ca="1">M17</f>
        <v>#NAME?</v>
      </c>
      <c r="AI6" s="215" t="e">
        <f ca="1">T17</f>
        <v>#NAME?</v>
      </c>
      <c r="AK6" t="s">
        <v>653</v>
      </c>
      <c r="AL6" s="349" t="e">
        <f ca="1">AD13+AE13</f>
        <v>#NAME?</v>
      </c>
    </row>
    <row r="7" spans="1:38" x14ac:dyDescent="0.25">
      <c r="A7" s="214">
        <v>0</v>
      </c>
      <c r="B7" s="7">
        <v>2</v>
      </c>
      <c r="C7" s="214">
        <v>9</v>
      </c>
      <c r="D7" s="25">
        <v>13</v>
      </c>
      <c r="E7" s="25">
        <v>17</v>
      </c>
      <c r="F7" s="215">
        <v>20</v>
      </c>
      <c r="G7" s="185">
        <f t="shared" si="6"/>
        <v>59</v>
      </c>
      <c r="I7">
        <f t="shared" si="7"/>
        <v>0</v>
      </c>
      <c r="J7">
        <f t="shared" si="7"/>
        <v>2</v>
      </c>
      <c r="K7" s="214">
        <f t="shared" si="0"/>
        <v>9</v>
      </c>
      <c r="L7" s="7">
        <f t="shared" si="0"/>
        <v>13</v>
      </c>
      <c r="M7" s="7">
        <f t="shared" si="0"/>
        <v>17</v>
      </c>
      <c r="N7" s="7">
        <f t="shared" si="0"/>
        <v>20</v>
      </c>
      <c r="O7" s="185">
        <f t="shared" si="8"/>
        <v>59</v>
      </c>
      <c r="P7" s="214" t="e">
        <f t="shared" ca="1" si="9"/>
        <v>#NAME?</v>
      </c>
      <c r="Q7" s="7" t="e">
        <f t="shared" ca="1" si="1"/>
        <v>#NAME?</v>
      </c>
      <c r="R7" s="215" t="e">
        <f t="shared" ca="1" si="1"/>
        <v>#NAME?</v>
      </c>
      <c r="S7" s="214" t="e">
        <f t="shared" ca="1" si="2"/>
        <v>#NAME?</v>
      </c>
      <c r="T7" s="7" t="e">
        <f t="shared" ca="1" si="2"/>
        <v>#NAME?</v>
      </c>
      <c r="U7" s="215" t="e">
        <f t="shared" ca="1" si="2"/>
        <v>#NAME?</v>
      </c>
      <c r="V7" s="214" t="e">
        <f t="shared" ca="1" si="3"/>
        <v>#NAME?</v>
      </c>
      <c r="W7" s="7" t="e">
        <f t="shared" ca="1" si="10"/>
        <v>#NAME?</v>
      </c>
      <c r="X7" s="7" t="e">
        <f t="shared" ca="1" si="10"/>
        <v>#NAME?</v>
      </c>
      <c r="Y7" s="215" t="e">
        <f t="shared" ca="1" si="4"/>
        <v>#NAME?</v>
      </c>
      <c r="Z7" s="214" t="e">
        <f t="shared" ca="1" si="11"/>
        <v>#NAME?</v>
      </c>
      <c r="AA7" s="7" t="e">
        <f t="shared" ca="1" si="5"/>
        <v>#NAME?</v>
      </c>
      <c r="AB7" s="7" t="e">
        <f t="shared" ca="1" si="5"/>
        <v>#NAME?</v>
      </c>
      <c r="AC7" s="215" t="e">
        <f t="shared" ca="1" si="5"/>
        <v>#NAME?</v>
      </c>
      <c r="AD7" s="7" t="e">
        <f t="shared" ca="1" si="12"/>
        <v>#NAME?</v>
      </c>
      <c r="AE7">
        <f t="shared" si="13"/>
        <v>73.339147617354215</v>
      </c>
      <c r="AG7" s="112" t="e">
        <f ca="1">F18</f>
        <v>#NAME?</v>
      </c>
      <c r="AH7" s="123" t="e">
        <f ca="1">M18</f>
        <v>#NAME?</v>
      </c>
      <c r="AI7" s="120" t="e">
        <f ca="1">T18</f>
        <v>#NAME?</v>
      </c>
    </row>
    <row r="8" spans="1:38" x14ac:dyDescent="0.25">
      <c r="A8" s="112">
        <v>0</v>
      </c>
      <c r="B8" s="354">
        <v>3</v>
      </c>
      <c r="C8" s="112">
        <v>5</v>
      </c>
      <c r="D8" s="403">
        <v>7</v>
      </c>
      <c r="E8" s="403">
        <v>16</v>
      </c>
      <c r="F8" s="120">
        <v>16</v>
      </c>
      <c r="G8" s="123">
        <f t="shared" si="6"/>
        <v>44</v>
      </c>
      <c r="I8">
        <f t="shared" si="7"/>
        <v>0</v>
      </c>
      <c r="J8">
        <f t="shared" si="7"/>
        <v>3</v>
      </c>
      <c r="K8" s="214">
        <f t="shared" si="0"/>
        <v>5</v>
      </c>
      <c r="L8" s="7">
        <f t="shared" si="0"/>
        <v>7</v>
      </c>
      <c r="M8" s="7">
        <f t="shared" si="0"/>
        <v>16</v>
      </c>
      <c r="N8" s="7">
        <f t="shared" si="0"/>
        <v>16</v>
      </c>
      <c r="O8" s="185">
        <f t="shared" si="8"/>
        <v>44</v>
      </c>
      <c r="P8" s="214" t="e">
        <f t="shared" ca="1" si="9"/>
        <v>#NAME?</v>
      </c>
      <c r="Q8" s="7" t="e">
        <f t="shared" ca="1" si="1"/>
        <v>#NAME?</v>
      </c>
      <c r="R8" s="215" t="e">
        <f t="shared" ca="1" si="1"/>
        <v>#NAME?</v>
      </c>
      <c r="S8" s="214" t="e">
        <f t="shared" ca="1" si="2"/>
        <v>#NAME?</v>
      </c>
      <c r="T8" s="7" t="e">
        <f t="shared" ca="1" si="2"/>
        <v>#NAME?</v>
      </c>
      <c r="U8" s="215" t="e">
        <f t="shared" ca="1" si="2"/>
        <v>#NAME?</v>
      </c>
      <c r="V8" s="214" t="e">
        <f t="shared" ca="1" si="3"/>
        <v>#NAME?</v>
      </c>
      <c r="W8" s="7" t="e">
        <f t="shared" ca="1" si="10"/>
        <v>#NAME?</v>
      </c>
      <c r="X8" s="7" t="e">
        <f t="shared" ca="1" si="10"/>
        <v>#NAME?</v>
      </c>
      <c r="Y8" s="215" t="e">
        <f t="shared" ca="1" si="4"/>
        <v>#NAME?</v>
      </c>
      <c r="Z8" s="214" t="e">
        <f t="shared" ca="1" si="11"/>
        <v>#NAME?</v>
      </c>
      <c r="AA8" s="7" t="e">
        <f t="shared" ca="1" si="5"/>
        <v>#NAME?</v>
      </c>
      <c r="AB8" s="7" t="e">
        <f t="shared" ca="1" si="5"/>
        <v>#NAME?</v>
      </c>
      <c r="AC8" s="215" t="e">
        <f t="shared" ca="1" si="5"/>
        <v>#NAME?</v>
      </c>
      <c r="AD8" s="7" t="e">
        <f t="shared" ca="1" si="12"/>
        <v>#NAME?</v>
      </c>
      <c r="AE8">
        <f t="shared" si="13"/>
        <v>50.660897833348074</v>
      </c>
      <c r="AK8" t="s">
        <v>664</v>
      </c>
      <c r="AL8" s="380" t="e">
        <f ca="1">2*(AL6-AL5)</f>
        <v>#NAME?</v>
      </c>
    </row>
    <row r="9" spans="1:38" x14ac:dyDescent="0.25">
      <c r="A9" s="214">
        <v>1</v>
      </c>
      <c r="B9" s="7">
        <v>0</v>
      </c>
      <c r="C9" s="214">
        <v>4</v>
      </c>
      <c r="D9" s="7">
        <v>8</v>
      </c>
      <c r="E9" s="7">
        <v>11</v>
      </c>
      <c r="F9" s="215">
        <v>25</v>
      </c>
      <c r="G9" s="185">
        <f t="shared" si="6"/>
        <v>48</v>
      </c>
      <c r="I9">
        <f t="shared" si="7"/>
        <v>1</v>
      </c>
      <c r="J9">
        <f t="shared" si="7"/>
        <v>0</v>
      </c>
      <c r="K9" s="214">
        <f t="shared" si="0"/>
        <v>4</v>
      </c>
      <c r="L9" s="7">
        <f t="shared" si="0"/>
        <v>8</v>
      </c>
      <c r="M9" s="7">
        <f t="shared" si="0"/>
        <v>11</v>
      </c>
      <c r="N9" s="7">
        <f t="shared" si="0"/>
        <v>25</v>
      </c>
      <c r="O9" s="185">
        <f t="shared" si="8"/>
        <v>48</v>
      </c>
      <c r="P9" s="214" t="e">
        <f t="shared" ca="1" si="9"/>
        <v>#NAME?</v>
      </c>
      <c r="Q9" s="7" t="e">
        <f t="shared" ca="1" si="1"/>
        <v>#NAME?</v>
      </c>
      <c r="R9" s="215" t="e">
        <f t="shared" ca="1" si="1"/>
        <v>#NAME?</v>
      </c>
      <c r="S9" s="214" t="e">
        <f t="shared" ca="1" si="2"/>
        <v>#NAME?</v>
      </c>
      <c r="T9" s="7" t="e">
        <f t="shared" ca="1" si="2"/>
        <v>#NAME?</v>
      </c>
      <c r="U9" s="215" t="e">
        <f t="shared" ca="1" si="2"/>
        <v>#NAME?</v>
      </c>
      <c r="V9" s="214" t="e">
        <f t="shared" ca="1" si="3"/>
        <v>#NAME?</v>
      </c>
      <c r="W9" s="7" t="e">
        <f t="shared" ca="1" si="10"/>
        <v>#NAME?</v>
      </c>
      <c r="X9" s="7" t="e">
        <f t="shared" ca="1" si="10"/>
        <v>#NAME?</v>
      </c>
      <c r="Y9" s="215" t="e">
        <f t="shared" ca="1" si="4"/>
        <v>#NAME?</v>
      </c>
      <c r="Z9" s="214" t="e">
        <f t="shared" ca="1" si="11"/>
        <v>#NAME?</v>
      </c>
      <c r="AA9" s="7" t="e">
        <f t="shared" ca="1" si="5"/>
        <v>#NAME?</v>
      </c>
      <c r="AB9" s="7" t="e">
        <f t="shared" ca="1" si="5"/>
        <v>#NAME?</v>
      </c>
      <c r="AC9" s="215" t="e">
        <f t="shared" ca="1" si="5"/>
        <v>#NAME?</v>
      </c>
      <c r="AD9" s="7" t="e">
        <f t="shared" ca="1" si="12"/>
        <v>#NAME?</v>
      </c>
      <c r="AE9">
        <f t="shared" si="13"/>
        <v>51.385353846286648</v>
      </c>
      <c r="AK9" t="s">
        <v>41</v>
      </c>
      <c r="AL9" s="322">
        <f ca="1">COUNT(AG6:AI7)</f>
        <v>0</v>
      </c>
    </row>
    <row r="10" spans="1:38" x14ac:dyDescent="0.25">
      <c r="A10" s="214">
        <v>1</v>
      </c>
      <c r="B10" s="7">
        <v>1</v>
      </c>
      <c r="C10" s="214">
        <v>8</v>
      </c>
      <c r="D10" s="25">
        <v>14</v>
      </c>
      <c r="E10" s="25">
        <v>20</v>
      </c>
      <c r="F10" s="215">
        <v>18</v>
      </c>
      <c r="G10" s="185">
        <f t="shared" si="6"/>
        <v>60</v>
      </c>
      <c r="I10">
        <f t="shared" si="7"/>
        <v>1</v>
      </c>
      <c r="J10">
        <f t="shared" si="7"/>
        <v>1</v>
      </c>
      <c r="K10" s="214">
        <f t="shared" si="0"/>
        <v>8</v>
      </c>
      <c r="L10" s="7">
        <f t="shared" si="0"/>
        <v>14</v>
      </c>
      <c r="M10" s="7">
        <f t="shared" si="0"/>
        <v>20</v>
      </c>
      <c r="N10" s="7">
        <f t="shared" si="0"/>
        <v>18</v>
      </c>
      <c r="O10" s="185">
        <f t="shared" si="8"/>
        <v>60</v>
      </c>
      <c r="P10" s="214" t="e">
        <f t="shared" ca="1" si="9"/>
        <v>#NAME?</v>
      </c>
      <c r="Q10" s="7" t="e">
        <f t="shared" ca="1" si="1"/>
        <v>#NAME?</v>
      </c>
      <c r="R10" s="215" t="e">
        <f t="shared" ca="1" si="1"/>
        <v>#NAME?</v>
      </c>
      <c r="S10" s="214" t="e">
        <f t="shared" ca="1" si="2"/>
        <v>#NAME?</v>
      </c>
      <c r="T10" s="7" t="e">
        <f t="shared" ca="1" si="2"/>
        <v>#NAME?</v>
      </c>
      <c r="U10" s="215" t="e">
        <f t="shared" ca="1" si="2"/>
        <v>#NAME?</v>
      </c>
      <c r="V10" s="214" t="e">
        <f t="shared" ca="1" si="3"/>
        <v>#NAME?</v>
      </c>
      <c r="W10" s="7" t="e">
        <f t="shared" ca="1" si="10"/>
        <v>#NAME?</v>
      </c>
      <c r="X10" s="7" t="e">
        <f t="shared" ca="1" si="10"/>
        <v>#NAME?</v>
      </c>
      <c r="Y10" s="215" t="e">
        <f t="shared" ca="1" si="4"/>
        <v>#NAME?</v>
      </c>
      <c r="Z10" s="214" t="e">
        <f t="shared" ca="1" si="11"/>
        <v>#NAME?</v>
      </c>
      <c r="AA10" s="7" t="e">
        <f t="shared" ca="1" si="5"/>
        <v>#NAME?</v>
      </c>
      <c r="AB10" s="7" t="e">
        <f t="shared" ca="1" si="5"/>
        <v>#NAME?</v>
      </c>
      <c r="AC10" s="215" t="e">
        <f t="shared" ca="1" si="5"/>
        <v>#NAME?</v>
      </c>
      <c r="AD10" s="7" t="e">
        <f t="shared" ca="1" si="12"/>
        <v>#NAME?</v>
      </c>
      <c r="AE10">
        <f t="shared" si="13"/>
        <v>74.101287669401145</v>
      </c>
      <c r="AK10" t="s">
        <v>48</v>
      </c>
      <c r="AL10" s="322" t="e">
        <f ca="1">CHIDIST(AL8,AL9)</f>
        <v>#NAME?</v>
      </c>
    </row>
    <row r="11" spans="1:38" x14ac:dyDescent="0.25">
      <c r="A11" s="214">
        <v>1</v>
      </c>
      <c r="B11" s="7">
        <v>2</v>
      </c>
      <c r="C11" s="214">
        <v>10</v>
      </c>
      <c r="D11" s="25">
        <v>15</v>
      </c>
      <c r="E11" s="25">
        <v>16</v>
      </c>
      <c r="F11" s="215">
        <v>12</v>
      </c>
      <c r="G11" s="185">
        <f t="shared" si="6"/>
        <v>53</v>
      </c>
      <c r="I11">
        <f t="shared" si="7"/>
        <v>1</v>
      </c>
      <c r="J11">
        <f t="shared" si="7"/>
        <v>2</v>
      </c>
      <c r="K11" s="214">
        <f t="shared" si="0"/>
        <v>10</v>
      </c>
      <c r="L11" s="7">
        <f t="shared" si="0"/>
        <v>15</v>
      </c>
      <c r="M11" s="7">
        <f t="shared" si="0"/>
        <v>16</v>
      </c>
      <c r="N11" s="7">
        <f t="shared" si="0"/>
        <v>12</v>
      </c>
      <c r="O11" s="185">
        <f t="shared" si="8"/>
        <v>53</v>
      </c>
      <c r="P11" s="214" t="e">
        <f t="shared" ca="1" si="9"/>
        <v>#NAME?</v>
      </c>
      <c r="Q11" s="7" t="e">
        <f t="shared" ca="1" si="1"/>
        <v>#NAME?</v>
      </c>
      <c r="R11" s="215" t="e">
        <f t="shared" ca="1" si="1"/>
        <v>#NAME?</v>
      </c>
      <c r="S11" s="214" t="e">
        <f t="shared" ca="1" si="2"/>
        <v>#NAME?</v>
      </c>
      <c r="T11" s="7" t="e">
        <f t="shared" ca="1" si="2"/>
        <v>#NAME?</v>
      </c>
      <c r="U11" s="215" t="e">
        <f t="shared" ca="1" si="2"/>
        <v>#NAME?</v>
      </c>
      <c r="V11" s="214" t="e">
        <f t="shared" ca="1" si="3"/>
        <v>#NAME?</v>
      </c>
      <c r="W11" s="7" t="e">
        <f t="shared" ca="1" si="10"/>
        <v>#NAME?</v>
      </c>
      <c r="X11" s="7" t="e">
        <f t="shared" ca="1" si="10"/>
        <v>#NAME?</v>
      </c>
      <c r="Y11" s="215" t="e">
        <f t="shared" ca="1" si="4"/>
        <v>#NAME?</v>
      </c>
      <c r="Z11" s="214" t="e">
        <f t="shared" ca="1" si="11"/>
        <v>#NAME?</v>
      </c>
      <c r="AA11" s="7" t="e">
        <f t="shared" ca="1" si="5"/>
        <v>#NAME?</v>
      </c>
      <c r="AB11" s="7" t="e">
        <f t="shared" ca="1" si="5"/>
        <v>#NAME?</v>
      </c>
      <c r="AC11" s="215" t="e">
        <f t="shared" ca="1" si="5"/>
        <v>#NAME?</v>
      </c>
      <c r="AD11" s="7" t="e">
        <f t="shared" ca="1" si="12"/>
        <v>#NAME?</v>
      </c>
      <c r="AE11">
        <f t="shared" si="13"/>
        <v>66.668369657971951</v>
      </c>
      <c r="AK11" t="s">
        <v>70</v>
      </c>
      <c r="AL11" s="322">
        <v>0.05</v>
      </c>
    </row>
    <row r="12" spans="1:38" x14ac:dyDescent="0.25">
      <c r="A12" s="112">
        <v>1</v>
      </c>
      <c r="B12" s="354">
        <v>3</v>
      </c>
      <c r="C12" s="112">
        <v>5</v>
      </c>
      <c r="D12" s="354">
        <v>14</v>
      </c>
      <c r="E12" s="354">
        <v>12</v>
      </c>
      <c r="F12" s="120">
        <v>8</v>
      </c>
      <c r="G12" s="123">
        <f t="shared" si="6"/>
        <v>39</v>
      </c>
      <c r="I12">
        <f>A11</f>
        <v>1</v>
      </c>
      <c r="J12">
        <f t="shared" si="7"/>
        <v>3</v>
      </c>
      <c r="K12" s="112">
        <f t="shared" si="0"/>
        <v>5</v>
      </c>
      <c r="L12" s="354">
        <f t="shared" si="0"/>
        <v>14</v>
      </c>
      <c r="M12" s="354">
        <f t="shared" si="0"/>
        <v>12</v>
      </c>
      <c r="N12" s="354">
        <f t="shared" si="0"/>
        <v>8</v>
      </c>
      <c r="O12" s="123">
        <f t="shared" si="8"/>
        <v>39</v>
      </c>
      <c r="P12" s="112" t="e">
        <f t="shared" ca="1" si="9"/>
        <v>#NAME?</v>
      </c>
      <c r="Q12" s="354" t="e">
        <f t="shared" ca="1" si="1"/>
        <v>#NAME?</v>
      </c>
      <c r="R12" s="120" t="e">
        <f t="shared" ca="1" si="1"/>
        <v>#NAME?</v>
      </c>
      <c r="S12" s="112" t="e">
        <f t="shared" ca="1" si="2"/>
        <v>#NAME?</v>
      </c>
      <c r="T12" s="354" t="e">
        <f t="shared" ca="1" si="2"/>
        <v>#NAME?</v>
      </c>
      <c r="U12" s="120" t="e">
        <f t="shared" ca="1" si="2"/>
        <v>#NAME?</v>
      </c>
      <c r="V12" s="112" t="e">
        <f t="shared" ca="1" si="3"/>
        <v>#NAME?</v>
      </c>
      <c r="W12" s="354" t="e">
        <f t="shared" ca="1" si="10"/>
        <v>#NAME?</v>
      </c>
      <c r="X12" s="354" t="e">
        <f t="shared" ca="1" si="10"/>
        <v>#NAME?</v>
      </c>
      <c r="Y12" s="120" t="e">
        <f t="shared" ca="1" si="4"/>
        <v>#NAME?</v>
      </c>
      <c r="Z12" s="112" t="e">
        <f t="shared" ca="1" si="11"/>
        <v>#NAME?</v>
      </c>
      <c r="AA12" s="354" t="e">
        <f t="shared" ca="1" si="5"/>
        <v>#NAME?</v>
      </c>
      <c r="AB12" s="354" t="e">
        <f t="shared" ca="1" si="5"/>
        <v>#NAME?</v>
      </c>
      <c r="AC12" s="120" t="e">
        <f t="shared" ca="1" si="5"/>
        <v>#NAME?</v>
      </c>
      <c r="AD12" s="7" t="e">
        <f t="shared" ca="1" si="12"/>
        <v>#NAME?</v>
      </c>
      <c r="AE12">
        <f t="shared" si="13"/>
        <v>46.061229936715577</v>
      </c>
      <c r="AK12" t="s">
        <v>164</v>
      </c>
      <c r="AL12" s="350" t="e">
        <f ca="1">IF(AL10&lt;AL11,"yes","no")</f>
        <v>#NAME?</v>
      </c>
    </row>
    <row r="13" spans="1:38" x14ac:dyDescent="0.25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387"/>
      <c r="J13" s="387"/>
      <c r="K13" s="387">
        <f>SUM(K5:K12)</f>
        <v>50</v>
      </c>
      <c r="L13" s="387">
        <f>SUM(L5:L12)</f>
        <v>93</v>
      </c>
      <c r="M13" s="387">
        <f>SUM(M5:M12)</f>
        <v>126</v>
      </c>
      <c r="N13" s="387">
        <f>SUM(N5:N12)</f>
        <v>151</v>
      </c>
      <c r="O13" s="387">
        <f>SUM(O5:O12)</f>
        <v>420</v>
      </c>
      <c r="S13" s="387"/>
      <c r="T13" s="7"/>
      <c r="Z13" s="387" t="e">
        <f t="shared" ref="Z13:AE13" ca="1" si="14">SUM(Z5:Z12)</f>
        <v>#NAME?</v>
      </c>
      <c r="AA13" s="387" t="e">
        <f t="shared" ca="1" si="14"/>
        <v>#NAME?</v>
      </c>
      <c r="AB13" s="387" t="e">
        <f t="shared" ca="1" si="14"/>
        <v>#NAME?</v>
      </c>
      <c r="AC13" s="387" t="e">
        <f t="shared" ca="1" si="14"/>
        <v>#NAME?</v>
      </c>
      <c r="AD13" s="387" t="e">
        <f t="shared" ca="1" si="14"/>
        <v>#NAME?</v>
      </c>
      <c r="AE13" s="387">
        <f t="shared" si="14"/>
        <v>494.07893535970368</v>
      </c>
    </row>
    <row r="14" spans="1:38" x14ac:dyDescent="0.25">
      <c r="AK14" t="s">
        <v>661</v>
      </c>
      <c r="AL14" s="380" t="e">
        <f ca="1">1-(AL6-AE13)/(AL5-AE13)</f>
        <v>#NAME?</v>
      </c>
    </row>
    <row r="15" spans="1:38" x14ac:dyDescent="0.25">
      <c r="A15" s="12" t="s">
        <v>932</v>
      </c>
      <c r="B15" s="12" t="s">
        <v>933</v>
      </c>
      <c r="C15" s="12">
        <f t="shared" ref="C15:C23" si="15">C4</f>
        <v>1</v>
      </c>
      <c r="D15" s="12" t="s">
        <v>945</v>
      </c>
      <c r="H15" s="12" t="s">
        <v>932</v>
      </c>
      <c r="I15" s="12" t="s">
        <v>933</v>
      </c>
      <c r="J15" s="12" t="s">
        <v>946</v>
      </c>
      <c r="K15" s="12" t="s">
        <v>947</v>
      </c>
      <c r="O15" s="12" t="s">
        <v>932</v>
      </c>
      <c r="P15" s="12" t="s">
        <v>933</v>
      </c>
      <c r="Q15" s="12" t="s">
        <v>935</v>
      </c>
      <c r="R15" s="12">
        <v>4</v>
      </c>
      <c r="AK15" t="s">
        <v>662</v>
      </c>
      <c r="AL15" s="322" t="e">
        <f ca="1">1-EXP((-2/O13)*(AL6-AL5))</f>
        <v>#NAME?</v>
      </c>
    </row>
    <row r="16" spans="1:38" x14ac:dyDescent="0.25">
      <c r="A16" s="344">
        <v>0</v>
      </c>
      <c r="B16" s="345">
        <v>0</v>
      </c>
      <c r="C16" s="344">
        <f t="shared" si="15"/>
        <v>3</v>
      </c>
      <c r="D16" s="347">
        <f>G5-C16</f>
        <v>51</v>
      </c>
      <c r="F16" s="391" t="e">
        <f t="array" aca="1" ref="F16:F18" ca="1">LogitCoeff(A16:D23)</f>
        <v>#NAME?</v>
      </c>
      <c r="H16" s="344">
        <v>0</v>
      </c>
      <c r="I16" s="387">
        <v>0</v>
      </c>
      <c r="J16" s="344">
        <f>C5+D5</f>
        <v>12</v>
      </c>
      <c r="K16" s="347">
        <f>G5-J16</f>
        <v>42</v>
      </c>
      <c r="M16" s="391" t="e">
        <f t="array" aca="1" ref="M16:M18" ca="1">LogitCoeff(H16:K23)</f>
        <v>#NAME?</v>
      </c>
      <c r="O16" s="344">
        <v>0</v>
      </c>
      <c r="P16" s="387">
        <v>0</v>
      </c>
      <c r="Q16" s="344">
        <f>G5-R16</f>
        <v>30</v>
      </c>
      <c r="R16" s="347">
        <f>F5</f>
        <v>24</v>
      </c>
      <c r="T16" s="391" t="e">
        <f t="array" aca="1" ref="T16:T18" ca="1">LogitCoeff(O16:R23)</f>
        <v>#NAME?</v>
      </c>
      <c r="AK16" t="s">
        <v>663</v>
      </c>
      <c r="AL16" s="349" t="e">
        <f ca="1">AL15/(1-EXP(2*(AL5-AE13)/O13))</f>
        <v>#NAME?</v>
      </c>
    </row>
    <row r="17" spans="1:20" x14ac:dyDescent="0.25">
      <c r="A17" s="214">
        <v>0</v>
      </c>
      <c r="B17" s="7">
        <v>1</v>
      </c>
      <c r="C17" s="214">
        <f t="shared" si="15"/>
        <v>6</v>
      </c>
      <c r="D17" s="215">
        <f t="shared" ref="D17:D23" si="16">G6-C17</f>
        <v>57</v>
      </c>
      <c r="F17" s="185" t="e">
        <f ca="1"/>
        <v>#NAME?</v>
      </c>
      <c r="H17" s="214">
        <v>0</v>
      </c>
      <c r="I17" s="7">
        <v>1</v>
      </c>
      <c r="J17" s="214">
        <f t="shared" ref="J17:J23" si="17">C6+D6</f>
        <v>19</v>
      </c>
      <c r="K17" s="215">
        <f t="shared" ref="K17:K23" si="18">G6-J17</f>
        <v>44</v>
      </c>
      <c r="M17" s="185" t="e">
        <f ca="1"/>
        <v>#NAME?</v>
      </c>
      <c r="O17" s="214">
        <v>0</v>
      </c>
      <c r="P17" s="7">
        <v>1</v>
      </c>
      <c r="Q17" s="214">
        <f t="shared" ref="Q17:Q23" si="19">G6-R17</f>
        <v>35</v>
      </c>
      <c r="R17" s="215">
        <f t="shared" ref="R17:R23" si="20">F6</f>
        <v>28</v>
      </c>
      <c r="T17" s="185" t="e">
        <f ca="1"/>
        <v>#NAME?</v>
      </c>
    </row>
    <row r="18" spans="1:20" x14ac:dyDescent="0.25">
      <c r="A18" s="214">
        <v>0</v>
      </c>
      <c r="B18" s="7">
        <v>2</v>
      </c>
      <c r="C18" s="214">
        <f t="shared" si="15"/>
        <v>9</v>
      </c>
      <c r="D18" s="215">
        <f t="shared" si="16"/>
        <v>50</v>
      </c>
      <c r="F18" s="123" t="e">
        <f ca="1"/>
        <v>#NAME?</v>
      </c>
      <c r="H18" s="214">
        <v>0</v>
      </c>
      <c r="I18" s="7">
        <v>2</v>
      </c>
      <c r="J18" s="214">
        <f t="shared" si="17"/>
        <v>22</v>
      </c>
      <c r="K18" s="215">
        <f t="shared" si="18"/>
        <v>37</v>
      </c>
      <c r="M18" s="123" t="e">
        <f ca="1"/>
        <v>#NAME?</v>
      </c>
      <c r="O18" s="214">
        <v>0</v>
      </c>
      <c r="P18" s="7">
        <v>2</v>
      </c>
      <c r="Q18" s="214">
        <f t="shared" si="19"/>
        <v>39</v>
      </c>
      <c r="R18" s="215">
        <f t="shared" si="20"/>
        <v>20</v>
      </c>
      <c r="T18" s="123" t="e">
        <f ca="1"/>
        <v>#NAME?</v>
      </c>
    </row>
    <row r="19" spans="1:20" x14ac:dyDescent="0.25">
      <c r="A19" s="112">
        <v>0</v>
      </c>
      <c r="B19" s="354">
        <v>3</v>
      </c>
      <c r="C19" s="112">
        <f t="shared" si="15"/>
        <v>5</v>
      </c>
      <c r="D19" s="120">
        <f t="shared" si="16"/>
        <v>39</v>
      </c>
      <c r="H19" s="112">
        <v>0</v>
      </c>
      <c r="I19" s="354">
        <v>3</v>
      </c>
      <c r="J19" s="112">
        <f t="shared" si="17"/>
        <v>12</v>
      </c>
      <c r="K19" s="120">
        <f t="shared" si="18"/>
        <v>32</v>
      </c>
      <c r="O19" s="112">
        <v>0</v>
      </c>
      <c r="P19" s="354">
        <v>3</v>
      </c>
      <c r="Q19" s="214">
        <f t="shared" si="19"/>
        <v>28</v>
      </c>
      <c r="R19" s="215">
        <f t="shared" si="20"/>
        <v>16</v>
      </c>
    </row>
    <row r="20" spans="1:20" x14ac:dyDescent="0.25">
      <c r="A20" s="214">
        <v>1</v>
      </c>
      <c r="B20" s="7">
        <v>0</v>
      </c>
      <c r="C20" s="214">
        <f t="shared" si="15"/>
        <v>4</v>
      </c>
      <c r="D20" s="215">
        <f t="shared" si="16"/>
        <v>44</v>
      </c>
      <c r="H20" s="214">
        <v>1</v>
      </c>
      <c r="I20" s="7">
        <v>0</v>
      </c>
      <c r="J20" s="214">
        <f t="shared" si="17"/>
        <v>12</v>
      </c>
      <c r="K20" s="215">
        <f t="shared" si="18"/>
        <v>36</v>
      </c>
      <c r="O20" s="214">
        <v>1</v>
      </c>
      <c r="P20" s="7">
        <v>0</v>
      </c>
      <c r="Q20" s="344">
        <f t="shared" si="19"/>
        <v>23</v>
      </c>
      <c r="R20" s="347">
        <f t="shared" si="20"/>
        <v>25</v>
      </c>
    </row>
    <row r="21" spans="1:20" x14ac:dyDescent="0.25">
      <c r="A21" s="214">
        <v>1</v>
      </c>
      <c r="B21" s="7">
        <v>1</v>
      </c>
      <c r="C21" s="214">
        <f t="shared" si="15"/>
        <v>8</v>
      </c>
      <c r="D21" s="215">
        <f t="shared" si="16"/>
        <v>52</v>
      </c>
      <c r="H21" s="214">
        <v>1</v>
      </c>
      <c r="I21" s="7">
        <v>1</v>
      </c>
      <c r="J21" s="214">
        <f t="shared" si="17"/>
        <v>22</v>
      </c>
      <c r="K21" s="215">
        <f t="shared" si="18"/>
        <v>38</v>
      </c>
      <c r="O21" s="214">
        <v>1</v>
      </c>
      <c r="P21" s="7">
        <v>1</v>
      </c>
      <c r="Q21" s="214">
        <f t="shared" si="19"/>
        <v>42</v>
      </c>
      <c r="R21" s="215">
        <f t="shared" si="20"/>
        <v>18</v>
      </c>
    </row>
    <row r="22" spans="1:20" x14ac:dyDescent="0.25">
      <c r="A22" s="214">
        <v>1</v>
      </c>
      <c r="B22" s="7">
        <v>2</v>
      </c>
      <c r="C22" s="214">
        <f t="shared" si="15"/>
        <v>10</v>
      </c>
      <c r="D22" s="215">
        <f t="shared" si="16"/>
        <v>43</v>
      </c>
      <c r="H22" s="214">
        <v>1</v>
      </c>
      <c r="I22" s="7">
        <v>2</v>
      </c>
      <c r="J22" s="214">
        <f t="shared" si="17"/>
        <v>25</v>
      </c>
      <c r="K22" s="215">
        <f t="shared" si="18"/>
        <v>28</v>
      </c>
      <c r="O22" s="214">
        <v>1</v>
      </c>
      <c r="P22" s="7">
        <v>2</v>
      </c>
      <c r="Q22" s="214">
        <f t="shared" si="19"/>
        <v>41</v>
      </c>
      <c r="R22" s="215">
        <f t="shared" si="20"/>
        <v>12</v>
      </c>
    </row>
    <row r="23" spans="1:20" x14ac:dyDescent="0.25">
      <c r="A23" s="112">
        <v>1</v>
      </c>
      <c r="B23" s="354">
        <v>3</v>
      </c>
      <c r="C23" s="112">
        <f t="shared" si="15"/>
        <v>5</v>
      </c>
      <c r="D23" s="120">
        <f t="shared" si="16"/>
        <v>34</v>
      </c>
      <c r="H23" s="112">
        <v>1</v>
      </c>
      <c r="I23" s="354">
        <v>3</v>
      </c>
      <c r="J23" s="112">
        <f t="shared" si="17"/>
        <v>19</v>
      </c>
      <c r="K23" s="120">
        <f t="shared" si="18"/>
        <v>20</v>
      </c>
      <c r="O23" s="112">
        <v>1</v>
      </c>
      <c r="P23" s="354">
        <v>3</v>
      </c>
      <c r="Q23" s="112">
        <f t="shared" si="19"/>
        <v>31</v>
      </c>
      <c r="R23" s="120">
        <f t="shared" si="20"/>
        <v>8</v>
      </c>
    </row>
    <row r="25" spans="1:20" x14ac:dyDescent="0.25">
      <c r="A25" t="s">
        <v>936</v>
      </c>
    </row>
    <row r="27" spans="1:20" x14ac:dyDescent="0.25">
      <c r="C27" s="12">
        <f>C15</f>
        <v>1</v>
      </c>
      <c r="D27" s="12" t="str">
        <f>D15</f>
        <v>2+3+4</v>
      </c>
      <c r="J27" s="12" t="str">
        <f>J15</f>
        <v>1+2</v>
      </c>
      <c r="K27" s="12" t="str">
        <f>K15</f>
        <v>3+4</v>
      </c>
      <c r="Q27" s="12" t="str">
        <f>Q15</f>
        <v>1+2+3</v>
      </c>
      <c r="R27" s="12">
        <f>R15</f>
        <v>4</v>
      </c>
    </row>
    <row r="28" spans="1:20" x14ac:dyDescent="0.25">
      <c r="C28" s="344" t="e">
        <f t="array" aca="1" ref="C28:D35" ca="1">QSORTRows(C16:D23)</f>
        <v>#NAME?</v>
      </c>
      <c r="D28" s="347" t="e">
        <f ca="1"/>
        <v>#NAME?</v>
      </c>
      <c r="J28" s="344" t="e">
        <f t="array" aca="1" ref="J28:K35" ca="1">QSORTRows(J16:K23)</f>
        <v>#NAME?</v>
      </c>
      <c r="K28" s="347" t="e">
        <f ca="1"/>
        <v>#NAME?</v>
      </c>
      <c r="Q28" s="344" t="e">
        <f t="array" aca="1" ref="Q28:R35" ca="1">QSORTRows(Q16:R23)</f>
        <v>#NAME?</v>
      </c>
      <c r="R28" s="347" t="e">
        <f ca="1"/>
        <v>#NAME?</v>
      </c>
    </row>
    <row r="29" spans="1:20" x14ac:dyDescent="0.25">
      <c r="C29" s="214" t="e">
        <f ca="1"/>
        <v>#NAME?</v>
      </c>
      <c r="D29" s="215" t="e">
        <f ca="1"/>
        <v>#NAME?</v>
      </c>
      <c r="J29" s="214" t="e">
        <f ca="1"/>
        <v>#NAME?</v>
      </c>
      <c r="K29" s="215" t="e">
        <f ca="1"/>
        <v>#NAME?</v>
      </c>
      <c r="Q29" s="214" t="e">
        <f ca="1"/>
        <v>#NAME?</v>
      </c>
      <c r="R29" s="215" t="e">
        <f ca="1"/>
        <v>#NAME?</v>
      </c>
    </row>
    <row r="30" spans="1:20" x14ac:dyDescent="0.25">
      <c r="C30" s="214" t="e">
        <f ca="1"/>
        <v>#NAME?</v>
      </c>
      <c r="D30" s="215" t="e">
        <f ca="1"/>
        <v>#NAME?</v>
      </c>
      <c r="J30" s="214" t="e">
        <f ca="1"/>
        <v>#NAME?</v>
      </c>
      <c r="K30" s="215" t="e">
        <f ca="1"/>
        <v>#NAME?</v>
      </c>
      <c r="Q30" s="214" t="e">
        <f ca="1"/>
        <v>#NAME?</v>
      </c>
      <c r="R30" s="215" t="e">
        <f ca="1"/>
        <v>#NAME?</v>
      </c>
    </row>
    <row r="31" spans="1:20" x14ac:dyDescent="0.25">
      <c r="C31" s="112" t="e">
        <f ca="1"/>
        <v>#NAME?</v>
      </c>
      <c r="D31" s="120" t="e">
        <f ca="1"/>
        <v>#NAME?</v>
      </c>
      <c r="J31" s="112" t="e">
        <f ca="1"/>
        <v>#NAME?</v>
      </c>
      <c r="K31" s="120" t="e">
        <f ca="1"/>
        <v>#NAME?</v>
      </c>
      <c r="Q31" s="112" t="e">
        <f ca="1"/>
        <v>#NAME?</v>
      </c>
      <c r="R31" s="120" t="e">
        <f ca="1"/>
        <v>#NAME?</v>
      </c>
    </row>
    <row r="32" spans="1:20" x14ac:dyDescent="0.25">
      <c r="C32" s="214" t="e">
        <f ca="1"/>
        <v>#NAME?</v>
      </c>
      <c r="D32" s="215" t="e">
        <f ca="1"/>
        <v>#NAME?</v>
      </c>
      <c r="J32" s="214" t="e">
        <f ca="1"/>
        <v>#NAME?</v>
      </c>
      <c r="K32" s="215" t="e">
        <f ca="1"/>
        <v>#NAME?</v>
      </c>
      <c r="Q32" s="214" t="e">
        <f ca="1"/>
        <v>#NAME?</v>
      </c>
      <c r="R32" s="215" t="e">
        <f ca="1"/>
        <v>#NAME?</v>
      </c>
    </row>
    <row r="33" spans="3:18" x14ac:dyDescent="0.25">
      <c r="C33" s="214" t="e">
        <f ca="1"/>
        <v>#NAME?</v>
      </c>
      <c r="D33" s="215" t="e">
        <f ca="1"/>
        <v>#NAME?</v>
      </c>
      <c r="J33" s="214" t="e">
        <f ca="1"/>
        <v>#NAME?</v>
      </c>
      <c r="K33" s="215" t="e">
        <f ca="1"/>
        <v>#NAME?</v>
      </c>
      <c r="Q33" s="214" t="e">
        <f ca="1"/>
        <v>#NAME?</v>
      </c>
      <c r="R33" s="215" t="e">
        <f ca="1"/>
        <v>#NAME?</v>
      </c>
    </row>
    <row r="34" spans="3:18" x14ac:dyDescent="0.25">
      <c r="C34" s="214" t="e">
        <f ca="1"/>
        <v>#NAME?</v>
      </c>
      <c r="D34" s="215" t="e">
        <f ca="1"/>
        <v>#NAME?</v>
      </c>
      <c r="J34" s="214" t="e">
        <f ca="1"/>
        <v>#NAME?</v>
      </c>
      <c r="K34" s="215" t="e">
        <f ca="1"/>
        <v>#NAME?</v>
      </c>
      <c r="Q34" s="214" t="e">
        <f ca="1"/>
        <v>#NAME?</v>
      </c>
      <c r="R34" s="215" t="e">
        <f ca="1"/>
        <v>#NAME?</v>
      </c>
    </row>
    <row r="35" spans="3:18" x14ac:dyDescent="0.25">
      <c r="C35" s="112" t="e">
        <f ca="1"/>
        <v>#NAME?</v>
      </c>
      <c r="D35" s="120" t="e">
        <f ca="1"/>
        <v>#NAME?</v>
      </c>
      <c r="J35" s="112" t="e">
        <f ca="1"/>
        <v>#NAME?</v>
      </c>
      <c r="K35" s="120" t="e">
        <f ca="1"/>
        <v>#NAME?</v>
      </c>
      <c r="Q35" s="112" t="e">
        <f ca="1"/>
        <v>#NAME?</v>
      </c>
      <c r="R35" s="120" t="e">
        <f ca="1"/>
        <v>#NAME?</v>
      </c>
    </row>
  </sheetData>
  <mergeCells count="8">
    <mergeCell ref="AG3:AI3"/>
    <mergeCell ref="AD3:AE3"/>
    <mergeCell ref="I3:J3"/>
    <mergeCell ref="K3:O3"/>
    <mergeCell ref="P3:R3"/>
    <mergeCell ref="S3:U3"/>
    <mergeCell ref="V3:Y3"/>
    <mergeCell ref="Z3:AC3"/>
  </mergeCells>
  <pageMargins left="0.7" right="0.7" top="0.75" bottom="0.75" header="0.3" footer="0.3"/>
  <ignoredErrors>
    <ignoredError sqref="C13:F13 G5:G12" formulaRange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AL34"/>
  <sheetViews>
    <sheetView workbookViewId="0"/>
  </sheetViews>
  <sheetFormatPr defaultRowHeight="15" x14ac:dyDescent="0.25"/>
  <cols>
    <col min="2" max="2" width="9.140625" customWidth="1"/>
    <col min="8" max="8" width="9.140625" customWidth="1"/>
    <col min="32" max="32" width="3.42578125" customWidth="1"/>
    <col min="36" max="36" width="3.5703125" customWidth="1"/>
  </cols>
  <sheetData>
    <row r="1" spans="1:38" x14ac:dyDescent="0.25">
      <c r="A1" s="1" t="s">
        <v>930</v>
      </c>
    </row>
    <row r="2" spans="1:38" x14ac:dyDescent="0.25">
      <c r="A2" s="15" t="s">
        <v>865</v>
      </c>
    </row>
    <row r="3" spans="1:38" ht="15.75" thickBot="1" x14ac:dyDescent="0.3">
      <c r="I3" s="772" t="s">
        <v>892</v>
      </c>
      <c r="J3" s="772"/>
      <c r="K3" s="772" t="s">
        <v>77</v>
      </c>
      <c r="L3" s="772"/>
      <c r="M3" s="772"/>
      <c r="N3" s="772"/>
      <c r="O3" s="772"/>
      <c r="P3" s="772" t="s">
        <v>93</v>
      </c>
      <c r="Q3" s="772"/>
      <c r="R3" s="772"/>
      <c r="S3" s="772" t="s">
        <v>931</v>
      </c>
      <c r="T3" s="772"/>
      <c r="U3" s="772"/>
      <c r="V3" s="772" t="s">
        <v>894</v>
      </c>
      <c r="W3" s="772"/>
      <c r="X3" s="772"/>
      <c r="Y3" s="772"/>
      <c r="Z3" s="772" t="s">
        <v>893</v>
      </c>
      <c r="AA3" s="772"/>
      <c r="AB3" s="772"/>
      <c r="AC3" s="772"/>
      <c r="AD3" s="772" t="s">
        <v>891</v>
      </c>
      <c r="AE3" s="772"/>
      <c r="AG3" s="773" t="s">
        <v>129</v>
      </c>
      <c r="AH3" s="773"/>
      <c r="AI3" s="773"/>
    </row>
    <row r="4" spans="1:38" ht="15.75" thickTop="1" x14ac:dyDescent="0.25">
      <c r="A4" s="12" t="s">
        <v>932</v>
      </c>
      <c r="B4" s="12" t="s">
        <v>933</v>
      </c>
      <c r="C4">
        <v>1</v>
      </c>
      <c r="D4">
        <v>2</v>
      </c>
      <c r="E4">
        <v>3</v>
      </c>
      <c r="F4">
        <v>4</v>
      </c>
      <c r="G4" s="12" t="s">
        <v>934</v>
      </c>
      <c r="I4" s="386" t="str">
        <f t="shared" ref="I4:N12" si="0">A4</f>
        <v>gender</v>
      </c>
      <c r="J4" s="386" t="str">
        <f t="shared" si="0"/>
        <v>age</v>
      </c>
      <c r="K4" s="386">
        <f t="shared" si="0"/>
        <v>1</v>
      </c>
      <c r="L4" s="386">
        <f t="shared" si="0"/>
        <v>2</v>
      </c>
      <c r="M4" s="386">
        <f t="shared" si="0"/>
        <v>3</v>
      </c>
      <c r="N4" s="386">
        <f t="shared" si="0"/>
        <v>4</v>
      </c>
      <c r="O4" s="386" t="s">
        <v>1</v>
      </c>
      <c r="P4" s="386">
        <f>K4</f>
        <v>1</v>
      </c>
      <c r="Q4" s="386">
        <f>L4</f>
        <v>2</v>
      </c>
      <c r="R4" s="386">
        <f>M4</f>
        <v>3</v>
      </c>
      <c r="S4" s="386">
        <f>K4</f>
        <v>1</v>
      </c>
      <c r="T4" s="386">
        <f>L4</f>
        <v>2</v>
      </c>
      <c r="U4" s="386">
        <f>M4</f>
        <v>3</v>
      </c>
      <c r="V4" s="386">
        <f>K4</f>
        <v>1</v>
      </c>
      <c r="W4" s="386">
        <f>L4</f>
        <v>2</v>
      </c>
      <c r="X4" s="386">
        <f>M4</f>
        <v>3</v>
      </c>
      <c r="Y4" s="386">
        <f>N4</f>
        <v>4</v>
      </c>
      <c r="Z4" s="386">
        <f>V4</f>
        <v>1</v>
      </c>
      <c r="AA4" s="386">
        <f>W4</f>
        <v>2</v>
      </c>
      <c r="AB4" s="386">
        <f>X4</f>
        <v>3</v>
      </c>
      <c r="AC4" s="386">
        <f>Y4</f>
        <v>4</v>
      </c>
      <c r="AD4" s="386" t="s">
        <v>626</v>
      </c>
      <c r="AE4" s="386" t="s">
        <v>860</v>
      </c>
    </row>
    <row r="5" spans="1:38" x14ac:dyDescent="0.25">
      <c r="A5" s="344">
        <v>0</v>
      </c>
      <c r="B5" s="387">
        <v>0</v>
      </c>
      <c r="C5" s="344">
        <v>3</v>
      </c>
      <c r="D5" s="387">
        <v>9</v>
      </c>
      <c r="E5" s="387">
        <v>18</v>
      </c>
      <c r="F5" s="347">
        <v>24</v>
      </c>
      <c r="G5" s="391">
        <f>SUM(C5:F5)</f>
        <v>54</v>
      </c>
      <c r="I5">
        <f>A5</f>
        <v>0</v>
      </c>
      <c r="J5">
        <f>B5</f>
        <v>0</v>
      </c>
      <c r="K5" s="344">
        <f t="shared" si="0"/>
        <v>3</v>
      </c>
      <c r="L5" s="387">
        <f t="shared" si="0"/>
        <v>9</v>
      </c>
      <c r="M5" s="387">
        <f t="shared" si="0"/>
        <v>18</v>
      </c>
      <c r="N5" s="387">
        <f t="shared" si="0"/>
        <v>24</v>
      </c>
      <c r="O5" s="391">
        <f>SUM(K5:N5)</f>
        <v>54</v>
      </c>
      <c r="P5" s="344">
        <f>EXP(AG$5+MMULT($I5:$J5,AG$6:AG$7))</f>
        <v>8.3467733418190651E-2</v>
      </c>
      <c r="Q5" s="387">
        <f t="shared" ref="Q5:R12" si="1">EXP(AH$5+MMULT($I5:$J5,AH$6:AH$7))</f>
        <v>0.30043229623015594</v>
      </c>
      <c r="R5" s="347">
        <f t="shared" si="1"/>
        <v>0.99460007936139638</v>
      </c>
      <c r="S5" s="344">
        <f t="shared" ref="S5:U12" si="2">P5/(1+P5)</f>
        <v>7.7037581132999244E-2</v>
      </c>
      <c r="T5" s="387">
        <f t="shared" si="2"/>
        <v>0.23102494232193704</v>
      </c>
      <c r="U5" s="347">
        <f t="shared" si="2"/>
        <v>0.49864636507977772</v>
      </c>
      <c r="V5" s="344">
        <f t="shared" ref="V5:V12" si="3">S5</f>
        <v>7.7037581132999244E-2</v>
      </c>
      <c r="W5" s="387">
        <f>T5-S5</f>
        <v>0.1539873611889378</v>
      </c>
      <c r="X5" s="387">
        <f>U5-T5</f>
        <v>0.26762142275784068</v>
      </c>
      <c r="Y5" s="347">
        <f t="shared" ref="Y5:Y12" si="4">1-U5</f>
        <v>0.50135363492022234</v>
      </c>
      <c r="Z5" s="344">
        <f>V5*$O5</f>
        <v>4.1600293811819595</v>
      </c>
      <c r="AA5" s="387">
        <f t="shared" ref="AA5:AC12" si="5">W5*$O5</f>
        <v>8.3153175042026408</v>
      </c>
      <c r="AB5" s="387">
        <f t="shared" si="5"/>
        <v>14.451556828923396</v>
      </c>
      <c r="AC5" s="347">
        <f t="shared" si="5"/>
        <v>27.073096285692007</v>
      </c>
      <c r="AD5" s="7">
        <f>SUMPRODUCT(K5:N5,LN(V5:Y5))</f>
        <v>-64.826268308510933</v>
      </c>
      <c r="AE5">
        <f>GAMMALN(O5+1)-SUMPRODUCT(GAMMALN(K5:N5+1))</f>
        <v>58.546350707740302</v>
      </c>
      <c r="AG5" s="344">
        <v>-2.4832951479365972</v>
      </c>
      <c r="AH5" s="391">
        <v>-1.2025328541181748</v>
      </c>
      <c r="AI5" s="347">
        <v>-5.414552909227429E-3</v>
      </c>
      <c r="AK5" t="s">
        <v>625</v>
      </c>
      <c r="AL5" s="380">
        <f>SUMPRODUCT(K13:N13,LN(K13:N13/O13))+AE13</f>
        <v>-58.714364607210314</v>
      </c>
    </row>
    <row r="6" spans="1:38" x14ac:dyDescent="0.25">
      <c r="A6" s="214">
        <v>0</v>
      </c>
      <c r="B6" s="7">
        <v>1</v>
      </c>
      <c r="C6" s="214">
        <v>6</v>
      </c>
      <c r="D6" s="7">
        <v>13</v>
      </c>
      <c r="E6" s="7">
        <v>16</v>
      </c>
      <c r="F6" s="215">
        <v>28</v>
      </c>
      <c r="G6" s="185">
        <f t="shared" ref="G6:G13" si="6">SUM(C6:F6)</f>
        <v>63</v>
      </c>
      <c r="I6">
        <f t="shared" ref="I6:J12" si="7">A6</f>
        <v>0</v>
      </c>
      <c r="J6">
        <f t="shared" si="7"/>
        <v>1</v>
      </c>
      <c r="K6" s="214">
        <f t="shared" si="0"/>
        <v>6</v>
      </c>
      <c r="L6" s="7">
        <f t="shared" si="0"/>
        <v>13</v>
      </c>
      <c r="M6" s="7">
        <f t="shared" si="0"/>
        <v>16</v>
      </c>
      <c r="N6" s="7">
        <f t="shared" si="0"/>
        <v>28</v>
      </c>
      <c r="O6" s="185">
        <f t="shared" ref="O6:O12" si="8">SUM(K6:N6)</f>
        <v>63</v>
      </c>
      <c r="P6" s="214">
        <f t="shared" ref="P6:P12" si="9">EXP(AG$5+MMULT($I6:$J6,AG$6:AG$7))</f>
        <v>0.10467602684038667</v>
      </c>
      <c r="Q6" s="7">
        <f t="shared" si="1"/>
        <v>0.37833810814942198</v>
      </c>
      <c r="R6" s="215">
        <f t="shared" si="1"/>
        <v>1.3370360995328134</v>
      </c>
      <c r="S6" s="214">
        <f t="shared" si="2"/>
        <v>9.4757217769795232E-2</v>
      </c>
      <c r="T6" s="7">
        <f t="shared" si="2"/>
        <v>0.2744886076300862</v>
      </c>
      <c r="U6" s="215">
        <f t="shared" si="2"/>
        <v>0.5721075938022927</v>
      </c>
      <c r="V6" s="214">
        <f t="shared" si="3"/>
        <v>9.4757217769795232E-2</v>
      </c>
      <c r="W6" s="7">
        <f t="shared" ref="W6:X12" si="10">T6-S6</f>
        <v>0.17973138986029097</v>
      </c>
      <c r="X6" s="7">
        <f t="shared" si="10"/>
        <v>0.2976189861722065</v>
      </c>
      <c r="Y6" s="215">
        <f t="shared" si="4"/>
        <v>0.4278924061977073</v>
      </c>
      <c r="Z6" s="214">
        <f t="shared" ref="Z6:Z12" si="11">V6*$O6</f>
        <v>5.9697047194970994</v>
      </c>
      <c r="AA6" s="7">
        <f t="shared" si="5"/>
        <v>11.323077561198332</v>
      </c>
      <c r="AB6" s="7">
        <f t="shared" si="5"/>
        <v>18.749996128849009</v>
      </c>
      <c r="AC6" s="215">
        <f t="shared" si="5"/>
        <v>26.957221590455561</v>
      </c>
      <c r="AD6" s="7">
        <f t="shared" ref="AD6:AD12" si="12">SUMPRODUCT(K6:N6,LN(V6:Y6))</f>
        <v>-79.610214195177804</v>
      </c>
      <c r="AE6">
        <f t="shared" ref="AE6:AE12" si="13">GAMMALN(O6+1)-SUMPRODUCT(GAMMALN(K6:N6+1))</f>
        <v>73.31629809088578</v>
      </c>
      <c r="AG6" s="214">
        <v>0.27414141827539174</v>
      </c>
      <c r="AH6" s="185">
        <v>0.41437384943342592</v>
      </c>
      <c r="AI6" s="215">
        <v>0.38240255364788328</v>
      </c>
      <c r="AK6" t="s">
        <v>653</v>
      </c>
      <c r="AL6" s="349">
        <f>AD13+AE13</f>
        <v>-51.060546943909458</v>
      </c>
    </row>
    <row r="7" spans="1:38" x14ac:dyDescent="0.25">
      <c r="A7" s="214">
        <v>0</v>
      </c>
      <c r="B7" s="7">
        <v>2</v>
      </c>
      <c r="C7" s="214">
        <v>9</v>
      </c>
      <c r="D7" s="25">
        <v>13</v>
      </c>
      <c r="E7" s="25">
        <v>17</v>
      </c>
      <c r="F7" s="215">
        <v>20</v>
      </c>
      <c r="G7" s="185">
        <f t="shared" si="6"/>
        <v>59</v>
      </c>
      <c r="I7">
        <f t="shared" si="7"/>
        <v>0</v>
      </c>
      <c r="J7">
        <f t="shared" si="7"/>
        <v>2</v>
      </c>
      <c r="K7" s="214">
        <f t="shared" si="0"/>
        <v>9</v>
      </c>
      <c r="L7" s="7">
        <f t="shared" si="0"/>
        <v>13</v>
      </c>
      <c r="M7" s="7">
        <f t="shared" si="0"/>
        <v>17</v>
      </c>
      <c r="N7" s="7">
        <f t="shared" si="0"/>
        <v>20</v>
      </c>
      <c r="O7" s="185">
        <f t="shared" si="8"/>
        <v>59</v>
      </c>
      <c r="P7" s="214">
        <f t="shared" si="9"/>
        <v>0.13127312970381208</v>
      </c>
      <c r="Q7" s="7">
        <f t="shared" si="1"/>
        <v>0.47644586109486331</v>
      </c>
      <c r="R7" s="215">
        <f t="shared" si="1"/>
        <v>1.7973711932556122</v>
      </c>
      <c r="S7" s="214">
        <f t="shared" si="2"/>
        <v>0.11604017302009266</v>
      </c>
      <c r="T7" s="7">
        <f t="shared" si="2"/>
        <v>0.32269782025163679</v>
      </c>
      <c r="U7" s="215">
        <f t="shared" si="2"/>
        <v>0.64252152077244029</v>
      </c>
      <c r="V7" s="214">
        <f t="shared" si="3"/>
        <v>0.11604017302009266</v>
      </c>
      <c r="W7" s="7">
        <f t="shared" si="10"/>
        <v>0.20665764723154412</v>
      </c>
      <c r="X7" s="7">
        <f t="shared" si="10"/>
        <v>0.3198237005208035</v>
      </c>
      <c r="Y7" s="215">
        <f t="shared" si="4"/>
        <v>0.35747847922755971</v>
      </c>
      <c r="Z7" s="214">
        <f t="shared" si="11"/>
        <v>6.8463702081854674</v>
      </c>
      <c r="AA7" s="7">
        <f t="shared" si="5"/>
        <v>12.192801186661104</v>
      </c>
      <c r="AB7" s="7">
        <f t="shared" si="5"/>
        <v>18.869598330727406</v>
      </c>
      <c r="AC7" s="215">
        <f t="shared" si="5"/>
        <v>21.091230274426024</v>
      </c>
      <c r="AD7" s="7">
        <f t="shared" si="12"/>
        <v>-79.834715624602936</v>
      </c>
      <c r="AE7">
        <f t="shared" si="13"/>
        <v>73.339147617354215</v>
      </c>
      <c r="AG7" s="112">
        <v>0.22640999060745948</v>
      </c>
      <c r="AH7" s="123">
        <v>0.23056583696305633</v>
      </c>
      <c r="AI7" s="120">
        <v>0.29586985106304359</v>
      </c>
    </row>
    <row r="8" spans="1:38" x14ac:dyDescent="0.25">
      <c r="A8" s="112">
        <v>0</v>
      </c>
      <c r="B8" s="354">
        <v>3</v>
      </c>
      <c r="C8" s="112">
        <v>5</v>
      </c>
      <c r="D8" s="403">
        <v>7</v>
      </c>
      <c r="E8" s="403">
        <v>16</v>
      </c>
      <c r="F8" s="120">
        <v>16</v>
      </c>
      <c r="G8" s="123">
        <f t="shared" si="6"/>
        <v>44</v>
      </c>
      <c r="I8">
        <f t="shared" si="7"/>
        <v>0</v>
      </c>
      <c r="J8">
        <f t="shared" si="7"/>
        <v>3</v>
      </c>
      <c r="K8" s="214">
        <f t="shared" si="0"/>
        <v>5</v>
      </c>
      <c r="L8" s="7">
        <f t="shared" si="0"/>
        <v>7</v>
      </c>
      <c r="M8" s="7">
        <f t="shared" si="0"/>
        <v>16</v>
      </c>
      <c r="N8" s="7">
        <f t="shared" si="0"/>
        <v>16</v>
      </c>
      <c r="O8" s="185">
        <f t="shared" si="8"/>
        <v>44</v>
      </c>
      <c r="P8" s="214">
        <f t="shared" si="9"/>
        <v>0.16462828311692357</v>
      </c>
      <c r="Q8" s="7">
        <f t="shared" si="1"/>
        <v>0.59999416835053121</v>
      </c>
      <c r="R8" s="215">
        <f t="shared" si="1"/>
        <v>2.4161974440883971</v>
      </c>
      <c r="S8" s="214">
        <f t="shared" si="2"/>
        <v>0.14135693379893266</v>
      </c>
      <c r="T8" s="7">
        <f t="shared" si="2"/>
        <v>0.37499772200362347</v>
      </c>
      <c r="U8" s="215">
        <f t="shared" si="2"/>
        <v>0.70727687249738369</v>
      </c>
      <c r="V8" s="214">
        <f t="shared" si="3"/>
        <v>0.14135693379893266</v>
      </c>
      <c r="W8" s="7">
        <f t="shared" si="10"/>
        <v>0.23364078820469081</v>
      </c>
      <c r="X8" s="7">
        <f t="shared" si="10"/>
        <v>0.33227915049376022</v>
      </c>
      <c r="Y8" s="215">
        <f t="shared" si="4"/>
        <v>0.29272312750261631</v>
      </c>
      <c r="Z8" s="214">
        <f t="shared" si="11"/>
        <v>6.219705087153037</v>
      </c>
      <c r="AA8" s="7">
        <f t="shared" si="5"/>
        <v>10.280194681006396</v>
      </c>
      <c r="AB8" s="7">
        <f t="shared" si="5"/>
        <v>14.620282621725449</v>
      </c>
      <c r="AC8" s="215">
        <f t="shared" si="5"/>
        <v>12.879817610115118</v>
      </c>
      <c r="AD8" s="7">
        <f t="shared" si="12"/>
        <v>-57.245055525823716</v>
      </c>
      <c r="AE8">
        <f t="shared" si="13"/>
        <v>50.660897833348074</v>
      </c>
      <c r="AK8" t="s">
        <v>664</v>
      </c>
      <c r="AL8" s="380">
        <f>2*(AL6-AL5)</f>
        <v>15.307635326601712</v>
      </c>
    </row>
    <row r="9" spans="1:38" x14ac:dyDescent="0.25">
      <c r="A9" s="214">
        <v>1</v>
      </c>
      <c r="B9" s="7">
        <v>0</v>
      </c>
      <c r="C9" s="214">
        <v>4</v>
      </c>
      <c r="D9" s="7">
        <v>8</v>
      </c>
      <c r="E9" s="7">
        <v>11</v>
      </c>
      <c r="F9" s="215">
        <v>25</v>
      </c>
      <c r="G9" s="185">
        <f t="shared" si="6"/>
        <v>48</v>
      </c>
      <c r="I9">
        <f t="shared" si="7"/>
        <v>1</v>
      </c>
      <c r="J9">
        <f t="shared" si="7"/>
        <v>0</v>
      </c>
      <c r="K9" s="214">
        <f t="shared" si="0"/>
        <v>4</v>
      </c>
      <c r="L9" s="7">
        <f t="shared" si="0"/>
        <v>8</v>
      </c>
      <c r="M9" s="7">
        <f t="shared" si="0"/>
        <v>11</v>
      </c>
      <c r="N9" s="7">
        <f t="shared" si="0"/>
        <v>25</v>
      </c>
      <c r="O9" s="185">
        <f t="shared" si="8"/>
        <v>48</v>
      </c>
      <c r="P9" s="214">
        <f t="shared" si="9"/>
        <v>0.10979352421392807</v>
      </c>
      <c r="Q9" s="7">
        <f t="shared" si="1"/>
        <v>0.45468109099636539</v>
      </c>
      <c r="R9" s="215">
        <f t="shared" si="1"/>
        <v>1.4578868157013587</v>
      </c>
      <c r="S9" s="214">
        <f t="shared" si="2"/>
        <v>9.8931487541067911E-2</v>
      </c>
      <c r="T9" s="7">
        <f t="shared" si="2"/>
        <v>0.3125641034386013</v>
      </c>
      <c r="U9" s="215">
        <f t="shared" si="2"/>
        <v>0.59314644042522779</v>
      </c>
      <c r="V9" s="214">
        <f t="shared" si="3"/>
        <v>9.8931487541067911E-2</v>
      </c>
      <c r="W9" s="7">
        <f t="shared" si="10"/>
        <v>0.21363261589753341</v>
      </c>
      <c r="X9" s="7">
        <f t="shared" si="10"/>
        <v>0.28058233698662649</v>
      </c>
      <c r="Y9" s="215">
        <f t="shared" si="4"/>
        <v>0.40685355957477221</v>
      </c>
      <c r="Z9" s="214">
        <f t="shared" si="11"/>
        <v>4.74871140197126</v>
      </c>
      <c r="AA9" s="7">
        <f t="shared" si="5"/>
        <v>10.254365563081603</v>
      </c>
      <c r="AB9" s="7">
        <f t="shared" si="5"/>
        <v>13.467952175358072</v>
      </c>
      <c r="AC9" s="215">
        <f t="shared" si="5"/>
        <v>19.528970859589066</v>
      </c>
      <c r="AD9" s="7">
        <f t="shared" si="12"/>
        <v>-58.063608488888406</v>
      </c>
      <c r="AE9">
        <f t="shared" si="13"/>
        <v>51.385353846286648</v>
      </c>
      <c r="AK9" t="s">
        <v>41</v>
      </c>
      <c r="AL9" s="322">
        <f>COUNT(AG6:AI7)</f>
        <v>6</v>
      </c>
    </row>
    <row r="10" spans="1:38" x14ac:dyDescent="0.25">
      <c r="A10" s="214">
        <v>1</v>
      </c>
      <c r="B10" s="7">
        <v>1</v>
      </c>
      <c r="C10" s="214">
        <v>8</v>
      </c>
      <c r="D10" s="25">
        <v>14</v>
      </c>
      <c r="E10" s="25">
        <v>20</v>
      </c>
      <c r="F10" s="215">
        <v>18</v>
      </c>
      <c r="G10" s="185">
        <f t="shared" si="6"/>
        <v>60</v>
      </c>
      <c r="I10">
        <f t="shared" si="7"/>
        <v>1</v>
      </c>
      <c r="J10">
        <f t="shared" si="7"/>
        <v>1</v>
      </c>
      <c r="K10" s="214">
        <f t="shared" si="0"/>
        <v>8</v>
      </c>
      <c r="L10" s="7">
        <f t="shared" si="0"/>
        <v>14</v>
      </c>
      <c r="M10" s="7">
        <f t="shared" si="0"/>
        <v>20</v>
      </c>
      <c r="N10" s="7">
        <f t="shared" si="0"/>
        <v>18</v>
      </c>
      <c r="O10" s="185">
        <f t="shared" si="8"/>
        <v>60</v>
      </c>
      <c r="P10" s="214">
        <f t="shared" si="9"/>
        <v>0.1376909305771695</v>
      </c>
      <c r="Q10" s="7">
        <f t="shared" si="1"/>
        <v>0.5725855240513027</v>
      </c>
      <c r="R10" s="215">
        <f t="shared" si="1"/>
        <v>1.9598302293291725</v>
      </c>
      <c r="S10" s="214">
        <f t="shared" si="2"/>
        <v>0.12102665748360726</v>
      </c>
      <c r="T10" s="7">
        <f t="shared" si="2"/>
        <v>0.36410453695148165</v>
      </c>
      <c r="U10" s="215">
        <f t="shared" si="2"/>
        <v>0.66214278437630392</v>
      </c>
      <c r="V10" s="214">
        <f t="shared" si="3"/>
        <v>0.12102665748360726</v>
      </c>
      <c r="W10" s="7">
        <f t="shared" si="10"/>
        <v>0.2430778794678744</v>
      </c>
      <c r="X10" s="7">
        <f t="shared" si="10"/>
        <v>0.29803824742482227</v>
      </c>
      <c r="Y10" s="215">
        <f t="shared" si="4"/>
        <v>0.33785721562369608</v>
      </c>
      <c r="Z10" s="214">
        <f t="shared" si="11"/>
        <v>7.2615994490164359</v>
      </c>
      <c r="AA10" s="7">
        <f t="shared" si="5"/>
        <v>14.584672768072464</v>
      </c>
      <c r="AB10" s="7">
        <f t="shared" si="5"/>
        <v>17.882294845489337</v>
      </c>
      <c r="AC10" s="215">
        <f t="shared" si="5"/>
        <v>20.271432937421764</v>
      </c>
      <c r="AD10" s="7">
        <f t="shared" si="12"/>
        <v>-80.438226602067814</v>
      </c>
      <c r="AE10">
        <f t="shared" si="13"/>
        <v>74.101287669401145</v>
      </c>
      <c r="AK10" t="s">
        <v>48</v>
      </c>
      <c r="AL10" s="322">
        <f>CHIDIST(AL8,AL9)</f>
        <v>1.7994324191862535E-2</v>
      </c>
    </row>
    <row r="11" spans="1:38" x14ac:dyDescent="0.25">
      <c r="A11" s="214">
        <v>1</v>
      </c>
      <c r="B11" s="7">
        <v>2</v>
      </c>
      <c r="C11" s="214">
        <v>10</v>
      </c>
      <c r="D11" s="25">
        <v>15</v>
      </c>
      <c r="E11" s="25">
        <v>16</v>
      </c>
      <c r="F11" s="215">
        <v>12</v>
      </c>
      <c r="G11" s="185">
        <f t="shared" si="6"/>
        <v>53</v>
      </c>
      <c r="I11">
        <f t="shared" si="7"/>
        <v>1</v>
      </c>
      <c r="J11">
        <f t="shared" si="7"/>
        <v>2</v>
      </c>
      <c r="K11" s="214">
        <f t="shared" si="0"/>
        <v>10</v>
      </c>
      <c r="L11" s="7">
        <f t="shared" si="0"/>
        <v>15</v>
      </c>
      <c r="M11" s="7">
        <f t="shared" si="0"/>
        <v>16</v>
      </c>
      <c r="N11" s="7">
        <f t="shared" si="0"/>
        <v>12</v>
      </c>
      <c r="O11" s="185">
        <f t="shared" si="8"/>
        <v>53</v>
      </c>
      <c r="P11" s="214">
        <f t="shared" si="9"/>
        <v>0.17267678124865082</v>
      </c>
      <c r="Q11" s="7">
        <f t="shared" si="1"/>
        <v>0.7210640355301815</v>
      </c>
      <c r="R11" s="215">
        <f t="shared" si="1"/>
        <v>2.6345903443434624</v>
      </c>
      <c r="S11" s="214">
        <f t="shared" si="2"/>
        <v>0.14725010677263251</v>
      </c>
      <c r="T11" s="7">
        <f t="shared" si="2"/>
        <v>0.41896409467882145</v>
      </c>
      <c r="U11" s="215">
        <f t="shared" si="2"/>
        <v>0.72486582936195088</v>
      </c>
      <c r="V11" s="214">
        <f t="shared" si="3"/>
        <v>0.14725010677263251</v>
      </c>
      <c r="W11" s="7">
        <f t="shared" si="10"/>
        <v>0.27171398790618895</v>
      </c>
      <c r="X11" s="7">
        <f t="shared" si="10"/>
        <v>0.30590173468312942</v>
      </c>
      <c r="Y11" s="215">
        <f t="shared" si="4"/>
        <v>0.27513417063804912</v>
      </c>
      <c r="Z11" s="214">
        <f t="shared" si="11"/>
        <v>7.8042556589495229</v>
      </c>
      <c r="AA11" s="7">
        <f t="shared" si="5"/>
        <v>14.400841359028014</v>
      </c>
      <c r="AB11" s="7">
        <f t="shared" si="5"/>
        <v>16.212791938205861</v>
      </c>
      <c r="AC11" s="215">
        <f t="shared" si="5"/>
        <v>14.582111043816603</v>
      </c>
      <c r="AD11" s="7">
        <f t="shared" si="12"/>
        <v>-73.139125126130153</v>
      </c>
      <c r="AE11">
        <f t="shared" si="13"/>
        <v>66.668369657971951</v>
      </c>
      <c r="AK11" t="s">
        <v>70</v>
      </c>
      <c r="AL11" s="322">
        <v>0.05</v>
      </c>
    </row>
    <row r="12" spans="1:38" x14ac:dyDescent="0.25">
      <c r="A12" s="112">
        <v>1</v>
      </c>
      <c r="B12" s="354">
        <v>3</v>
      </c>
      <c r="C12" s="112">
        <v>5</v>
      </c>
      <c r="D12" s="354">
        <v>14</v>
      </c>
      <c r="E12" s="354">
        <v>12</v>
      </c>
      <c r="F12" s="120">
        <v>8</v>
      </c>
      <c r="G12" s="123">
        <f t="shared" si="6"/>
        <v>39</v>
      </c>
      <c r="I12">
        <f>A11</f>
        <v>1</v>
      </c>
      <c r="J12">
        <f t="shared" si="7"/>
        <v>3</v>
      </c>
      <c r="K12" s="112">
        <f t="shared" si="0"/>
        <v>5</v>
      </c>
      <c r="L12" s="354">
        <f>D12</f>
        <v>14</v>
      </c>
      <c r="M12" s="354">
        <f t="shared" si="0"/>
        <v>12</v>
      </c>
      <c r="N12" s="354">
        <f t="shared" si="0"/>
        <v>8</v>
      </c>
      <c r="O12" s="123">
        <f t="shared" si="8"/>
        <v>39</v>
      </c>
      <c r="P12" s="112">
        <f t="shared" si="9"/>
        <v>0.21655217709261682</v>
      </c>
      <c r="Q12" s="354">
        <f t="shared" si="1"/>
        <v>0.90804486228765668</v>
      </c>
      <c r="R12" s="120">
        <f t="shared" si="1"/>
        <v>3.5416671192400435</v>
      </c>
      <c r="S12" s="112">
        <f t="shared" si="2"/>
        <v>0.17800484119813512</v>
      </c>
      <c r="T12" s="354">
        <f t="shared" si="2"/>
        <v>0.47590330826862914</v>
      </c>
      <c r="U12" s="120">
        <f t="shared" si="2"/>
        <v>0.77981653570257037</v>
      </c>
      <c r="V12" s="112">
        <f t="shared" si="3"/>
        <v>0.17800484119813512</v>
      </c>
      <c r="W12" s="354">
        <f t="shared" si="10"/>
        <v>0.29789846707049406</v>
      </c>
      <c r="X12" s="354">
        <f t="shared" si="10"/>
        <v>0.30391322743394122</v>
      </c>
      <c r="Y12" s="120">
        <f t="shared" si="4"/>
        <v>0.22018346429742963</v>
      </c>
      <c r="Z12" s="112">
        <f t="shared" si="11"/>
        <v>6.9421888067272697</v>
      </c>
      <c r="AA12" s="354">
        <f t="shared" si="5"/>
        <v>11.618040215749268</v>
      </c>
      <c r="AB12" s="354">
        <f t="shared" si="5"/>
        <v>11.852615869923708</v>
      </c>
      <c r="AC12" s="120">
        <f t="shared" si="5"/>
        <v>8.5871551075997559</v>
      </c>
      <c r="AD12" s="7">
        <f t="shared" si="12"/>
        <v>-51.982268432411367</v>
      </c>
      <c r="AE12">
        <f t="shared" si="13"/>
        <v>46.061229936715577</v>
      </c>
      <c r="AK12" t="s">
        <v>164</v>
      </c>
      <c r="AL12" s="350" t="str">
        <f>IF(AL10&lt;AL11,"yes","no")</f>
        <v>yes</v>
      </c>
    </row>
    <row r="13" spans="1:38" x14ac:dyDescent="0.25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387"/>
      <c r="J13" s="387"/>
      <c r="K13" s="387">
        <f>SUM(K5:K12)</f>
        <v>50</v>
      </c>
      <c r="L13" s="387">
        <f>SUM(L5:L12)</f>
        <v>93</v>
      </c>
      <c r="M13" s="387">
        <f>SUM(M5:M12)</f>
        <v>126</v>
      </c>
      <c r="N13" s="387">
        <f>SUM(N5:N12)</f>
        <v>151</v>
      </c>
      <c r="O13" s="387">
        <f>SUM(O5:O12)</f>
        <v>420</v>
      </c>
      <c r="S13" s="387"/>
      <c r="T13" s="7"/>
      <c r="Z13" s="387">
        <f t="shared" ref="Z13:AE13" si="14">SUM(Z5:Z12)</f>
        <v>49.952564712682047</v>
      </c>
      <c r="AA13" s="387">
        <f t="shared" si="14"/>
        <v>92.969310838999803</v>
      </c>
      <c r="AB13" s="387">
        <f t="shared" si="14"/>
        <v>126.10708873920223</v>
      </c>
      <c r="AC13" s="387">
        <f t="shared" si="14"/>
        <v>150.97103570911591</v>
      </c>
      <c r="AD13" s="387">
        <f t="shared" si="14"/>
        <v>-545.13948230361314</v>
      </c>
      <c r="AE13" s="387">
        <f t="shared" si="14"/>
        <v>494.07893535970368</v>
      </c>
    </row>
    <row r="14" spans="1:38" x14ac:dyDescent="0.25">
      <c r="AK14" t="s">
        <v>661</v>
      </c>
      <c r="AL14" s="380">
        <f>1-(AL6-AE13)/(AL5-AE13)</f>
        <v>1.3845713513096047E-2</v>
      </c>
    </row>
    <row r="15" spans="1:38" x14ac:dyDescent="0.25">
      <c r="AK15" t="s">
        <v>662</v>
      </c>
      <c r="AL15" s="322">
        <f>1-EXP((-2/O13)*(AL6-AL5))</f>
        <v>3.5790564067978092E-2</v>
      </c>
    </row>
    <row r="16" spans="1:38" x14ac:dyDescent="0.25">
      <c r="A16" t="s">
        <v>855</v>
      </c>
      <c r="AK16" t="s">
        <v>663</v>
      </c>
      <c r="AL16" s="349">
        <f>AL15/(1-EXP(2*(AL5-AE13)/O13))</f>
        <v>3.8563650957623125E-2</v>
      </c>
    </row>
    <row r="18" spans="1:15" x14ac:dyDescent="0.25">
      <c r="A18" s="683" t="s">
        <v>932</v>
      </c>
      <c r="B18" s="683" t="s">
        <v>933</v>
      </c>
      <c r="C18" s="683">
        <v>1</v>
      </c>
      <c r="D18" s="683">
        <v>2</v>
      </c>
      <c r="E18" s="683">
        <v>3</v>
      </c>
      <c r="F18" s="683">
        <v>4</v>
      </c>
    </row>
    <row r="19" spans="1:15" x14ac:dyDescent="0.25">
      <c r="A19" s="355">
        <v>1</v>
      </c>
      <c r="B19" s="695">
        <v>2</v>
      </c>
      <c r="C19" s="344" t="e">
        <f t="array" aca="1" ref="C19:F19" ca="1">OLogitPredC(A19:B19,$AG$5:$AI$7)</f>
        <v>#NAME?</v>
      </c>
      <c r="D19" s="345" t="e">
        <f ca="1"/>
        <v>#NAME?</v>
      </c>
      <c r="E19" s="345" t="e">
        <f ca="1"/>
        <v>#NAME?</v>
      </c>
      <c r="F19" s="347" t="e">
        <f ca="1"/>
        <v>#NAME?</v>
      </c>
    </row>
    <row r="20" spans="1:15" x14ac:dyDescent="0.25">
      <c r="A20" s="139">
        <v>1</v>
      </c>
      <c r="B20" s="684">
        <v>2.5</v>
      </c>
      <c r="C20" s="112" t="e">
        <f t="array" aca="1" ref="C20:F20" ca="1">OLogitPredC(A20:B20,$AG$5:$AI$7)</f>
        <v>#NAME?</v>
      </c>
      <c r="D20" s="354" t="e">
        <f ca="1"/>
        <v>#NAME?</v>
      </c>
      <c r="E20" s="354" t="e">
        <f ca="1"/>
        <v>#NAME?</v>
      </c>
      <c r="F20" s="120" t="e">
        <f ca="1"/>
        <v>#NAME?</v>
      </c>
    </row>
    <row r="23" spans="1:15" x14ac:dyDescent="0.25">
      <c r="A23" t="s">
        <v>948</v>
      </c>
    </row>
    <row r="25" spans="1:15" x14ac:dyDescent="0.25">
      <c r="A25" s="12" t="s">
        <v>932</v>
      </c>
      <c r="B25" s="12" t="s">
        <v>933</v>
      </c>
      <c r="C25">
        <v>1</v>
      </c>
      <c r="D25">
        <v>2</v>
      </c>
      <c r="E25">
        <v>3</v>
      </c>
      <c r="F25">
        <v>4</v>
      </c>
      <c r="G25" s="12" t="s">
        <v>934</v>
      </c>
      <c r="I25" t="e">
        <f t="array" aca="1" ref="I25:L28" ca="1">MLogitCoeff(A25:F33,3,TRUE,TRUE)</f>
        <v>#NAME?</v>
      </c>
      <c r="J25" t="e">
        <f ca="1"/>
        <v>#NAME?</v>
      </c>
      <c r="K25" t="e">
        <f ca="1"/>
        <v>#NAME?</v>
      </c>
      <c r="L25" t="e">
        <f ca="1"/>
        <v>#NAME?</v>
      </c>
      <c r="N25" t="e">
        <f t="array" aca="1" ref="N25:O29" ca="1">MLogitTest(A26:F33,3,TRUE)</f>
        <v>#NAME?</v>
      </c>
      <c r="O25" s="391" t="e">
        <f ca="1"/>
        <v>#NAME?</v>
      </c>
    </row>
    <row r="26" spans="1:15" x14ac:dyDescent="0.25">
      <c r="A26" s="344">
        <v>0</v>
      </c>
      <c r="B26" s="387">
        <v>0</v>
      </c>
      <c r="C26" s="344">
        <v>3</v>
      </c>
      <c r="D26" s="387">
        <v>9</v>
      </c>
      <c r="E26" s="387">
        <v>18</v>
      </c>
      <c r="F26" s="347">
        <v>24</v>
      </c>
      <c r="G26" s="391">
        <f>SUM(C26:F26)</f>
        <v>54</v>
      </c>
      <c r="I26" t="e">
        <f ca="1"/>
        <v>#NAME?</v>
      </c>
      <c r="J26" s="344" t="e">
        <f ca="1"/>
        <v>#NAME?</v>
      </c>
      <c r="K26" s="345" t="e">
        <f ca="1"/>
        <v>#NAME?</v>
      </c>
      <c r="L26" s="347" t="e">
        <f ca="1"/>
        <v>#NAME?</v>
      </c>
      <c r="N26" t="e">
        <f ca="1"/>
        <v>#NAME?</v>
      </c>
      <c r="O26" s="185" t="e">
        <f ca="1"/>
        <v>#NAME?</v>
      </c>
    </row>
    <row r="27" spans="1:15" x14ac:dyDescent="0.25">
      <c r="A27" s="214">
        <v>0</v>
      </c>
      <c r="B27" s="7">
        <v>1</v>
      </c>
      <c r="C27" s="214">
        <v>6</v>
      </c>
      <c r="D27" s="7">
        <v>13</v>
      </c>
      <c r="E27" s="7">
        <v>16</v>
      </c>
      <c r="F27" s="215">
        <v>28</v>
      </c>
      <c r="G27" s="185">
        <f t="shared" ref="G27:G34" si="15">SUM(C27:F27)</f>
        <v>63</v>
      </c>
      <c r="I27" t="e">
        <f ca="1"/>
        <v>#NAME?</v>
      </c>
      <c r="J27" s="214" t="e">
        <f ca="1"/>
        <v>#NAME?</v>
      </c>
      <c r="K27" s="7" t="e">
        <f ca="1"/>
        <v>#NAME?</v>
      </c>
      <c r="L27" s="215" t="e">
        <f ca="1"/>
        <v>#NAME?</v>
      </c>
      <c r="N27" t="e">
        <f ca="1"/>
        <v>#NAME?</v>
      </c>
      <c r="O27" s="185" t="e">
        <f ca="1"/>
        <v>#NAME?</v>
      </c>
    </row>
    <row r="28" spans="1:15" x14ac:dyDescent="0.25">
      <c r="A28" s="214">
        <v>0</v>
      </c>
      <c r="B28" s="7">
        <v>2</v>
      </c>
      <c r="C28" s="214">
        <v>9</v>
      </c>
      <c r="D28" s="25">
        <v>13</v>
      </c>
      <c r="E28" s="25">
        <v>17</v>
      </c>
      <c r="F28" s="215">
        <v>20</v>
      </c>
      <c r="G28" s="185">
        <f t="shared" si="15"/>
        <v>59</v>
      </c>
      <c r="I28" t="e">
        <f ca="1"/>
        <v>#NAME?</v>
      </c>
      <c r="J28" s="112" t="e">
        <f ca="1"/>
        <v>#NAME?</v>
      </c>
      <c r="K28" s="354" t="e">
        <f ca="1"/>
        <v>#NAME?</v>
      </c>
      <c r="L28" s="120" t="e">
        <f ca="1"/>
        <v>#NAME?</v>
      </c>
      <c r="N28" t="e">
        <f ca="1"/>
        <v>#NAME?</v>
      </c>
      <c r="O28" s="185" t="e">
        <f ca="1"/>
        <v>#NAME?</v>
      </c>
    </row>
    <row r="29" spans="1:15" x14ac:dyDescent="0.25">
      <c r="A29" s="112">
        <v>0</v>
      </c>
      <c r="B29" s="354">
        <v>3</v>
      </c>
      <c r="C29" s="112">
        <v>5</v>
      </c>
      <c r="D29" s="403">
        <v>7</v>
      </c>
      <c r="E29" s="403">
        <v>16</v>
      </c>
      <c r="F29" s="120">
        <v>16</v>
      </c>
      <c r="G29" s="123">
        <f t="shared" si="15"/>
        <v>44</v>
      </c>
      <c r="N29" t="e">
        <f ca="1"/>
        <v>#NAME?</v>
      </c>
      <c r="O29" s="123" t="e">
        <f ca="1"/>
        <v>#NAME?</v>
      </c>
    </row>
    <row r="30" spans="1:15" x14ac:dyDescent="0.25">
      <c r="A30" s="214">
        <v>1</v>
      </c>
      <c r="B30" s="7">
        <v>0</v>
      </c>
      <c r="C30" s="214">
        <v>4</v>
      </c>
      <c r="D30" s="7">
        <v>8</v>
      </c>
      <c r="E30" s="7">
        <v>11</v>
      </c>
      <c r="F30" s="215">
        <v>25</v>
      </c>
      <c r="G30" s="185">
        <f t="shared" si="15"/>
        <v>48</v>
      </c>
    </row>
    <row r="31" spans="1:15" x14ac:dyDescent="0.25">
      <c r="A31" s="214">
        <v>1</v>
      </c>
      <c r="B31" s="7">
        <v>1</v>
      </c>
      <c r="C31" s="214">
        <v>8</v>
      </c>
      <c r="D31" s="25">
        <v>14</v>
      </c>
      <c r="E31" s="25">
        <v>20</v>
      </c>
      <c r="F31" s="215">
        <v>18</v>
      </c>
      <c r="G31" s="185">
        <f t="shared" si="15"/>
        <v>60</v>
      </c>
      <c r="I31" s="12" t="s">
        <v>932</v>
      </c>
      <c r="J31" s="12" t="s">
        <v>933</v>
      </c>
      <c r="K31">
        <v>1</v>
      </c>
      <c r="L31">
        <v>2</v>
      </c>
      <c r="M31">
        <v>3</v>
      </c>
      <c r="N31">
        <v>4</v>
      </c>
    </row>
    <row r="32" spans="1:15" x14ac:dyDescent="0.25">
      <c r="A32" s="214">
        <v>1</v>
      </c>
      <c r="B32" s="7">
        <v>2</v>
      </c>
      <c r="C32" s="214">
        <v>10</v>
      </c>
      <c r="D32" s="25">
        <v>15</v>
      </c>
      <c r="E32" s="25">
        <v>16</v>
      </c>
      <c r="F32" s="215">
        <v>12</v>
      </c>
      <c r="G32" s="185">
        <f t="shared" si="15"/>
        <v>53</v>
      </c>
      <c r="I32" s="344">
        <v>1</v>
      </c>
      <c r="J32" s="345">
        <v>2</v>
      </c>
      <c r="K32" s="344" t="e">
        <f t="array" aca="1" ref="K32:N32" ca="1">MLogitPredC(I32:J32,$J$26:$L$28)</f>
        <v>#NAME?</v>
      </c>
      <c r="L32" s="345" t="e">
        <f ca="1"/>
        <v>#NAME?</v>
      </c>
      <c r="M32" s="345" t="e">
        <f ca="1"/>
        <v>#NAME?</v>
      </c>
      <c r="N32" s="347" t="e">
        <f ca="1"/>
        <v>#NAME?</v>
      </c>
    </row>
    <row r="33" spans="1:14" x14ac:dyDescent="0.25">
      <c r="A33" s="112">
        <v>1</v>
      </c>
      <c r="B33" s="354">
        <v>3</v>
      </c>
      <c r="C33" s="112">
        <v>5</v>
      </c>
      <c r="D33" s="354">
        <v>14</v>
      </c>
      <c r="E33" s="354">
        <v>12</v>
      </c>
      <c r="F33" s="120">
        <v>8</v>
      </c>
      <c r="G33" s="123">
        <f t="shared" si="15"/>
        <v>39</v>
      </c>
      <c r="I33" s="112">
        <v>1</v>
      </c>
      <c r="J33" s="354">
        <v>2.5</v>
      </c>
      <c r="K33" s="112" t="e">
        <f t="array" aca="1" ref="K33:N33" ca="1">MLogitPredC(I33:J33,$J$26:$L$28)</f>
        <v>#NAME?</v>
      </c>
      <c r="L33" s="354" t="e">
        <f ca="1"/>
        <v>#NAME?</v>
      </c>
      <c r="M33" s="354" t="e">
        <f ca="1"/>
        <v>#NAME?</v>
      </c>
      <c r="N33" s="120" t="e">
        <f ca="1"/>
        <v>#NAME?</v>
      </c>
    </row>
    <row r="34" spans="1:14" x14ac:dyDescent="0.25">
      <c r="C34">
        <f>SUM(C26:C33)</f>
        <v>50</v>
      </c>
      <c r="D34">
        <f>SUM(D26:D33)</f>
        <v>93</v>
      </c>
      <c r="E34">
        <f>SUM(E26:E33)</f>
        <v>126</v>
      </c>
      <c r="F34">
        <f>SUM(F26:F33)</f>
        <v>151</v>
      </c>
      <c r="G34">
        <f t="shared" si="15"/>
        <v>420</v>
      </c>
    </row>
  </sheetData>
  <mergeCells count="8">
    <mergeCell ref="AG3:AI3"/>
    <mergeCell ref="AD3:AE3"/>
    <mergeCell ref="I3:J3"/>
    <mergeCell ref="K3:O3"/>
    <mergeCell ref="P3:R3"/>
    <mergeCell ref="S3:U3"/>
    <mergeCell ref="V3:Y3"/>
    <mergeCell ref="Z3:AC3"/>
  </mergeCells>
  <pageMargins left="0.7" right="0.7" top="0.75" bottom="0.75" header="0.3" footer="0.3"/>
  <ignoredErrors>
    <ignoredError sqref="G5:G12 C13:F13 G26 C34:F34 G27:G33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AL16"/>
  <sheetViews>
    <sheetView workbookViewId="0"/>
  </sheetViews>
  <sheetFormatPr defaultRowHeight="15" x14ac:dyDescent="0.25"/>
  <cols>
    <col min="32" max="32" width="3.140625" customWidth="1"/>
    <col min="36" max="36" width="3.28515625" customWidth="1"/>
  </cols>
  <sheetData>
    <row r="1" spans="1:38" x14ac:dyDescent="0.25">
      <c r="A1" s="1" t="s">
        <v>930</v>
      </c>
    </row>
    <row r="2" spans="1:38" x14ac:dyDescent="0.25">
      <c r="A2" s="15" t="s">
        <v>938</v>
      </c>
    </row>
    <row r="3" spans="1:38" ht="15.75" thickBot="1" x14ac:dyDescent="0.3">
      <c r="I3" s="772" t="s">
        <v>892</v>
      </c>
      <c r="J3" s="772"/>
      <c r="K3" s="772" t="s">
        <v>77</v>
      </c>
      <c r="L3" s="772"/>
      <c r="M3" s="772"/>
      <c r="N3" s="772"/>
      <c r="O3" s="772"/>
      <c r="P3" s="772" t="s">
        <v>93</v>
      </c>
      <c r="Q3" s="772"/>
      <c r="R3" s="772"/>
      <c r="S3" s="772" t="s">
        <v>931</v>
      </c>
      <c r="T3" s="772"/>
      <c r="U3" s="772"/>
      <c r="V3" s="772" t="s">
        <v>894</v>
      </c>
      <c r="W3" s="772"/>
      <c r="X3" s="772"/>
      <c r="Y3" s="772"/>
      <c r="Z3" s="772" t="s">
        <v>893</v>
      </c>
      <c r="AA3" s="772"/>
      <c r="AB3" s="772"/>
      <c r="AC3" s="772"/>
      <c r="AD3" s="772" t="s">
        <v>891</v>
      </c>
      <c r="AE3" s="772"/>
      <c r="AG3" s="773" t="s">
        <v>129</v>
      </c>
      <c r="AH3" s="773"/>
      <c r="AI3" s="773"/>
    </row>
    <row r="4" spans="1:38" ht="15.75" thickTop="1" x14ac:dyDescent="0.25">
      <c r="A4" s="12" t="s">
        <v>932</v>
      </c>
      <c r="B4" s="12" t="s">
        <v>933</v>
      </c>
      <c r="C4">
        <v>1</v>
      </c>
      <c r="D4">
        <v>2</v>
      </c>
      <c r="E4">
        <v>3</v>
      </c>
      <c r="F4">
        <v>4</v>
      </c>
      <c r="G4" s="12" t="s">
        <v>934</v>
      </c>
      <c r="I4" s="386" t="str">
        <f t="shared" ref="I4:N12" si="0">A4</f>
        <v>gender</v>
      </c>
      <c r="J4" s="386" t="str">
        <f t="shared" si="0"/>
        <v>age</v>
      </c>
      <c r="K4" s="386">
        <f t="shared" si="0"/>
        <v>1</v>
      </c>
      <c r="L4" s="386">
        <f t="shared" si="0"/>
        <v>2</v>
      </c>
      <c r="M4" s="386">
        <f t="shared" si="0"/>
        <v>3</v>
      </c>
      <c r="N4" s="386">
        <f t="shared" si="0"/>
        <v>4</v>
      </c>
      <c r="O4" s="386" t="s">
        <v>1</v>
      </c>
      <c r="P4" s="386">
        <f>K4</f>
        <v>1</v>
      </c>
      <c r="Q4" s="386">
        <f>L4</f>
        <v>2</v>
      </c>
      <c r="R4" s="386">
        <f>M4</f>
        <v>3</v>
      </c>
      <c r="S4" s="386">
        <f>K4</f>
        <v>1</v>
      </c>
      <c r="T4" s="386">
        <f>L4</f>
        <v>2</v>
      </c>
      <c r="U4" s="386">
        <f>M4</f>
        <v>3</v>
      </c>
      <c r="V4" s="386">
        <f>K4</f>
        <v>1</v>
      </c>
      <c r="W4" s="386">
        <f>L4</f>
        <v>2</v>
      </c>
      <c r="X4" s="386">
        <f>M4</f>
        <v>3</v>
      </c>
      <c r="Y4" s="386">
        <f>N4</f>
        <v>4</v>
      </c>
      <c r="Z4" s="386">
        <f>V4</f>
        <v>1</v>
      </c>
      <c r="AA4" s="386">
        <f>W4</f>
        <v>2</v>
      </c>
      <c r="AB4" s="386">
        <f>X4</f>
        <v>3</v>
      </c>
      <c r="AC4" s="386">
        <f>Y4</f>
        <v>4</v>
      </c>
      <c r="AD4" s="386" t="s">
        <v>626</v>
      </c>
      <c r="AE4" s="386" t="s">
        <v>860</v>
      </c>
    </row>
    <row r="5" spans="1:38" x14ac:dyDescent="0.25">
      <c r="A5" s="344">
        <v>0</v>
      </c>
      <c r="B5" s="387">
        <v>0</v>
      </c>
      <c r="C5" s="344">
        <v>3</v>
      </c>
      <c r="D5" s="387">
        <v>9</v>
      </c>
      <c r="E5" s="387">
        <v>18</v>
      </c>
      <c r="F5" s="347">
        <v>24</v>
      </c>
      <c r="G5" s="391">
        <f>SUM(C5:F5)</f>
        <v>54</v>
      </c>
      <c r="I5">
        <f>A5</f>
        <v>0</v>
      </c>
      <c r="J5">
        <f>B5</f>
        <v>0</v>
      </c>
      <c r="K5" s="344">
        <f t="shared" si="0"/>
        <v>3</v>
      </c>
      <c r="L5" s="387">
        <f t="shared" si="0"/>
        <v>9</v>
      </c>
      <c r="M5" s="387">
        <f t="shared" si="0"/>
        <v>18</v>
      </c>
      <c r="N5" s="387">
        <f t="shared" si="0"/>
        <v>24</v>
      </c>
      <c r="O5" s="391">
        <f>SUM(K5:N5)</f>
        <v>54</v>
      </c>
      <c r="P5" s="344">
        <f>EXP(AG$5+MMULT($I5:$J5,AG$6:AG$7))</f>
        <v>7.421053533562294E-2</v>
      </c>
      <c r="Q5" s="387">
        <f t="shared" ref="Q5:R12" si="1">EXP(AH$5+MMULT($I5:$J5,AH$6:AH$7))</f>
        <v>0.29021432212977133</v>
      </c>
      <c r="R5" s="347">
        <f t="shared" si="1"/>
        <v>1.0380423129802436</v>
      </c>
      <c r="S5" s="344">
        <f t="shared" ref="S5:U12" si="2">P5/(1+P5)</f>
        <v>6.9083790276211393E-2</v>
      </c>
      <c r="T5" s="387">
        <f t="shared" si="2"/>
        <v>0.22493497177330296</v>
      </c>
      <c r="U5" s="347">
        <f t="shared" si="2"/>
        <v>0.50933305278746011</v>
      </c>
      <c r="V5" s="344">
        <f t="shared" ref="V5:V12" si="3">S5</f>
        <v>6.9083790276211393E-2</v>
      </c>
      <c r="W5" s="387">
        <f>T5-S5</f>
        <v>0.15585118149709157</v>
      </c>
      <c r="X5" s="387">
        <f>U5-T5</f>
        <v>0.28439808101415714</v>
      </c>
      <c r="Y5" s="347">
        <f t="shared" ref="Y5:Y12" si="4">1-U5</f>
        <v>0.49066694721253989</v>
      </c>
      <c r="Z5" s="344">
        <f>V5*$O5</f>
        <v>3.7305246749154151</v>
      </c>
      <c r="AA5" s="387">
        <f t="shared" ref="AA5:AC12" si="5">W5*$O5</f>
        <v>8.4159638008429454</v>
      </c>
      <c r="AB5" s="387">
        <f t="shared" si="5"/>
        <v>15.357496374764485</v>
      </c>
      <c r="AC5" s="347">
        <f t="shared" si="5"/>
        <v>26.496015149477156</v>
      </c>
      <c r="AD5" s="7">
        <f>SUMPRODUCT(K5:N5,LN(V5:Y5))</f>
        <v>-64.467587336623382</v>
      </c>
      <c r="AE5">
        <f>GAMMALN(O5+1)-SUMPRODUCT(GAMMALN(K5:N5+1))</f>
        <v>58.546350707740302</v>
      </c>
      <c r="AG5" s="344">
        <f>AG9</f>
        <v>-2.6008491532325158</v>
      </c>
      <c r="AH5" s="391">
        <f>AG10</f>
        <v>-1.2371355871317544</v>
      </c>
      <c r="AI5" s="347">
        <f>AG11</f>
        <v>3.7336547863007989E-2</v>
      </c>
      <c r="AK5" t="s">
        <v>625</v>
      </c>
      <c r="AL5" s="380">
        <f>SUMPRODUCT(K13:N13,LN(K13:N13/O13))+AE13</f>
        <v>-58.714364607210314</v>
      </c>
    </row>
    <row r="6" spans="1:38" x14ac:dyDescent="0.25">
      <c r="A6" s="214">
        <v>0</v>
      </c>
      <c r="B6" s="7">
        <v>1</v>
      </c>
      <c r="C6" s="214">
        <v>6</v>
      </c>
      <c r="D6" s="7">
        <v>13</v>
      </c>
      <c r="E6" s="7">
        <v>16</v>
      </c>
      <c r="F6" s="215">
        <v>28</v>
      </c>
      <c r="G6" s="185">
        <f t="shared" ref="G6:G13" si="6">SUM(C6:F6)</f>
        <v>63</v>
      </c>
      <c r="I6">
        <f t="shared" ref="I6:J12" si="7">A6</f>
        <v>0</v>
      </c>
      <c r="J6">
        <f t="shared" si="7"/>
        <v>1</v>
      </c>
      <c r="K6" s="214">
        <f t="shared" si="0"/>
        <v>6</v>
      </c>
      <c r="L6" s="7">
        <f t="shared" si="0"/>
        <v>13</v>
      </c>
      <c r="M6" s="7">
        <f t="shared" si="0"/>
        <v>16</v>
      </c>
      <c r="N6" s="7">
        <f t="shared" si="0"/>
        <v>28</v>
      </c>
      <c r="O6" s="185">
        <f t="shared" ref="O6:O12" si="8">SUM(K6:N6)</f>
        <v>63</v>
      </c>
      <c r="P6" s="214">
        <f t="shared" ref="P6:P12" si="9">EXP(AG$5+MMULT($I6:$J6,AG$6:AG$7))</f>
        <v>9.6519426087453036E-2</v>
      </c>
      <c r="Q6" s="7">
        <f t="shared" si="1"/>
        <v>0.37745745516645801</v>
      </c>
      <c r="R6" s="215">
        <f t="shared" si="1"/>
        <v>1.3500946711975954</v>
      </c>
      <c r="S6" s="214">
        <f t="shared" si="2"/>
        <v>8.8023452928553139E-2</v>
      </c>
      <c r="T6" s="7">
        <f t="shared" si="2"/>
        <v>0.2740247647945282</v>
      </c>
      <c r="U6" s="215">
        <f t="shared" si="2"/>
        <v>0.57448522723112017</v>
      </c>
      <c r="V6" s="214">
        <f t="shared" si="3"/>
        <v>8.8023452928553139E-2</v>
      </c>
      <c r="W6" s="7">
        <f t="shared" ref="W6:X12" si="10">T6-S6</f>
        <v>0.18600131186597507</v>
      </c>
      <c r="X6" s="7">
        <f t="shared" si="10"/>
        <v>0.30046046243659197</v>
      </c>
      <c r="Y6" s="215">
        <f t="shared" si="4"/>
        <v>0.42551477276887983</v>
      </c>
      <c r="Z6" s="214">
        <f t="shared" ref="Z6:Z12" si="11">V6*$O6</f>
        <v>5.5454775344988478</v>
      </c>
      <c r="AA6" s="7">
        <f t="shared" si="5"/>
        <v>11.718082647556429</v>
      </c>
      <c r="AB6" s="7">
        <f t="shared" si="5"/>
        <v>18.929009133505293</v>
      </c>
      <c r="AC6" s="215">
        <f t="shared" si="5"/>
        <v>26.807430684439428</v>
      </c>
      <c r="AD6" s="7">
        <f t="shared" ref="AD6:AD12" si="12">SUMPRODUCT(K6:N6,LN(V6:Y6))</f>
        <v>-79.61071497897737</v>
      </c>
      <c r="AE6">
        <f t="shared" ref="AE6:AE12" si="13">GAMMALN(O6+1)-SUMPRODUCT(GAMMALN(K6:N6+1))</f>
        <v>73.31629809088578</v>
      </c>
      <c r="AG6" s="214">
        <f>AG12</f>
        <v>0.37731656726151019</v>
      </c>
      <c r="AH6" s="185">
        <f>AG6</f>
        <v>0.37731656726151019</v>
      </c>
      <c r="AI6" s="215">
        <f>AG6</f>
        <v>0.37731656726151019</v>
      </c>
      <c r="AK6" t="s">
        <v>653</v>
      </c>
      <c r="AL6" s="349">
        <f>AD13+AE13</f>
        <v>-51.447209382604228</v>
      </c>
    </row>
    <row r="7" spans="1:38" x14ac:dyDescent="0.25">
      <c r="A7" s="214">
        <v>0</v>
      </c>
      <c r="B7" s="7">
        <v>2</v>
      </c>
      <c r="C7" s="214">
        <v>9</v>
      </c>
      <c r="D7" s="25">
        <v>13</v>
      </c>
      <c r="E7" s="25">
        <v>17</v>
      </c>
      <c r="F7" s="215">
        <v>20</v>
      </c>
      <c r="G7" s="185">
        <f t="shared" si="6"/>
        <v>59</v>
      </c>
      <c r="I7">
        <f t="shared" si="7"/>
        <v>0</v>
      </c>
      <c r="J7">
        <f t="shared" si="7"/>
        <v>2</v>
      </c>
      <c r="K7" s="214">
        <f t="shared" si="0"/>
        <v>9</v>
      </c>
      <c r="L7" s="7">
        <f t="shared" si="0"/>
        <v>13</v>
      </c>
      <c r="M7" s="7">
        <f t="shared" si="0"/>
        <v>17</v>
      </c>
      <c r="N7" s="7">
        <f t="shared" si="0"/>
        <v>20</v>
      </c>
      <c r="O7" s="185">
        <f t="shared" si="8"/>
        <v>59</v>
      </c>
      <c r="P7" s="214">
        <f t="shared" si="9"/>
        <v>0.12553473129009202</v>
      </c>
      <c r="Q7" s="7">
        <f t="shared" si="1"/>
        <v>0.4909272892363678</v>
      </c>
      <c r="R7" s="215">
        <f t="shared" si="1"/>
        <v>1.75595503035225</v>
      </c>
      <c r="S7" s="214">
        <f t="shared" si="2"/>
        <v>0.11153341411881945</v>
      </c>
      <c r="T7" s="7">
        <f t="shared" si="2"/>
        <v>0.32927647966509077</v>
      </c>
      <c r="U7" s="215">
        <f t="shared" si="2"/>
        <v>0.6371493768995985</v>
      </c>
      <c r="V7" s="214">
        <f t="shared" si="3"/>
        <v>0.11153341411881945</v>
      </c>
      <c r="W7" s="7">
        <f t="shared" si="10"/>
        <v>0.21774306554627132</v>
      </c>
      <c r="X7" s="7">
        <f t="shared" si="10"/>
        <v>0.30787289723450773</v>
      </c>
      <c r="Y7" s="215">
        <f t="shared" si="4"/>
        <v>0.3628506231004015</v>
      </c>
      <c r="Z7" s="214">
        <f t="shared" si="11"/>
        <v>6.5804714330103478</v>
      </c>
      <c r="AA7" s="7">
        <f t="shared" si="5"/>
        <v>12.846840867230007</v>
      </c>
      <c r="AB7" s="7">
        <f t="shared" si="5"/>
        <v>18.164500936835957</v>
      </c>
      <c r="AC7" s="215">
        <f t="shared" si="5"/>
        <v>21.408186762923687</v>
      </c>
      <c r="AD7" s="7">
        <f t="shared" si="12"/>
        <v>-79.861034131952238</v>
      </c>
      <c r="AE7">
        <f t="shared" si="13"/>
        <v>73.339147617354215</v>
      </c>
      <c r="AG7" s="112">
        <f>AG13</f>
        <v>0.26283816894159379</v>
      </c>
      <c r="AH7" s="123">
        <f>AG7</f>
        <v>0.26283816894159379</v>
      </c>
      <c r="AI7" s="120">
        <f>AG7</f>
        <v>0.26283816894159379</v>
      </c>
    </row>
    <row r="8" spans="1:38" x14ac:dyDescent="0.25">
      <c r="A8" s="112">
        <v>0</v>
      </c>
      <c r="B8" s="354">
        <v>3</v>
      </c>
      <c r="C8" s="112">
        <v>5</v>
      </c>
      <c r="D8" s="403">
        <v>7</v>
      </c>
      <c r="E8" s="403">
        <v>16</v>
      </c>
      <c r="F8" s="120">
        <v>16</v>
      </c>
      <c r="G8" s="123">
        <f t="shared" si="6"/>
        <v>44</v>
      </c>
      <c r="I8">
        <f t="shared" si="7"/>
        <v>0</v>
      </c>
      <c r="J8">
        <f t="shared" si="7"/>
        <v>3</v>
      </c>
      <c r="K8" s="214">
        <f t="shared" si="0"/>
        <v>5</v>
      </c>
      <c r="L8" s="7">
        <f t="shared" si="0"/>
        <v>7</v>
      </c>
      <c r="M8" s="7">
        <f t="shared" si="0"/>
        <v>16</v>
      </c>
      <c r="N8" s="7">
        <f t="shared" si="0"/>
        <v>16</v>
      </c>
      <c r="O8" s="185">
        <f t="shared" si="8"/>
        <v>44</v>
      </c>
      <c r="P8" s="214">
        <f t="shared" si="9"/>
        <v>0.16327250791770084</v>
      </c>
      <c r="Q8" s="7">
        <f t="shared" si="1"/>
        <v>0.63850799611490938</v>
      </c>
      <c r="R8" s="215">
        <f t="shared" si="1"/>
        <v>2.2838235972624608</v>
      </c>
      <c r="S8" s="214">
        <f t="shared" si="2"/>
        <v>0.14035619926234175</v>
      </c>
      <c r="T8" s="7">
        <f t="shared" si="2"/>
        <v>0.38968866653619338</v>
      </c>
      <c r="U8" s="215">
        <f t="shared" si="2"/>
        <v>0.69547694314833364</v>
      </c>
      <c r="V8" s="214">
        <f t="shared" si="3"/>
        <v>0.14035619926234175</v>
      </c>
      <c r="W8" s="7">
        <f t="shared" si="10"/>
        <v>0.24933246727385164</v>
      </c>
      <c r="X8" s="7">
        <f t="shared" si="10"/>
        <v>0.30578827661214025</v>
      </c>
      <c r="Y8" s="215">
        <f t="shared" si="4"/>
        <v>0.30452305685166636</v>
      </c>
      <c r="Z8" s="214">
        <f t="shared" si="11"/>
        <v>6.1756727675430367</v>
      </c>
      <c r="AA8" s="7">
        <f t="shared" si="5"/>
        <v>10.970628560049471</v>
      </c>
      <c r="AB8" s="7">
        <f t="shared" si="5"/>
        <v>13.454684170934172</v>
      </c>
      <c r="AC8" s="215">
        <f t="shared" si="5"/>
        <v>13.399014501473321</v>
      </c>
      <c r="AD8" s="7">
        <f t="shared" si="12"/>
        <v>-57.522568235298621</v>
      </c>
      <c r="AE8">
        <f t="shared" si="13"/>
        <v>50.660897833348074</v>
      </c>
      <c r="AK8" t="s">
        <v>664</v>
      </c>
      <c r="AL8" s="380">
        <f>2*(AL6-AL5)</f>
        <v>14.534310449212171</v>
      </c>
    </row>
    <row r="9" spans="1:38" x14ac:dyDescent="0.25">
      <c r="A9" s="214">
        <v>1</v>
      </c>
      <c r="B9" s="7">
        <v>0</v>
      </c>
      <c r="C9" s="214">
        <v>4</v>
      </c>
      <c r="D9" s="7">
        <v>8</v>
      </c>
      <c r="E9" s="7">
        <v>11</v>
      </c>
      <c r="F9" s="215">
        <v>25</v>
      </c>
      <c r="G9" s="185">
        <f t="shared" si="6"/>
        <v>48</v>
      </c>
      <c r="I9">
        <f t="shared" si="7"/>
        <v>1</v>
      </c>
      <c r="J9">
        <f t="shared" si="7"/>
        <v>0</v>
      </c>
      <c r="K9" s="214">
        <f t="shared" si="0"/>
        <v>4</v>
      </c>
      <c r="L9" s="7">
        <f t="shared" si="0"/>
        <v>8</v>
      </c>
      <c r="M9" s="7">
        <f t="shared" si="0"/>
        <v>11</v>
      </c>
      <c r="N9" s="7">
        <f t="shared" si="0"/>
        <v>25</v>
      </c>
      <c r="O9" s="185">
        <f t="shared" si="8"/>
        <v>48</v>
      </c>
      <c r="P9" s="214">
        <f t="shared" si="9"/>
        <v>0.10822611468894258</v>
      </c>
      <c r="Q9" s="7">
        <f t="shared" si="1"/>
        <v>0.42323867317681718</v>
      </c>
      <c r="R9" s="215">
        <f t="shared" si="1"/>
        <v>1.5138455194871427</v>
      </c>
      <c r="S9" s="214">
        <f t="shared" si="2"/>
        <v>9.7657069486509568E-2</v>
      </c>
      <c r="T9" s="7">
        <f t="shared" si="2"/>
        <v>0.29737715897791361</v>
      </c>
      <c r="U9" s="215">
        <f t="shared" si="2"/>
        <v>0.6022030819920815</v>
      </c>
      <c r="V9" s="214">
        <f t="shared" si="3"/>
        <v>9.7657069486509568E-2</v>
      </c>
      <c r="W9" s="7">
        <f t="shared" si="10"/>
        <v>0.19972008949140405</v>
      </c>
      <c r="X9" s="7">
        <f t="shared" si="10"/>
        <v>0.30482592301416789</v>
      </c>
      <c r="Y9" s="215">
        <f t="shared" si="4"/>
        <v>0.3977969180079185</v>
      </c>
      <c r="Z9" s="214">
        <f t="shared" si="11"/>
        <v>4.6875393353524597</v>
      </c>
      <c r="AA9" s="7">
        <f t="shared" si="5"/>
        <v>9.5865642955873938</v>
      </c>
      <c r="AB9" s="7">
        <f t="shared" si="5"/>
        <v>14.631644304680059</v>
      </c>
      <c r="AC9" s="215">
        <f t="shared" si="5"/>
        <v>19.094252064380086</v>
      </c>
      <c r="AD9" s="7">
        <f t="shared" si="12"/>
        <v>-58.305380483946244</v>
      </c>
      <c r="AE9">
        <f t="shared" si="13"/>
        <v>51.385353846286648</v>
      </c>
      <c r="AG9" s="574">
        <v>-2.6008491532325158</v>
      </c>
      <c r="AH9" t="s">
        <v>61</v>
      </c>
      <c r="AK9" t="s">
        <v>41</v>
      </c>
      <c r="AL9" s="322">
        <f>COUNT(AG6:AI7)</f>
        <v>6</v>
      </c>
    </row>
    <row r="10" spans="1:38" x14ac:dyDescent="0.25">
      <c r="A10" s="214">
        <v>1</v>
      </c>
      <c r="B10" s="7">
        <v>1</v>
      </c>
      <c r="C10" s="214">
        <v>8</v>
      </c>
      <c r="D10" s="25">
        <v>14</v>
      </c>
      <c r="E10" s="25">
        <v>20</v>
      </c>
      <c r="F10" s="215">
        <v>18</v>
      </c>
      <c r="G10" s="185">
        <f t="shared" si="6"/>
        <v>60</v>
      </c>
      <c r="I10">
        <f t="shared" si="7"/>
        <v>1</v>
      </c>
      <c r="J10">
        <f t="shared" si="7"/>
        <v>1</v>
      </c>
      <c r="K10" s="214">
        <f t="shared" si="0"/>
        <v>8</v>
      </c>
      <c r="L10" s="7">
        <f t="shared" si="0"/>
        <v>14</v>
      </c>
      <c r="M10" s="7">
        <f t="shared" si="0"/>
        <v>20</v>
      </c>
      <c r="N10" s="7">
        <f t="shared" si="0"/>
        <v>18</v>
      </c>
      <c r="O10" s="185">
        <f t="shared" si="8"/>
        <v>60</v>
      </c>
      <c r="P10" s="214">
        <f t="shared" si="9"/>
        <v>0.14076064038898395</v>
      </c>
      <c r="Q10" s="7">
        <f t="shared" si="1"/>
        <v>0.55047108403531608</v>
      </c>
      <c r="R10" s="215">
        <f t="shared" si="1"/>
        <v>1.968932039974411</v>
      </c>
      <c r="S10" s="214">
        <f t="shared" si="2"/>
        <v>0.12339191536358275</v>
      </c>
      <c r="T10" s="7">
        <f t="shared" si="2"/>
        <v>0.35503473086556298</v>
      </c>
      <c r="U10" s="215">
        <f t="shared" si="2"/>
        <v>0.66317854819990463</v>
      </c>
      <c r="V10" s="214">
        <f t="shared" si="3"/>
        <v>0.12339191536358275</v>
      </c>
      <c r="W10" s="7">
        <f t="shared" si="10"/>
        <v>0.23164281550198024</v>
      </c>
      <c r="X10" s="7">
        <f t="shared" si="10"/>
        <v>0.30814381733434165</v>
      </c>
      <c r="Y10" s="215">
        <f t="shared" si="4"/>
        <v>0.33682145180009537</v>
      </c>
      <c r="Z10" s="214">
        <f t="shared" si="11"/>
        <v>7.4035149218149652</v>
      </c>
      <c r="AA10" s="7">
        <f t="shared" si="5"/>
        <v>13.898568930118815</v>
      </c>
      <c r="AB10" s="7">
        <f t="shared" si="5"/>
        <v>18.488629040060498</v>
      </c>
      <c r="AC10" s="215">
        <f t="shared" si="5"/>
        <v>20.209287108005721</v>
      </c>
      <c r="AD10" s="7">
        <f t="shared" si="12"/>
        <v>-80.346353845098108</v>
      </c>
      <c r="AE10">
        <f t="shared" si="13"/>
        <v>74.101287669401145</v>
      </c>
      <c r="AG10" s="185">
        <v>-1.2371355871317544</v>
      </c>
      <c r="AH10" t="s">
        <v>62</v>
      </c>
      <c r="AK10" t="s">
        <v>48</v>
      </c>
      <c r="AL10" s="322">
        <f>CHIDIST(AL8,AL9)</f>
        <v>2.4205000809282954E-2</v>
      </c>
    </row>
    <row r="11" spans="1:38" x14ac:dyDescent="0.25">
      <c r="A11" s="214">
        <v>1</v>
      </c>
      <c r="B11" s="7">
        <v>2</v>
      </c>
      <c r="C11" s="214">
        <v>10</v>
      </c>
      <c r="D11" s="25">
        <v>15</v>
      </c>
      <c r="E11" s="25">
        <v>16</v>
      </c>
      <c r="F11" s="215">
        <v>12</v>
      </c>
      <c r="G11" s="185">
        <f t="shared" si="6"/>
        <v>53</v>
      </c>
      <c r="I11">
        <f t="shared" si="7"/>
        <v>1</v>
      </c>
      <c r="J11">
        <f t="shared" si="7"/>
        <v>2</v>
      </c>
      <c r="K11" s="214">
        <f t="shared" si="0"/>
        <v>10</v>
      </c>
      <c r="L11" s="7">
        <f t="shared" si="0"/>
        <v>15</v>
      </c>
      <c r="M11" s="7">
        <f t="shared" si="0"/>
        <v>16</v>
      </c>
      <c r="N11" s="7">
        <f t="shared" si="0"/>
        <v>12</v>
      </c>
      <c r="O11" s="185">
        <f t="shared" si="8"/>
        <v>53</v>
      </c>
      <c r="P11" s="214">
        <f t="shared" si="9"/>
        <v>0.18307557228367544</v>
      </c>
      <c r="Q11" s="7">
        <f t="shared" si="1"/>
        <v>0.71595162153913916</v>
      </c>
      <c r="R11" s="215">
        <f t="shared" si="1"/>
        <v>2.5608249508517447</v>
      </c>
      <c r="S11" s="214">
        <f t="shared" si="2"/>
        <v>0.154745458846967</v>
      </c>
      <c r="T11" s="7">
        <f t="shared" si="2"/>
        <v>0.41723298754597726</v>
      </c>
      <c r="U11" s="215">
        <f t="shared" si="2"/>
        <v>0.71916620058483882</v>
      </c>
      <c r="V11" s="214">
        <f t="shared" si="3"/>
        <v>0.154745458846967</v>
      </c>
      <c r="W11" s="7">
        <f t="shared" si="10"/>
        <v>0.26248752869901026</v>
      </c>
      <c r="X11" s="7">
        <f t="shared" si="10"/>
        <v>0.30193321303886156</v>
      </c>
      <c r="Y11" s="215">
        <f t="shared" si="4"/>
        <v>0.28083379941516118</v>
      </c>
      <c r="Z11" s="214">
        <f t="shared" si="11"/>
        <v>8.2015093188892507</v>
      </c>
      <c r="AA11" s="7">
        <f t="shared" si="5"/>
        <v>13.911839021047545</v>
      </c>
      <c r="AB11" s="7">
        <f t="shared" si="5"/>
        <v>16.002460291059663</v>
      </c>
      <c r="AC11" s="215">
        <f t="shared" si="5"/>
        <v>14.884191369003542</v>
      </c>
      <c r="AD11" s="7">
        <f t="shared" si="12"/>
        <v>-73.123710654874372</v>
      </c>
      <c r="AE11">
        <f t="shared" si="13"/>
        <v>66.668369657971951</v>
      </c>
      <c r="AG11" s="185">
        <v>3.7336547863007989E-2</v>
      </c>
      <c r="AH11" t="s">
        <v>63</v>
      </c>
      <c r="AK11" t="s">
        <v>70</v>
      </c>
      <c r="AL11" s="322">
        <v>0.05</v>
      </c>
    </row>
    <row r="12" spans="1:38" x14ac:dyDescent="0.25">
      <c r="A12" s="112">
        <v>1</v>
      </c>
      <c r="B12" s="354">
        <v>3</v>
      </c>
      <c r="C12" s="112">
        <v>5</v>
      </c>
      <c r="D12" s="354">
        <v>14</v>
      </c>
      <c r="E12" s="354">
        <v>12</v>
      </c>
      <c r="F12" s="120">
        <v>8</v>
      </c>
      <c r="G12" s="123">
        <f t="shared" si="6"/>
        <v>39</v>
      </c>
      <c r="I12">
        <f>A11</f>
        <v>1</v>
      </c>
      <c r="J12">
        <f t="shared" si="7"/>
        <v>3</v>
      </c>
      <c r="K12" s="112">
        <f t="shared" si="0"/>
        <v>5</v>
      </c>
      <c r="L12" s="354">
        <f>D12</f>
        <v>14</v>
      </c>
      <c r="M12" s="354">
        <f t="shared" si="0"/>
        <v>12</v>
      </c>
      <c r="N12" s="354">
        <f t="shared" si="0"/>
        <v>8</v>
      </c>
      <c r="O12" s="123">
        <f t="shared" si="8"/>
        <v>39</v>
      </c>
      <c r="P12" s="112">
        <f t="shared" si="9"/>
        <v>0.23811105913111721</v>
      </c>
      <c r="Q12" s="354">
        <f t="shared" si="1"/>
        <v>0.93117829301209443</v>
      </c>
      <c r="R12" s="120">
        <f t="shared" si="1"/>
        <v>3.3306504723190278</v>
      </c>
      <c r="S12" s="112">
        <f t="shared" si="2"/>
        <v>0.19231801329536544</v>
      </c>
      <c r="T12" s="354">
        <f t="shared" si="2"/>
        <v>0.48218142073237497</v>
      </c>
      <c r="U12" s="120">
        <f t="shared" si="2"/>
        <v>0.76908780646420805</v>
      </c>
      <c r="V12" s="112">
        <f t="shared" si="3"/>
        <v>0.19231801329536544</v>
      </c>
      <c r="W12" s="354">
        <f t="shared" si="10"/>
        <v>0.28986340743700956</v>
      </c>
      <c r="X12" s="354">
        <f t="shared" si="10"/>
        <v>0.28690638573183308</v>
      </c>
      <c r="Y12" s="120">
        <f t="shared" si="4"/>
        <v>0.23091219353579195</v>
      </c>
      <c r="Z12" s="112">
        <f t="shared" si="11"/>
        <v>7.5004025185192518</v>
      </c>
      <c r="AA12" s="354">
        <f t="shared" si="5"/>
        <v>11.304672890043372</v>
      </c>
      <c r="AB12" s="354">
        <f t="shared" si="5"/>
        <v>11.18934904354149</v>
      </c>
      <c r="AC12" s="120">
        <f t="shared" si="5"/>
        <v>9.0055755478958854</v>
      </c>
      <c r="AD12" s="7">
        <f t="shared" si="12"/>
        <v>-52.288795075537607</v>
      </c>
      <c r="AE12">
        <f t="shared" si="13"/>
        <v>46.061229936715577</v>
      </c>
      <c r="AG12" s="185">
        <v>0.37731656726151019</v>
      </c>
      <c r="AH12" t="s">
        <v>140</v>
      </c>
      <c r="AK12" t="s">
        <v>164</v>
      </c>
      <c r="AL12" s="350" t="str">
        <f>IF(AL10&lt;AL11,"yes","no")</f>
        <v>yes</v>
      </c>
    </row>
    <row r="13" spans="1:38" x14ac:dyDescent="0.25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387"/>
      <c r="J13" s="387"/>
      <c r="K13" s="387">
        <f>SUM(K5:K12)</f>
        <v>50</v>
      </c>
      <c r="L13" s="387">
        <f>SUM(L5:L12)</f>
        <v>93</v>
      </c>
      <c r="M13" s="387">
        <f>SUM(M5:M12)</f>
        <v>126</v>
      </c>
      <c r="N13" s="387">
        <f>SUM(N5:N12)</f>
        <v>151</v>
      </c>
      <c r="O13" s="387">
        <f>SUM(O5:O12)</f>
        <v>420</v>
      </c>
      <c r="S13" s="387"/>
      <c r="T13" s="7"/>
      <c r="Z13" s="387">
        <f t="shared" ref="Z13:AE13" si="14">SUM(Z5:Z12)</f>
        <v>49.825112504543576</v>
      </c>
      <c r="AA13" s="387">
        <f t="shared" si="14"/>
        <v>92.653161012475977</v>
      </c>
      <c r="AB13" s="387">
        <f t="shared" si="14"/>
        <v>126.21777329538162</v>
      </c>
      <c r="AC13" s="387">
        <f t="shared" si="14"/>
        <v>151.30395318759884</v>
      </c>
      <c r="AD13" s="387">
        <f t="shared" si="14"/>
        <v>-545.52614474230791</v>
      </c>
      <c r="AE13" s="387">
        <f t="shared" si="14"/>
        <v>494.07893535970368</v>
      </c>
      <c r="AG13" s="123">
        <v>0.26283816894159379</v>
      </c>
      <c r="AH13" t="s">
        <v>141</v>
      </c>
    </row>
    <row r="14" spans="1:38" x14ac:dyDescent="0.25">
      <c r="AK14" t="s">
        <v>661</v>
      </c>
      <c r="AL14" s="380">
        <f>1-(AL6-AE13)/(AL5-AE13)</f>
        <v>1.3146243315613759E-2</v>
      </c>
    </row>
    <row r="15" spans="1:38" x14ac:dyDescent="0.25">
      <c r="AK15" t="s">
        <v>662</v>
      </c>
      <c r="AL15" s="322">
        <f>1-EXP((-2/O13)*(AL6-AL5))</f>
        <v>3.4013578290305491E-2</v>
      </c>
    </row>
    <row r="16" spans="1:38" x14ac:dyDescent="0.25">
      <c r="AK16" t="s">
        <v>663</v>
      </c>
      <c r="AL16" s="349">
        <f>AL15/(1-EXP(2*(AL5-AE13)/O13))</f>
        <v>3.6648982634523465E-2</v>
      </c>
    </row>
  </sheetData>
  <mergeCells count="8">
    <mergeCell ref="Z3:AC3"/>
    <mergeCell ref="AD3:AE3"/>
    <mergeCell ref="AG3:AI3"/>
    <mergeCell ref="I3:J3"/>
    <mergeCell ref="K3:O3"/>
    <mergeCell ref="P3:R3"/>
    <mergeCell ref="S3:U3"/>
    <mergeCell ref="V3:Y3"/>
  </mergeCells>
  <pageMargins left="0.7" right="0.7" top="0.75" bottom="0.75" header="0.3" footer="0.3"/>
  <ignoredErrors>
    <ignoredError sqref="G5:G12 C13:F13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BH48"/>
  <sheetViews>
    <sheetView workbookViewId="0">
      <selection activeCell="AR20" sqref="AR20"/>
    </sheetView>
  </sheetViews>
  <sheetFormatPr defaultRowHeight="15" x14ac:dyDescent="0.25"/>
  <sheetData>
    <row r="1" spans="1:60" x14ac:dyDescent="0.25">
      <c r="A1" s="694" t="s">
        <v>1513</v>
      </c>
      <c r="B1" s="769"/>
      <c r="D1" s="769"/>
      <c r="E1" s="769"/>
      <c r="AH1" s="628"/>
    </row>
    <row r="2" spans="1:60" x14ac:dyDescent="0.25">
      <c r="A2" s="769"/>
      <c r="B2" s="769"/>
      <c r="D2" s="769"/>
      <c r="E2" s="769"/>
      <c r="AH2" s="628"/>
    </row>
    <row r="3" spans="1:60" x14ac:dyDescent="0.25">
      <c r="A3" s="768" t="s">
        <v>1516</v>
      </c>
      <c r="B3" s="768" t="s">
        <v>1517</v>
      </c>
      <c r="C3" s="768" t="s">
        <v>1518</v>
      </c>
      <c r="D3" s="768" t="s">
        <v>192</v>
      </c>
      <c r="E3" s="770"/>
      <c r="F3" s="768" t="s">
        <v>1519</v>
      </c>
      <c r="G3" s="768" t="s">
        <v>1520</v>
      </c>
      <c r="H3" s="768" t="s">
        <v>1521</v>
      </c>
      <c r="I3" s="768" t="s">
        <v>192</v>
      </c>
      <c r="J3" s="768" t="s">
        <v>105</v>
      </c>
      <c r="K3" s="768" t="s">
        <v>14</v>
      </c>
      <c r="L3" s="770"/>
      <c r="P3" s="750" t="s">
        <v>1522</v>
      </c>
      <c r="Q3" s="768" t="s">
        <v>1523</v>
      </c>
      <c r="R3" s="768" t="s">
        <v>1524</v>
      </c>
      <c r="S3" s="768" t="s">
        <v>1525</v>
      </c>
      <c r="T3" s="768" t="s">
        <v>1526</v>
      </c>
      <c r="U3" s="768" t="s">
        <v>1527</v>
      </c>
      <c r="W3" s="768" t="s">
        <v>84</v>
      </c>
      <c r="X3" s="768" t="s">
        <v>67</v>
      </c>
      <c r="Y3" s="768" t="s">
        <v>28</v>
      </c>
      <c r="Z3" s="768" t="s">
        <v>1528</v>
      </c>
      <c r="AA3" s="768" t="s">
        <v>1529</v>
      </c>
      <c r="AB3" s="768" t="s">
        <v>958</v>
      </c>
      <c r="AD3" s="768" t="s">
        <v>1530</v>
      </c>
      <c r="AE3" s="768" t="s">
        <v>1531</v>
      </c>
      <c r="AF3" s="768" t="s">
        <v>148</v>
      </c>
      <c r="AG3" s="768" t="s">
        <v>15</v>
      </c>
      <c r="AH3" s="768" t="s">
        <v>16</v>
      </c>
      <c r="AI3" s="768" t="s">
        <v>1532</v>
      </c>
      <c r="AK3" s="768" t="s">
        <v>127</v>
      </c>
      <c r="AL3" s="768" t="s">
        <v>1520</v>
      </c>
      <c r="AM3" s="768" t="s">
        <v>1521</v>
      </c>
      <c r="AN3" s="768" t="s">
        <v>192</v>
      </c>
      <c r="AO3" s="768" t="s">
        <v>1517</v>
      </c>
      <c r="AP3" s="768" t="s">
        <v>1531</v>
      </c>
      <c r="AQ3" s="768" t="s">
        <v>148</v>
      </c>
      <c r="AR3" s="768" t="s">
        <v>15</v>
      </c>
      <c r="AS3" s="768" t="s">
        <v>16</v>
      </c>
    </row>
    <row r="4" spans="1:60" x14ac:dyDescent="0.25">
      <c r="A4" s="770">
        <v>45</v>
      </c>
      <c r="B4" s="770">
        <v>24786</v>
      </c>
      <c r="C4" s="770" t="s">
        <v>109</v>
      </c>
      <c r="D4" s="751">
        <v>0</v>
      </c>
      <c r="E4" s="770"/>
      <c r="F4" s="771">
        <v>1</v>
      </c>
      <c r="G4" s="771">
        <v>1</v>
      </c>
      <c r="H4" s="771">
        <v>0</v>
      </c>
      <c r="I4" s="751">
        <f>D4</f>
        <v>0</v>
      </c>
      <c r="J4" s="769">
        <f>A4</f>
        <v>45</v>
      </c>
      <c r="K4" s="769">
        <f>B4</f>
        <v>24786</v>
      </c>
      <c r="L4" s="769"/>
      <c r="M4" t="s">
        <v>17</v>
      </c>
      <c r="N4" s="719">
        <f>COUNT(F4:F18)</f>
        <v>15</v>
      </c>
      <c r="P4">
        <f>EXP(SUMPRODUCT(F4:I4,F$20:I$20))</f>
        <v>1.4407568391957806E-3</v>
      </c>
      <c r="Q4">
        <f>P4*K4</f>
        <v>35.710599016306617</v>
      </c>
      <c r="R4">
        <f>J4*LN(Q4)</f>
        <v>160.89513911708349</v>
      </c>
      <c r="S4">
        <f>LN(FACT(J4))</f>
        <v>129.12393363912722</v>
      </c>
      <c r="T4">
        <f t="shared" ref="T4:T18" si="0">J4*LN(J4)</f>
        <v>171.29981203966437</v>
      </c>
      <c r="U4">
        <f>J4*LN(B4)</f>
        <v>455.31154154811685</v>
      </c>
      <c r="V4">
        <v>1</v>
      </c>
      <c r="W4">
        <f>J4-Q4</f>
        <v>9.2894009836933833</v>
      </c>
      <c r="X4">
        <f>W4/SQRT(Q4)</f>
        <v>1.5544943300866672</v>
      </c>
      <c r="Y4">
        <f t="shared" ref="Y4:Y18" si="1">SIGN(W4)*SQRT(2*(J4*LN(J4/Q4)-W4))</f>
        <v>1.4935005449530339</v>
      </c>
      <c r="Z4" t="e">
        <f t="shared" ref="Z4:Z18" ca="1" si="2">X4/SQRT(1-AB4)</f>
        <v>#NAME?</v>
      </c>
      <c r="AA4" t="e">
        <f ca="1">Y4/SQRT(1-AB4)</f>
        <v>#NAME?</v>
      </c>
      <c r="AB4" t="e">
        <f t="shared" ref="AB4:AB18" ca="1" si="3">AS24</f>
        <v>#NAME?</v>
      </c>
      <c r="AC4">
        <v>1</v>
      </c>
      <c r="AD4" s="769">
        <f>J4</f>
        <v>45</v>
      </c>
      <c r="AE4">
        <f t="shared" ref="AE4:AE18" si="4">Q4</f>
        <v>35.710599016306617</v>
      </c>
      <c r="AF4">
        <f t="array" ref="AF4">Q4*SQRT(MMULT(MMULT(F4:I4,$F$23:$I$26),TRANSPOSE(F4:I4)))</f>
        <v>2.8821327790842686</v>
      </c>
      <c r="AG4">
        <f t="shared" ref="AG4:AG18" si="5">AE4-AF4*N$9</f>
        <v>30.061722570639116</v>
      </c>
      <c r="AH4">
        <f t="shared" ref="AH4:AH18" si="6">AE4+AF4*N$9</f>
        <v>41.359475461974114</v>
      </c>
      <c r="AI4" s="628">
        <f t="shared" ref="AI4:AI18" si="7">P4/P$14</f>
        <v>2.1481161787313416</v>
      </c>
      <c r="AK4" s="771">
        <v>1</v>
      </c>
      <c r="AL4" s="771">
        <v>1</v>
      </c>
      <c r="AM4" s="771">
        <v>0</v>
      </c>
      <c r="AN4" s="766">
        <v>1.25</v>
      </c>
      <c r="AO4" s="769">
        <v>10000</v>
      </c>
      <c r="AP4">
        <f>AO4*EXP(SUMPRODUCT(AK4:AN4,F$20:I$20))</f>
        <v>37.540654092158967</v>
      </c>
      <c r="AQ4">
        <f t="array" ref="AQ4">AP4*SQRT(MMULT(MMULT(AK4:AN4,$F$23:$I$26),TRANSPOSE(AK4:AN4)))</f>
        <v>1.8535852484660782</v>
      </c>
      <c r="AR4">
        <f>AP4-AQ4*N$9</f>
        <v>33.90769376289073</v>
      </c>
      <c r="AS4">
        <f>AP4+AQ4*N$9</f>
        <v>41.173614421427203</v>
      </c>
    </row>
    <row r="5" spans="1:60" x14ac:dyDescent="0.25">
      <c r="A5" s="770">
        <v>77</v>
      </c>
      <c r="B5" s="770">
        <v>32125</v>
      </c>
      <c r="C5" s="770" t="s">
        <v>109</v>
      </c>
      <c r="D5" s="751">
        <v>0.5</v>
      </c>
      <c r="E5" s="770"/>
      <c r="F5" s="771">
        <v>1</v>
      </c>
      <c r="G5" s="771">
        <v>1</v>
      </c>
      <c r="H5" s="771">
        <v>0</v>
      </c>
      <c r="I5" s="751">
        <f>D5</f>
        <v>0.5</v>
      </c>
      <c r="J5" s="769">
        <f t="shared" ref="J5:K18" si="8">A5</f>
        <v>77</v>
      </c>
      <c r="K5" s="769">
        <f>B5</f>
        <v>32125</v>
      </c>
      <c r="L5" s="769"/>
      <c r="M5" t="s">
        <v>38</v>
      </c>
      <c r="N5" s="185">
        <f>COUNTA(F3:I3)</f>
        <v>4</v>
      </c>
      <c r="P5">
        <f t="shared" ref="P5:P18" si="9">EXP(SUMPRODUCT(F5:I5,F$20:I$20))</f>
        <v>2.1132707794832774E-3</v>
      </c>
      <c r="Q5">
        <f t="shared" ref="Q5:Q18" si="10">P5*B5</f>
        <v>67.88882379090029</v>
      </c>
      <c r="R5">
        <f t="shared" ref="R5:R18" si="11">A5*LN(Q5)</f>
        <v>324.77609956674502</v>
      </c>
      <c r="S5">
        <f t="shared" ref="S5:S18" si="12">LN(FACT(J5))</f>
        <v>260.56494097186322</v>
      </c>
      <c r="T5">
        <f t="shared" si="0"/>
        <v>334.47301748273367</v>
      </c>
      <c r="U5">
        <f t="shared" ref="U5:U18" si="13">J5*LN(B5)</f>
        <v>799.05901630920914</v>
      </c>
      <c r="V5">
        <v>2</v>
      </c>
      <c r="W5">
        <f t="shared" ref="W5:W18" si="14">J5-Q5</f>
        <v>9.1111762090997104</v>
      </c>
      <c r="X5">
        <f t="shared" ref="X5:X18" si="15">W5/SQRT(Q5)</f>
        <v>1.1057967361361869</v>
      </c>
      <c r="Y5">
        <f t="shared" si="1"/>
        <v>1.0823508736901701</v>
      </c>
      <c r="Z5" t="e">
        <f t="shared" ca="1" si="2"/>
        <v>#NAME?</v>
      </c>
      <c r="AA5" t="e">
        <f t="shared" ref="AA5:AA19" ca="1" si="16">Y5/SQRT(1-AB5)</f>
        <v>#NAME?</v>
      </c>
      <c r="AB5" t="e">
        <f t="shared" ca="1" si="3"/>
        <v>#NAME?</v>
      </c>
      <c r="AC5">
        <v>2</v>
      </c>
      <c r="AD5" s="769">
        <f t="shared" ref="AD5:AD18" si="17">J5</f>
        <v>77</v>
      </c>
      <c r="AE5">
        <f t="shared" si="4"/>
        <v>67.88882379090029</v>
      </c>
      <c r="AF5">
        <f t="array" ref="AF5">Q5*SQRT(MMULT(MMULT(F5:I5,$F$23:$I$26),TRANSPOSE(F5:I5)))</f>
        <v>4.1846744451522442</v>
      </c>
      <c r="AG5">
        <f t="shared" si="5"/>
        <v>59.687012591376757</v>
      </c>
      <c r="AH5">
        <f t="shared" si="6"/>
        <v>76.090634990423823</v>
      </c>
      <c r="AI5" s="628">
        <f t="shared" si="7"/>
        <v>3.1508100658971463</v>
      </c>
      <c r="AK5" s="771">
        <v>1</v>
      </c>
      <c r="AL5" s="771">
        <v>0</v>
      </c>
      <c r="AM5" s="771">
        <v>0</v>
      </c>
      <c r="AN5" s="751">
        <v>0.1</v>
      </c>
      <c r="AO5" s="769">
        <v>10000</v>
      </c>
      <c r="AP5">
        <f>AO5*EXP(SUMPRODUCT(AK5:AN5,F$20:I$20))</f>
        <v>7.2411211795154458</v>
      </c>
      <c r="AQ5">
        <f t="array" ref="AQ5">AP5*SQRT(MMULT(MMULT(AK5:AN5,$F$23:$I$26),TRANSPOSE(AK5:AN5)))</f>
        <v>0.61952215289184343</v>
      </c>
      <c r="AR5">
        <f>AP5-AQ5*N$9</f>
        <v>6.026880072222716</v>
      </c>
      <c r="AS5">
        <f>AP5+AQ5*N$9</f>
        <v>8.4553622868081746</v>
      </c>
    </row>
    <row r="6" spans="1:60" x14ac:dyDescent="0.25">
      <c r="A6" s="770">
        <v>95</v>
      </c>
      <c r="B6" s="770">
        <v>34706</v>
      </c>
      <c r="C6" s="770" t="s">
        <v>109</v>
      </c>
      <c r="D6" s="751">
        <v>1</v>
      </c>
      <c r="E6" s="770"/>
      <c r="F6" s="771">
        <v>1</v>
      </c>
      <c r="G6" s="771">
        <v>1</v>
      </c>
      <c r="H6" s="771">
        <v>0</v>
      </c>
      <c r="I6" s="751">
        <f t="shared" ref="I6:I18" si="18">D6</f>
        <v>1</v>
      </c>
      <c r="J6" s="769">
        <f t="shared" si="8"/>
        <v>95</v>
      </c>
      <c r="K6" s="769">
        <f t="shared" si="8"/>
        <v>34706</v>
      </c>
      <c r="L6" s="769"/>
      <c r="M6" t="s">
        <v>41</v>
      </c>
      <c r="N6" s="123">
        <f>N4-N5</f>
        <v>11</v>
      </c>
      <c r="P6">
        <f t="shared" si="9"/>
        <v>3.0996995925493564E-3</v>
      </c>
      <c r="Q6">
        <f t="shared" si="10"/>
        <v>107.57817405901797</v>
      </c>
      <c r="R6">
        <f t="shared" si="11"/>
        <v>444.43068946427934</v>
      </c>
      <c r="S6">
        <f t="shared" si="12"/>
        <v>340.81505887079902</v>
      </c>
      <c r="T6">
        <f t="shared" si="0"/>
        <v>432.61830470205138</v>
      </c>
      <c r="U6">
        <f t="shared" si="13"/>
        <v>993.19344685679266</v>
      </c>
      <c r="V6">
        <v>3</v>
      </c>
      <c r="W6">
        <f t="shared" si="14"/>
        <v>-12.578174059017968</v>
      </c>
      <c r="X6">
        <f t="shared" si="15"/>
        <v>-1.2127059711041739</v>
      </c>
      <c r="Y6">
        <f t="shared" si="1"/>
        <v>-1.2375696318107059</v>
      </c>
      <c r="Z6" t="e">
        <f t="shared" ca="1" si="2"/>
        <v>#NAME?</v>
      </c>
      <c r="AA6" t="e">
        <f t="shared" ca="1" si="16"/>
        <v>#NAME?</v>
      </c>
      <c r="AB6" t="e">
        <f t="shared" ca="1" si="3"/>
        <v>#NAME?</v>
      </c>
      <c r="AC6">
        <v>3</v>
      </c>
      <c r="AD6" s="769">
        <f t="shared" si="17"/>
        <v>95</v>
      </c>
      <c r="AE6">
        <f t="shared" si="4"/>
        <v>107.57817405901797</v>
      </c>
      <c r="AF6">
        <f t="array" ref="AF6">Q6*SQRT(MMULT(MMULT(F6:I6,$F$23:$I$26),TRANSPOSE(F6:I6)))</f>
        <v>5.4115929200815387</v>
      </c>
      <c r="AG6">
        <f t="shared" si="5"/>
        <v>96.97164683666621</v>
      </c>
      <c r="AH6">
        <f t="shared" si="6"/>
        <v>118.18470128136973</v>
      </c>
      <c r="AI6" s="628">
        <f t="shared" si="7"/>
        <v>4.6215396400123643</v>
      </c>
      <c r="AK6" s="753">
        <v>1</v>
      </c>
      <c r="AL6" s="753">
        <v>0</v>
      </c>
      <c r="AM6" s="753">
        <v>0</v>
      </c>
      <c r="AN6" s="698">
        <v>2</v>
      </c>
      <c r="AO6" s="697">
        <v>10000</v>
      </c>
      <c r="AP6" s="696">
        <f>AO6*EXP(SUMPRODUCT(AK6:AN6,F$20:I$20))</f>
        <v>31.044935119136873</v>
      </c>
      <c r="AQ6" s="696">
        <f t="array" ref="AQ6">AP6*SQRT(MMULT(MMULT(AK6:AN6,$F$23:$I$26),TRANSPOSE(AK6:AN6)))</f>
        <v>2.3680303408435992</v>
      </c>
      <c r="AR6" s="696">
        <f>AP6-AQ6*N$9</f>
        <v>26.40368093678531</v>
      </c>
      <c r="AS6" s="696">
        <f>AP6+AQ6*N$9</f>
        <v>35.686189301488433</v>
      </c>
    </row>
    <row r="7" spans="1:60" x14ac:dyDescent="0.25">
      <c r="A7" s="770">
        <v>92</v>
      </c>
      <c r="B7" s="770">
        <v>23440</v>
      </c>
      <c r="C7" s="770" t="s">
        <v>109</v>
      </c>
      <c r="D7" s="752">
        <v>1.5</v>
      </c>
      <c r="E7" s="771"/>
      <c r="F7" s="771">
        <v>1</v>
      </c>
      <c r="G7" s="771">
        <v>1</v>
      </c>
      <c r="H7" s="771">
        <v>0</v>
      </c>
      <c r="I7" s="751">
        <f t="shared" si="18"/>
        <v>1.5</v>
      </c>
      <c r="J7" s="769">
        <f t="shared" si="8"/>
        <v>92</v>
      </c>
      <c r="K7" s="769">
        <f t="shared" si="8"/>
        <v>23440</v>
      </c>
      <c r="L7" s="769"/>
      <c r="P7">
        <f t="shared" si="9"/>
        <v>4.5465719099186909E-3</v>
      </c>
      <c r="Q7">
        <f t="shared" si="10"/>
        <v>106.57164556849412</v>
      </c>
      <c r="R7">
        <f t="shared" si="11"/>
        <v>429.53120883269196</v>
      </c>
      <c r="S7">
        <f t="shared" si="12"/>
        <v>327.1852877037752</v>
      </c>
      <c r="T7">
        <f t="shared" si="0"/>
        <v>416.00454908851174</v>
      </c>
      <c r="U7">
        <f t="shared" si="13"/>
        <v>925.72233041956736</v>
      </c>
      <c r="V7">
        <v>4</v>
      </c>
      <c r="W7">
        <f t="shared" si="14"/>
        <v>-14.57164556849412</v>
      </c>
      <c r="X7">
        <f t="shared" si="15"/>
        <v>-1.4115223635684773</v>
      </c>
      <c r="Y7">
        <f t="shared" si="1"/>
        <v>-1.4456734239197213</v>
      </c>
      <c r="Z7" t="e">
        <f t="shared" ca="1" si="2"/>
        <v>#NAME?</v>
      </c>
      <c r="AA7" t="e">
        <f t="shared" ca="1" si="16"/>
        <v>#NAME?</v>
      </c>
      <c r="AB7" t="e">
        <f t="shared" ca="1" si="3"/>
        <v>#NAME?</v>
      </c>
      <c r="AC7">
        <v>4</v>
      </c>
      <c r="AD7" s="769">
        <f t="shared" si="17"/>
        <v>92</v>
      </c>
      <c r="AE7">
        <f t="shared" si="4"/>
        <v>106.57164556849412</v>
      </c>
      <c r="AF7">
        <f t="array" ref="AF7">Q7*SQRT(MMULT(MMULT(F7:I7,$F$23:$I$26),TRANSPOSE(F7:I7)))</f>
        <v>5.5444944826495455</v>
      </c>
      <c r="AG7">
        <f t="shared" si="5"/>
        <v>95.704636070019973</v>
      </c>
      <c r="AH7">
        <f t="shared" si="6"/>
        <v>117.43865506696827</v>
      </c>
      <c r="AI7" s="628">
        <f t="shared" si="7"/>
        <v>6.7787737748400465</v>
      </c>
      <c r="AK7" s="771">
        <v>1</v>
      </c>
      <c r="AL7" s="771">
        <v>1</v>
      </c>
      <c r="AM7" s="771">
        <v>0</v>
      </c>
      <c r="AN7" s="769">
        <v>0</v>
      </c>
      <c r="AO7" s="771">
        <v>10000</v>
      </c>
      <c r="AP7" s="7">
        <f>AO7*EXP(SUMPRODUCT(AK7:AN7,F$20:I$20))</f>
        <v>14.407568391957806</v>
      </c>
      <c r="AQ7" s="7">
        <f t="array" ref="AQ7">AP7*SQRT(MMULT(MMULT(AK7:AN7,$F$23:$I$26),TRANSPOSE(AK7:AN7)))</f>
        <v>1.1628067373050386</v>
      </c>
      <c r="AR7" s="7">
        <f>AP7-AQ7*N$9</f>
        <v>12.128509065859404</v>
      </c>
      <c r="AS7" s="7">
        <f>AP7+AQ7*N$9</f>
        <v>16.686627718056208</v>
      </c>
      <c r="AU7" s="769" t="s">
        <v>1532</v>
      </c>
    </row>
    <row r="8" spans="1:60" x14ac:dyDescent="0.25">
      <c r="A8" s="770">
        <v>103</v>
      </c>
      <c r="B8" s="770">
        <v>14133</v>
      </c>
      <c r="C8" s="770" t="s">
        <v>109</v>
      </c>
      <c r="D8" s="752">
        <v>2</v>
      </c>
      <c r="E8" s="771"/>
      <c r="F8" s="771">
        <v>1</v>
      </c>
      <c r="G8" s="771">
        <v>1</v>
      </c>
      <c r="H8" s="771">
        <v>0</v>
      </c>
      <c r="I8" s="751">
        <f t="shared" si="18"/>
        <v>2</v>
      </c>
      <c r="J8" s="769">
        <f t="shared" si="8"/>
        <v>103</v>
      </c>
      <c r="K8" s="769">
        <f t="shared" si="8"/>
        <v>14133</v>
      </c>
      <c r="L8" s="769"/>
      <c r="M8" t="s">
        <v>70</v>
      </c>
      <c r="N8" s="719">
        <v>0.05</v>
      </c>
      <c r="P8">
        <f t="shared" si="9"/>
        <v>6.6688127397082735E-3</v>
      </c>
      <c r="Q8">
        <f t="shared" si="10"/>
        <v>94.250330450297028</v>
      </c>
      <c r="R8">
        <f t="shared" si="11"/>
        <v>468.23329623986984</v>
      </c>
      <c r="S8">
        <f t="shared" si="12"/>
        <v>377.61419787391867</v>
      </c>
      <c r="T8">
        <f t="shared" si="0"/>
        <v>477.3770857876525</v>
      </c>
      <c r="U8">
        <f t="shared" si="13"/>
        <v>984.29558003891964</v>
      </c>
      <c r="V8">
        <v>5</v>
      </c>
      <c r="W8">
        <f t="shared" si="14"/>
        <v>8.7496695497029719</v>
      </c>
      <c r="X8">
        <f t="shared" si="15"/>
        <v>0.90126023652608001</v>
      </c>
      <c r="Y8">
        <f t="shared" si="1"/>
        <v>0.88782881016517412</v>
      </c>
      <c r="Z8" t="e">
        <f t="shared" ca="1" si="2"/>
        <v>#NAME?</v>
      </c>
      <c r="AA8" t="e">
        <f t="shared" ca="1" si="16"/>
        <v>#NAME?</v>
      </c>
      <c r="AB8" t="e">
        <f t="shared" ca="1" si="3"/>
        <v>#NAME?</v>
      </c>
      <c r="AC8">
        <v>5</v>
      </c>
      <c r="AD8" s="769">
        <f t="shared" si="17"/>
        <v>103</v>
      </c>
      <c r="AE8">
        <f t="shared" si="4"/>
        <v>94.250330450297028</v>
      </c>
      <c r="AF8">
        <f t="array" ref="AF8">Q8*SQRT(MMULT(MMULT(F8:I8,$F$23:$I$26),TRANSPOSE(F8:I8)))</f>
        <v>6.2006323631295555</v>
      </c>
      <c r="AG8">
        <f t="shared" si="5"/>
        <v>82.097314337189616</v>
      </c>
      <c r="AH8">
        <f t="shared" si="6"/>
        <v>106.40334656340444</v>
      </c>
      <c r="AI8" s="628">
        <f t="shared" si="7"/>
        <v>9.9429578603238458</v>
      </c>
      <c r="AK8" s="753">
        <v>1</v>
      </c>
      <c r="AL8" s="753">
        <v>0</v>
      </c>
      <c r="AM8" s="753">
        <v>0</v>
      </c>
      <c r="AN8" s="697">
        <v>0</v>
      </c>
      <c r="AO8" s="753">
        <v>10000</v>
      </c>
      <c r="AP8" s="696">
        <f>AO8*EXP(SUMPRODUCT(AK8:AN8,F$20:I$20))</f>
        <v>6.7070713095540242</v>
      </c>
      <c r="AQ8" s="696">
        <f t="array" ref="AQ8">AP8*SQRT(MMULT(MMULT(AK8:AN8,$F$23:$I$26),TRANSPOSE(AK8:AN8)))</f>
        <v>0.5990350359078277</v>
      </c>
      <c r="AR8" s="696">
        <f>AP8-AQ8*N$9</f>
        <v>5.5329842136970244</v>
      </c>
      <c r="AS8" s="696">
        <f>AP8+AQ8*N$9</f>
        <v>7.881158405411024</v>
      </c>
      <c r="AU8" s="258">
        <f>AP7/AP8</f>
        <v>2.1481161787313416</v>
      </c>
    </row>
    <row r="9" spans="1:60" x14ac:dyDescent="0.25">
      <c r="A9" s="770">
        <v>12</v>
      </c>
      <c r="B9" s="770">
        <v>11946</v>
      </c>
      <c r="C9" s="771" t="s">
        <v>95</v>
      </c>
      <c r="D9" s="751">
        <v>0</v>
      </c>
      <c r="E9" s="770"/>
      <c r="F9" s="771">
        <v>1</v>
      </c>
      <c r="G9" s="771">
        <v>0</v>
      </c>
      <c r="H9" s="771">
        <v>1</v>
      </c>
      <c r="I9" s="751">
        <f t="shared" si="18"/>
        <v>0</v>
      </c>
      <c r="J9" s="769">
        <f t="shared" si="8"/>
        <v>12</v>
      </c>
      <c r="K9" s="769">
        <f t="shared" si="8"/>
        <v>11946</v>
      </c>
      <c r="L9" s="769"/>
      <c r="M9" t="s">
        <v>615</v>
      </c>
      <c r="N9" s="123">
        <f>NORMSINV(1-N8/2)</f>
        <v>1.9599639845400536</v>
      </c>
      <c r="P9">
        <f t="shared" si="9"/>
        <v>9.8938258859751645E-4</v>
      </c>
      <c r="Q9">
        <f t="shared" si="10"/>
        <v>11.819164403385932</v>
      </c>
      <c r="R9">
        <f t="shared" si="11"/>
        <v>29.636667792313023</v>
      </c>
      <c r="S9">
        <f t="shared" si="12"/>
        <v>19.987214495661885</v>
      </c>
      <c r="T9">
        <f t="shared" si="0"/>
        <v>29.818879797456006</v>
      </c>
      <c r="U9">
        <f t="shared" si="13"/>
        <v>112.65782127950703</v>
      </c>
      <c r="V9">
        <v>6</v>
      </c>
      <c r="W9">
        <f t="shared" si="14"/>
        <v>0.18083559661406845</v>
      </c>
      <c r="X9">
        <f t="shared" si="15"/>
        <v>5.2600580431033626E-2</v>
      </c>
      <c r="Y9">
        <f t="shared" si="1"/>
        <v>5.2467295125865863E-2</v>
      </c>
      <c r="Z9" t="e">
        <f t="shared" ca="1" si="2"/>
        <v>#NAME?</v>
      </c>
      <c r="AA9" t="e">
        <f t="shared" ca="1" si="16"/>
        <v>#NAME?</v>
      </c>
      <c r="AB9" t="e">
        <f t="shared" ca="1" si="3"/>
        <v>#NAME?</v>
      </c>
      <c r="AC9">
        <v>6</v>
      </c>
      <c r="AD9" s="769">
        <f t="shared" si="17"/>
        <v>12</v>
      </c>
      <c r="AE9">
        <f t="shared" si="4"/>
        <v>11.819164403385932</v>
      </c>
      <c r="AF9">
        <f t="array" ref="AF9">Q9*SQRT(MMULT(MMULT(F9:I9,$F$23:$I$26),TRANSPOSE(F9:I9)))</f>
        <v>1.2022208176335716</v>
      </c>
      <c r="AG9">
        <f t="shared" si="5"/>
        <v>9.4628548993598365</v>
      </c>
      <c r="AH9">
        <f t="shared" si="6"/>
        <v>14.175473907412027</v>
      </c>
      <c r="AI9" s="628">
        <f t="shared" si="7"/>
        <v>1.4751335462740203</v>
      </c>
    </row>
    <row r="10" spans="1:60" x14ac:dyDescent="0.25">
      <c r="A10" s="770">
        <v>29</v>
      </c>
      <c r="B10" s="770">
        <v>22782</v>
      </c>
      <c r="C10" s="771" t="s">
        <v>95</v>
      </c>
      <c r="D10" s="751">
        <v>0.5</v>
      </c>
      <c r="E10" s="770"/>
      <c r="F10" s="771">
        <v>1</v>
      </c>
      <c r="G10" s="771">
        <v>0</v>
      </c>
      <c r="H10" s="771">
        <v>1</v>
      </c>
      <c r="I10" s="751">
        <f t="shared" si="18"/>
        <v>0.5</v>
      </c>
      <c r="J10" s="769">
        <f t="shared" si="8"/>
        <v>29</v>
      </c>
      <c r="K10" s="769">
        <f t="shared" si="8"/>
        <v>22782</v>
      </c>
      <c r="L10" s="769"/>
      <c r="P10">
        <f t="shared" si="9"/>
        <v>1.4512048510418618E-3</v>
      </c>
      <c r="Q10">
        <f t="shared" si="10"/>
        <v>33.061348916435698</v>
      </c>
      <c r="R10">
        <f t="shared" si="11"/>
        <v>101.45258191528571</v>
      </c>
      <c r="S10">
        <f t="shared" si="12"/>
        <v>71.257038967168015</v>
      </c>
      <c r="T10">
        <f t="shared" si="0"/>
        <v>97.651579069607749</v>
      </c>
      <c r="U10">
        <f t="shared" si="13"/>
        <v>290.97805485433582</v>
      </c>
      <c r="V10">
        <v>7</v>
      </c>
      <c r="W10">
        <f t="shared" si="14"/>
        <v>-4.0613489164356977</v>
      </c>
      <c r="X10">
        <f t="shared" si="15"/>
        <v>-0.70633384643279906</v>
      </c>
      <c r="Y10">
        <f t="shared" si="1"/>
        <v>-0.72159000929577399</v>
      </c>
      <c r="Z10" t="e">
        <f t="shared" ca="1" si="2"/>
        <v>#NAME?</v>
      </c>
      <c r="AA10" t="e">
        <f t="shared" ca="1" si="16"/>
        <v>#NAME?</v>
      </c>
      <c r="AB10" t="e">
        <f t="shared" ca="1" si="3"/>
        <v>#NAME?</v>
      </c>
      <c r="AC10">
        <v>7</v>
      </c>
      <c r="AD10" s="769">
        <f t="shared" si="17"/>
        <v>29</v>
      </c>
      <c r="AE10">
        <f t="shared" si="4"/>
        <v>33.061348916435698</v>
      </c>
      <c r="AF10">
        <f t="array" ref="AF10">Q10*SQRT(MMULT(MMULT(F10:I10,$F$23:$I$26),TRANSPOSE(F10:I10)))</f>
        <v>2.8561577523688406</v>
      </c>
      <c r="AG10">
        <f t="shared" si="5"/>
        <v>27.463382587627901</v>
      </c>
      <c r="AH10">
        <f t="shared" si="6"/>
        <v>38.659315245243491</v>
      </c>
      <c r="AI10" s="628">
        <f t="shared" si="7"/>
        <v>2.1636937853555596</v>
      </c>
      <c r="AL10" t="e">
        <f ca="1">FTEXT(AP13)</f>
        <v>#NAME?</v>
      </c>
      <c r="AR10" t="e">
        <f ca="1">FTEXT(AV13)</f>
        <v>#NAME?</v>
      </c>
      <c r="BA10" t="e">
        <f ca="1">FTEXT(BE13)</f>
        <v>#NAME?</v>
      </c>
    </row>
    <row r="11" spans="1:60" x14ac:dyDescent="0.25">
      <c r="A11" s="770">
        <v>31</v>
      </c>
      <c r="B11" s="770">
        <v>14566</v>
      </c>
      <c r="C11" s="771" t="s">
        <v>95</v>
      </c>
      <c r="D11" s="751">
        <v>1</v>
      </c>
      <c r="E11" s="770"/>
      <c r="F11" s="771">
        <v>1</v>
      </c>
      <c r="G11" s="771">
        <v>0</v>
      </c>
      <c r="H11" s="771">
        <v>1</v>
      </c>
      <c r="I11" s="751">
        <f t="shared" si="18"/>
        <v>1</v>
      </c>
      <c r="J11" s="769">
        <f t="shared" si="8"/>
        <v>31</v>
      </c>
      <c r="K11" s="769">
        <f t="shared" si="8"/>
        <v>14566</v>
      </c>
      <c r="L11" s="769"/>
      <c r="M11" s="24" t="s">
        <v>1533</v>
      </c>
      <c r="N11" s="258">
        <f>J19/K19</f>
        <v>2.2004710424305368E-3</v>
      </c>
      <c r="P11">
        <f t="shared" si="9"/>
        <v>2.1285956959003626E-3</v>
      </c>
      <c r="Q11">
        <f t="shared" si="10"/>
        <v>31.005124906484681</v>
      </c>
      <c r="R11">
        <f t="shared" si="11"/>
        <v>106.45872782194725</v>
      </c>
      <c r="S11">
        <f t="shared" si="12"/>
        <v>78.092223553315307</v>
      </c>
      <c r="T11">
        <f t="shared" si="0"/>
        <v>106.45360333903953</v>
      </c>
      <c r="U11">
        <f t="shared" si="13"/>
        <v>297.17980506811369</v>
      </c>
      <c r="V11">
        <v>8</v>
      </c>
      <c r="W11">
        <f t="shared" si="14"/>
        <v>-5.1249064846814463E-3</v>
      </c>
      <c r="X11">
        <f t="shared" si="15"/>
        <v>-9.2038430141853391E-4</v>
      </c>
      <c r="Y11">
        <f t="shared" si="1"/>
        <v>-9.2040965968929241E-4</v>
      </c>
      <c r="Z11" t="e">
        <f t="shared" ca="1" si="2"/>
        <v>#NAME?</v>
      </c>
      <c r="AA11" t="e">
        <f t="shared" ca="1" si="16"/>
        <v>#NAME?</v>
      </c>
      <c r="AB11" t="e">
        <f t="shared" ca="1" si="3"/>
        <v>#NAME?</v>
      </c>
      <c r="AC11">
        <v>8</v>
      </c>
      <c r="AD11" s="769">
        <f t="shared" si="17"/>
        <v>31</v>
      </c>
      <c r="AE11">
        <f t="shared" si="4"/>
        <v>31.005124906484681</v>
      </c>
      <c r="AF11">
        <f t="array" ref="AF11">Q11*SQRT(MMULT(MMULT(F11:I11,$F$23:$I$26),TRANSPOSE(F11:I11)))</f>
        <v>2.4066566833287779</v>
      </c>
      <c r="AG11">
        <f t="shared" si="5"/>
        <v>26.288164484007659</v>
      </c>
      <c r="AH11">
        <f t="shared" si="6"/>
        <v>35.722085328961704</v>
      </c>
      <c r="AI11" s="628">
        <f t="shared" si="7"/>
        <v>3.1736589603099064</v>
      </c>
    </row>
    <row r="12" spans="1:60" x14ac:dyDescent="0.25">
      <c r="A12" s="770">
        <v>43</v>
      </c>
      <c r="B12" s="770">
        <v>15654</v>
      </c>
      <c r="C12" s="771" t="s">
        <v>95</v>
      </c>
      <c r="D12" s="752">
        <v>1.5</v>
      </c>
      <c r="E12" s="771"/>
      <c r="F12" s="771">
        <v>1</v>
      </c>
      <c r="G12" s="771">
        <v>0</v>
      </c>
      <c r="H12" s="771">
        <v>1</v>
      </c>
      <c r="I12" s="751">
        <f t="shared" si="18"/>
        <v>1.5</v>
      </c>
      <c r="J12" s="769">
        <f t="shared" si="8"/>
        <v>43</v>
      </c>
      <c r="K12" s="769">
        <f t="shared" si="8"/>
        <v>15654</v>
      </c>
      <c r="L12" s="769"/>
      <c r="O12" s="769"/>
      <c r="P12">
        <f t="shared" si="9"/>
        <v>3.1221778464650737E-3</v>
      </c>
      <c r="Q12">
        <f t="shared" si="10"/>
        <v>48.874572008564265</v>
      </c>
      <c r="R12">
        <f t="shared" si="11"/>
        <v>167.23806224059425</v>
      </c>
      <c r="S12">
        <f t="shared" si="12"/>
        <v>121.53308151543864</v>
      </c>
      <c r="T12">
        <f t="shared" si="0"/>
        <v>161.73160497482317</v>
      </c>
      <c r="U12">
        <f t="shared" si="13"/>
        <v>415.31471543768572</v>
      </c>
      <c r="V12">
        <v>9</v>
      </c>
      <c r="W12">
        <f t="shared" si="14"/>
        <v>-5.8745720085642645</v>
      </c>
      <c r="X12">
        <f t="shared" si="15"/>
        <v>-0.84030074376150488</v>
      </c>
      <c r="Y12">
        <f t="shared" si="1"/>
        <v>-0.85803816091502294</v>
      </c>
      <c r="Z12" t="e">
        <f t="shared" ca="1" si="2"/>
        <v>#NAME?</v>
      </c>
      <c r="AA12" t="e">
        <f t="shared" ca="1" si="16"/>
        <v>#NAME?</v>
      </c>
      <c r="AB12" t="e">
        <f t="shared" ca="1" si="3"/>
        <v>#NAME?</v>
      </c>
      <c r="AC12">
        <v>9</v>
      </c>
      <c r="AD12" s="769">
        <f t="shared" si="17"/>
        <v>43</v>
      </c>
      <c r="AE12">
        <f t="shared" si="4"/>
        <v>48.874572008564265</v>
      </c>
      <c r="AF12">
        <f t="array" ref="AF12">Q12*SQRT(MMULT(MMULT(F12:I12,$F$23:$I$26),TRANSPOSE(F12:I12)))</f>
        <v>3.7959553329654363</v>
      </c>
      <c r="AG12">
        <f t="shared" si="5"/>
        <v>41.434636269029262</v>
      </c>
      <c r="AH12">
        <f t="shared" si="6"/>
        <v>56.314507748099267</v>
      </c>
      <c r="AI12" s="628">
        <f t="shared" si="7"/>
        <v>4.6550539011231677</v>
      </c>
      <c r="AL12" s="768" t="s">
        <v>1520</v>
      </c>
      <c r="AM12" s="768" t="s">
        <v>1521</v>
      </c>
      <c r="AN12" s="768" t="s">
        <v>192</v>
      </c>
      <c r="AO12" s="768" t="s">
        <v>1517</v>
      </c>
      <c r="AP12" s="768" t="s">
        <v>1531</v>
      </c>
      <c r="AR12" s="768" t="s">
        <v>1520</v>
      </c>
      <c r="AS12" s="768" t="s">
        <v>1521</v>
      </c>
      <c r="AT12" s="768" t="s">
        <v>192</v>
      </c>
      <c r="AU12" s="768" t="s">
        <v>1517</v>
      </c>
      <c r="AV12" s="768" t="e">
        <f t="array" aca="1" ref="AV12:AY15" ca="1">PoissonPredCC(AR13:AT15,$Q$23:$Q$26,$F$23:$I$26,TRUE,AU13)</f>
        <v>#NAME?</v>
      </c>
      <c r="AW12" s="768" t="e">
        <f ca="1"/>
        <v>#NAME?</v>
      </c>
      <c r="AX12" s="768" t="e">
        <f ca="1"/>
        <v>#NAME?</v>
      </c>
      <c r="AY12" s="768" t="e">
        <f ca="1"/>
        <v>#NAME?</v>
      </c>
      <c r="BA12" s="768" t="s">
        <v>1520</v>
      </c>
      <c r="BB12" s="768" t="s">
        <v>1521</v>
      </c>
      <c r="BC12" s="768" t="s">
        <v>192</v>
      </c>
      <c r="BD12" s="768" t="s">
        <v>1517</v>
      </c>
      <c r="BE12" s="768" t="e">
        <f t="array" aca="1" ref="BE12:BH15" ca="1">PoissonPred(BA13:BC15,$G$4:$I$18,$J$4:$J$18,TRUE,BD13:BD15,$K$4:$K$18)</f>
        <v>#NAME?</v>
      </c>
      <c r="BF12" s="768" t="e">
        <f ca="1"/>
        <v>#NAME?</v>
      </c>
      <c r="BG12" s="768" t="e">
        <f ca="1"/>
        <v>#NAME?</v>
      </c>
      <c r="BH12" s="768" t="e">
        <f ca="1"/>
        <v>#NAME?</v>
      </c>
    </row>
    <row r="13" spans="1:60" x14ac:dyDescent="0.25">
      <c r="A13" s="770">
        <v>56</v>
      </c>
      <c r="B13" s="770">
        <v>10097</v>
      </c>
      <c r="C13" s="771" t="s">
        <v>95</v>
      </c>
      <c r="D13" s="752">
        <v>2</v>
      </c>
      <c r="E13" s="771"/>
      <c r="F13" s="771">
        <v>1</v>
      </c>
      <c r="G13" s="771">
        <v>0</v>
      </c>
      <c r="H13" s="771">
        <v>1</v>
      </c>
      <c r="I13" s="751">
        <f t="shared" si="18"/>
        <v>2</v>
      </c>
      <c r="J13" s="769">
        <f t="shared" si="8"/>
        <v>56</v>
      </c>
      <c r="K13" s="769">
        <f t="shared" si="8"/>
        <v>10097</v>
      </c>
      <c r="L13" s="769"/>
      <c r="M13" t="s">
        <v>1534</v>
      </c>
      <c r="N13" s="719">
        <f>U19-(1-LN(N11))*J19-S19</f>
        <v>-204.9845812688709</v>
      </c>
      <c r="P13">
        <f t="shared" si="9"/>
        <v>4.5795425236139246E-3</v>
      </c>
      <c r="Q13">
        <f t="shared" si="10"/>
        <v>46.239640860929796</v>
      </c>
      <c r="R13">
        <f t="shared" si="11"/>
        <v>214.69489761919112</v>
      </c>
      <c r="S13">
        <f t="shared" si="12"/>
        <v>172.35279713916279</v>
      </c>
      <c r="T13">
        <f t="shared" si="0"/>
        <v>225.41969468116838</v>
      </c>
      <c r="U13">
        <f t="shared" si="13"/>
        <v>516.31964322424199</v>
      </c>
      <c r="V13">
        <v>10</v>
      </c>
      <c r="W13">
        <f t="shared" si="14"/>
        <v>9.7603591390702036</v>
      </c>
      <c r="X13">
        <f t="shared" si="15"/>
        <v>1.4353525063096912</v>
      </c>
      <c r="Y13">
        <f t="shared" si="1"/>
        <v>1.3888397480681702</v>
      </c>
      <c r="Z13" t="e">
        <f t="shared" ca="1" si="2"/>
        <v>#NAME?</v>
      </c>
      <c r="AA13" t="e">
        <f t="shared" ca="1" si="16"/>
        <v>#NAME?</v>
      </c>
      <c r="AB13" t="e">
        <f t="shared" ca="1" si="3"/>
        <v>#NAME?</v>
      </c>
      <c r="AC13">
        <v>10</v>
      </c>
      <c r="AD13" s="769">
        <f t="shared" si="17"/>
        <v>56</v>
      </c>
      <c r="AE13">
        <f t="shared" si="4"/>
        <v>46.239640860929796</v>
      </c>
      <c r="AF13">
        <f t="array" ref="AF13">Q13*SQRT(MMULT(MMULT(F13:I13,$F$23:$I$26),TRANSPOSE(F13:I13)))</f>
        <v>4.000360410002588</v>
      </c>
      <c r="AG13">
        <f t="shared" si="5"/>
        <v>38.399078532144841</v>
      </c>
      <c r="AH13">
        <f t="shared" si="6"/>
        <v>54.080203189714751</v>
      </c>
      <c r="AI13" s="628">
        <f t="shared" si="7"/>
        <v>6.8279317637349433</v>
      </c>
      <c r="AL13" s="771">
        <v>1</v>
      </c>
      <c r="AM13" s="771">
        <v>0</v>
      </c>
      <c r="AN13" s="766">
        <v>1.25</v>
      </c>
      <c r="AO13" s="769">
        <v>10000</v>
      </c>
      <c r="AP13" t="e">
        <f t="array" aca="1" ref="AP13:AP15" ca="1">PoissonPredC(AL13:AN15,$Q$23:$Q$26,AO13:AO15)</f>
        <v>#NAME?</v>
      </c>
      <c r="AR13" s="771">
        <v>1</v>
      </c>
      <c r="AS13" s="771">
        <v>0</v>
      </c>
      <c r="AT13" s="766">
        <v>1.25</v>
      </c>
      <c r="AU13" s="769">
        <v>10000</v>
      </c>
      <c r="AV13" t="e">
        <f ca="1"/>
        <v>#NAME?</v>
      </c>
      <c r="AW13" t="e">
        <f ca="1"/>
        <v>#NAME?</v>
      </c>
      <c r="AX13" t="e">
        <f ca="1"/>
        <v>#NAME?</v>
      </c>
      <c r="AY13" t="e">
        <f ca="1"/>
        <v>#NAME?</v>
      </c>
      <c r="BA13" s="771">
        <v>1</v>
      </c>
      <c r="BB13" s="771">
        <v>0</v>
      </c>
      <c r="BC13" s="766">
        <v>1.25</v>
      </c>
      <c r="BD13" s="769">
        <v>10000</v>
      </c>
      <c r="BE13" t="e">
        <f ca="1"/>
        <v>#NAME?</v>
      </c>
      <c r="BF13" t="e">
        <f ca="1"/>
        <v>#NAME?</v>
      </c>
      <c r="BG13" t="e">
        <f ca="1"/>
        <v>#NAME?</v>
      </c>
      <c r="BH13" t="e">
        <f ca="1"/>
        <v>#NAME?</v>
      </c>
    </row>
    <row r="14" spans="1:60" x14ac:dyDescent="0.25">
      <c r="A14" s="770">
        <v>30</v>
      </c>
      <c r="B14" s="770">
        <v>50711</v>
      </c>
      <c r="C14" s="771" t="s">
        <v>96</v>
      </c>
      <c r="D14" s="751">
        <v>0</v>
      </c>
      <c r="E14" s="770"/>
      <c r="F14" s="771">
        <v>1</v>
      </c>
      <c r="G14" s="771">
        <v>0</v>
      </c>
      <c r="H14" s="771">
        <v>0</v>
      </c>
      <c r="I14" s="751">
        <f t="shared" si="18"/>
        <v>0</v>
      </c>
      <c r="J14" s="769">
        <f t="shared" si="8"/>
        <v>30</v>
      </c>
      <c r="K14" s="769">
        <f t="shared" si="8"/>
        <v>50711</v>
      </c>
      <c r="L14" s="769"/>
      <c r="M14" t="s">
        <v>1535</v>
      </c>
      <c r="N14" s="185">
        <f>R19-Q19-S19</f>
        <v>-48.801720249424761</v>
      </c>
      <c r="P14">
        <f t="shared" si="9"/>
        <v>6.7070713095540243E-4</v>
      </c>
      <c r="Q14">
        <f t="shared" si="10"/>
        <v>34.01222931787941</v>
      </c>
      <c r="R14">
        <f t="shared" si="11"/>
        <v>105.8016043729412</v>
      </c>
      <c r="S14">
        <f t="shared" si="12"/>
        <v>74.658236348830158</v>
      </c>
      <c r="T14">
        <f t="shared" si="0"/>
        <v>102.03592144986466</v>
      </c>
      <c r="U14">
        <f t="shared" si="13"/>
        <v>325.01694385712892</v>
      </c>
      <c r="V14">
        <v>11</v>
      </c>
      <c r="W14">
        <f t="shared" si="14"/>
        <v>-4.0122293178794095</v>
      </c>
      <c r="X14">
        <f t="shared" si="15"/>
        <v>-0.68796793625161134</v>
      </c>
      <c r="Y14">
        <f t="shared" si="1"/>
        <v>-0.70220566047686139</v>
      </c>
      <c r="Z14" t="e">
        <f t="shared" ca="1" si="2"/>
        <v>#NAME?</v>
      </c>
      <c r="AA14" t="e">
        <f t="shared" ca="1" si="16"/>
        <v>#NAME?</v>
      </c>
      <c r="AB14" t="e">
        <f t="shared" ca="1" si="3"/>
        <v>#NAME?</v>
      </c>
      <c r="AC14">
        <v>11</v>
      </c>
      <c r="AD14" s="769">
        <f t="shared" si="17"/>
        <v>30</v>
      </c>
      <c r="AE14">
        <f t="shared" si="4"/>
        <v>34.01222931787941</v>
      </c>
      <c r="AF14">
        <f t="array" ref="AF14">Q14*SQRT(MMULT(MMULT(F14:I14,$F$23:$I$26),TRANSPOSE(F14:I14)))</f>
        <v>3.037766570592185</v>
      </c>
      <c r="AG14">
        <f t="shared" si="5"/>
        <v>28.058316246078977</v>
      </c>
      <c r="AH14">
        <f t="shared" si="6"/>
        <v>39.966142389679845</v>
      </c>
      <c r="AI14" s="628">
        <f t="shared" si="7"/>
        <v>1</v>
      </c>
      <c r="AL14" s="771">
        <v>0</v>
      </c>
      <c r="AM14" s="771">
        <v>0</v>
      </c>
      <c r="AN14" s="751">
        <v>0.1</v>
      </c>
      <c r="AO14" s="769">
        <v>10000</v>
      </c>
      <c r="AP14" t="e">
        <f ca="1"/>
        <v>#NAME?</v>
      </c>
      <c r="AR14" s="771">
        <v>0</v>
      </c>
      <c r="AS14" s="771">
        <v>0</v>
      </c>
      <c r="AT14" s="751">
        <v>0.1</v>
      </c>
      <c r="AU14" s="769">
        <v>10000</v>
      </c>
      <c r="AV14" t="e">
        <f ca="1"/>
        <v>#NAME?</v>
      </c>
      <c r="AW14" t="e">
        <f ca="1"/>
        <v>#NAME?</v>
      </c>
      <c r="AX14" t="e">
        <f ca="1"/>
        <v>#NAME?</v>
      </c>
      <c r="AY14" t="e">
        <f ca="1"/>
        <v>#NAME?</v>
      </c>
      <c r="BA14" s="771">
        <v>0</v>
      </c>
      <c r="BB14" s="771">
        <v>0</v>
      </c>
      <c r="BC14" s="751">
        <v>0.1</v>
      </c>
      <c r="BD14" s="769">
        <v>10000</v>
      </c>
      <c r="BE14" t="e">
        <f ca="1"/>
        <v>#NAME?</v>
      </c>
      <c r="BF14" t="e">
        <f ca="1"/>
        <v>#NAME?</v>
      </c>
      <c r="BG14" t="e">
        <f ca="1"/>
        <v>#NAME?</v>
      </c>
      <c r="BH14" t="e">
        <f ca="1"/>
        <v>#NAME?</v>
      </c>
    </row>
    <row r="15" spans="1:60" x14ac:dyDescent="0.25">
      <c r="A15" s="770">
        <v>36</v>
      </c>
      <c r="B15" s="770">
        <v>35332</v>
      </c>
      <c r="C15" s="771" t="s">
        <v>96</v>
      </c>
      <c r="D15" s="751">
        <v>0.5</v>
      </c>
      <c r="E15" s="770"/>
      <c r="F15" s="771">
        <v>1</v>
      </c>
      <c r="G15" s="771">
        <v>0</v>
      </c>
      <c r="H15" s="771">
        <v>0</v>
      </c>
      <c r="I15" s="751">
        <f t="shared" si="18"/>
        <v>0.5</v>
      </c>
      <c r="J15" s="769">
        <f t="shared" si="8"/>
        <v>36</v>
      </c>
      <c r="K15" s="769">
        <f t="shared" si="8"/>
        <v>35332</v>
      </c>
      <c r="L15" s="769"/>
      <c r="M15" t="s">
        <v>1536</v>
      </c>
      <c r="N15" s="185">
        <f>T19-J19-S19</f>
        <v>-42.990199537616718</v>
      </c>
      <c r="P15">
        <f t="shared" si="9"/>
        <v>9.8377862445566452E-4</v>
      </c>
      <c r="Q15">
        <f t="shared" si="10"/>
        <v>34.758866359267536</v>
      </c>
      <c r="R15">
        <f t="shared" si="11"/>
        <v>127.74364871384213</v>
      </c>
      <c r="S15">
        <f t="shared" si="12"/>
        <v>95.719694542143202</v>
      </c>
      <c r="T15">
        <f t="shared" si="0"/>
        <v>129.00668178441995</v>
      </c>
      <c r="U15">
        <f t="shared" si="13"/>
        <v>377.01159652314084</v>
      </c>
      <c r="V15">
        <v>12</v>
      </c>
      <c r="W15">
        <f t="shared" si="14"/>
        <v>1.241133640732464</v>
      </c>
      <c r="X15">
        <f t="shared" si="15"/>
        <v>0.2105163082720575</v>
      </c>
      <c r="Y15">
        <f t="shared" si="1"/>
        <v>0.2092817710425364</v>
      </c>
      <c r="Z15" t="e">
        <f t="shared" ca="1" si="2"/>
        <v>#NAME?</v>
      </c>
      <c r="AA15" t="e">
        <f t="shared" ca="1" si="16"/>
        <v>#NAME?</v>
      </c>
      <c r="AB15" t="e">
        <f t="shared" ca="1" si="3"/>
        <v>#NAME?</v>
      </c>
      <c r="AC15">
        <v>12</v>
      </c>
      <c r="AD15" s="769">
        <f t="shared" si="17"/>
        <v>36</v>
      </c>
      <c r="AE15">
        <f t="shared" si="4"/>
        <v>34.758866359267536</v>
      </c>
      <c r="AF15">
        <f t="array" ref="AF15">Q15*SQRT(MMULT(MMULT(F15:I15,$F$23:$I$26),TRANSPOSE(F15:I15)))</f>
        <v>2.5231716530024717</v>
      </c>
      <c r="AG15">
        <f t="shared" si="5"/>
        <v>29.813540792570297</v>
      </c>
      <c r="AH15">
        <f t="shared" si="6"/>
        <v>39.704191925964771</v>
      </c>
      <c r="AI15" s="628">
        <f t="shared" si="7"/>
        <v>1.466778239041981</v>
      </c>
      <c r="AL15" s="753">
        <v>0</v>
      </c>
      <c r="AM15" s="753">
        <v>0</v>
      </c>
      <c r="AN15" s="698">
        <v>2</v>
      </c>
      <c r="AO15" s="697">
        <v>10000</v>
      </c>
      <c r="AP15" s="696" t="e">
        <f ca="1"/>
        <v>#NAME?</v>
      </c>
      <c r="AR15" s="753">
        <v>0</v>
      </c>
      <c r="AS15" s="753">
        <v>0</v>
      </c>
      <c r="AT15" s="698">
        <v>2</v>
      </c>
      <c r="AU15" s="697">
        <v>10000</v>
      </c>
      <c r="AV15" s="696" t="e">
        <f ca="1"/>
        <v>#NAME?</v>
      </c>
      <c r="AW15" s="696" t="e">
        <f ca="1"/>
        <v>#NAME?</v>
      </c>
      <c r="AX15" s="696" t="e">
        <f ca="1"/>
        <v>#NAME?</v>
      </c>
      <c r="AY15" s="696" t="e">
        <f ca="1"/>
        <v>#NAME?</v>
      </c>
      <c r="BA15" s="753">
        <v>0</v>
      </c>
      <c r="BB15" s="753">
        <v>0</v>
      </c>
      <c r="BC15" s="698">
        <v>2</v>
      </c>
      <c r="BD15" s="697">
        <v>10000</v>
      </c>
      <c r="BE15" s="696" t="e">
        <f ca="1"/>
        <v>#NAME?</v>
      </c>
      <c r="BF15" s="696" t="e">
        <f ca="1"/>
        <v>#NAME?</v>
      </c>
      <c r="BG15" s="696" t="e">
        <f ca="1"/>
        <v>#NAME?</v>
      </c>
      <c r="BH15" s="696" t="e">
        <f ca="1"/>
        <v>#NAME?</v>
      </c>
    </row>
    <row r="16" spans="1:60" x14ac:dyDescent="0.25">
      <c r="A16" s="771">
        <v>62</v>
      </c>
      <c r="B16" s="771">
        <v>41707</v>
      </c>
      <c r="C16" s="771" t="s">
        <v>96</v>
      </c>
      <c r="D16" s="751">
        <v>1</v>
      </c>
      <c r="E16" s="770"/>
      <c r="F16" s="771">
        <v>1</v>
      </c>
      <c r="G16" s="771">
        <v>0</v>
      </c>
      <c r="H16" s="771">
        <v>0</v>
      </c>
      <c r="I16" s="751">
        <f t="shared" si="18"/>
        <v>1</v>
      </c>
      <c r="J16" s="769">
        <f t="shared" si="8"/>
        <v>62</v>
      </c>
      <c r="K16" s="769">
        <f t="shared" si="8"/>
        <v>41707</v>
      </c>
      <c r="L16" s="769"/>
      <c r="M16" t="s">
        <v>1200</v>
      </c>
      <c r="N16" s="123">
        <f>(N14-N13)/(N15-N13)</f>
        <v>0.964125171196065</v>
      </c>
      <c r="P16">
        <f t="shared" si="9"/>
        <v>1.4429850783862217E-3</v>
      </c>
      <c r="Q16">
        <f t="shared" si="10"/>
        <v>60.182578664254152</v>
      </c>
      <c r="R16">
        <f t="shared" si="11"/>
        <v>254.0377410073817</v>
      </c>
      <c r="S16">
        <f t="shared" si="12"/>
        <v>196.86618167289001</v>
      </c>
      <c r="T16">
        <f t="shared" si="0"/>
        <v>255.88233187279567</v>
      </c>
      <c r="U16">
        <f t="shared" si="13"/>
        <v>659.58230408320026</v>
      </c>
      <c r="V16">
        <v>13</v>
      </c>
      <c r="W16">
        <f t="shared" si="14"/>
        <v>1.8174213357458484</v>
      </c>
      <c r="X16">
        <f t="shared" si="15"/>
        <v>0.2342719141860525</v>
      </c>
      <c r="Y16">
        <f t="shared" si="1"/>
        <v>0.23310739871633518</v>
      </c>
      <c r="Z16" t="e">
        <f t="shared" ca="1" si="2"/>
        <v>#NAME?</v>
      </c>
      <c r="AA16" t="e">
        <f t="shared" ca="1" si="16"/>
        <v>#NAME?</v>
      </c>
      <c r="AB16" t="e">
        <f t="shared" ca="1" si="3"/>
        <v>#NAME?</v>
      </c>
      <c r="AC16">
        <v>13</v>
      </c>
      <c r="AD16" s="769">
        <f t="shared" si="17"/>
        <v>62</v>
      </c>
      <c r="AE16">
        <f t="shared" si="4"/>
        <v>60.182578664254152</v>
      </c>
      <c r="AF16">
        <f t="array" ref="AF16">Q16*SQRT(MMULT(MMULT(F16:I16,$F$23:$I$26),TRANSPOSE(F16:I16)))</f>
        <v>3.8096595518514103</v>
      </c>
      <c r="AG16">
        <f t="shared" si="5"/>
        <v>52.715783149266386</v>
      </c>
      <c r="AH16">
        <f t="shared" si="6"/>
        <v>67.649374179241917</v>
      </c>
      <c r="AI16" s="628">
        <f t="shared" si="7"/>
        <v>2.1514384025270945</v>
      </c>
      <c r="AL16" s="771">
        <v>1</v>
      </c>
      <c r="AM16" s="771">
        <v>0</v>
      </c>
      <c r="AN16" s="769">
        <v>0</v>
      </c>
      <c r="AO16" s="771">
        <v>10000</v>
      </c>
      <c r="AP16" s="7" t="e">
        <f ca="1">PoissonPredC(AL16:AN16,$Q$23:$Q$26,AO16)</f>
        <v>#NAME?</v>
      </c>
      <c r="AR16" s="771">
        <v>1</v>
      </c>
      <c r="AS16" s="771">
        <v>0</v>
      </c>
      <c r="AT16" s="769">
        <v>0</v>
      </c>
      <c r="AU16" s="771">
        <v>10000</v>
      </c>
      <c r="AV16" t="e">
        <f t="array" aca="1" ref="AV16:AY16" ca="1">PoissonPredCC(AR16:AT16,$Q$23:$Q$26,$F$23:$I$26,,AU16)</f>
        <v>#NAME?</v>
      </c>
      <c r="AW16" t="e">
        <f ca="1"/>
        <v>#NAME?</v>
      </c>
      <c r="AX16" t="e">
        <f ca="1"/>
        <v>#NAME?</v>
      </c>
      <c r="AY16" t="e">
        <f ca="1"/>
        <v>#NAME?</v>
      </c>
      <c r="BA16" s="771">
        <v>1</v>
      </c>
      <c r="BB16" s="771">
        <v>0</v>
      </c>
      <c r="BC16" s="769">
        <v>0</v>
      </c>
      <c r="BD16" s="771">
        <v>10000</v>
      </c>
      <c r="BE16" t="e">
        <f t="array" aca="1" ref="BE16:BH16" ca="1">PoissonPred(BA16:BC16,$G$4:$I$18,$J$4:$J$18,,BD16,$K$4:$K$18)</f>
        <v>#NAME?</v>
      </c>
      <c r="BF16" t="e">
        <f ca="1"/>
        <v>#NAME?</v>
      </c>
      <c r="BG16" t="e">
        <f ca="1"/>
        <v>#NAME?</v>
      </c>
      <c r="BH16" t="e">
        <f ca="1"/>
        <v>#NAME?</v>
      </c>
    </row>
    <row r="17" spans="1:60" x14ac:dyDescent="0.25">
      <c r="A17" s="771">
        <v>57</v>
      </c>
      <c r="B17" s="771">
        <v>26319</v>
      </c>
      <c r="C17" s="771" t="s">
        <v>96</v>
      </c>
      <c r="D17" s="752">
        <v>1.5</v>
      </c>
      <c r="E17" s="771"/>
      <c r="F17" s="771">
        <v>1</v>
      </c>
      <c r="G17" s="771">
        <v>0</v>
      </c>
      <c r="H17" s="771">
        <v>0</v>
      </c>
      <c r="I17" s="751">
        <f t="shared" si="18"/>
        <v>1.5</v>
      </c>
      <c r="J17" s="769">
        <f t="shared" si="8"/>
        <v>57</v>
      </c>
      <c r="K17" s="769">
        <f t="shared" si="8"/>
        <v>26319</v>
      </c>
      <c r="L17" s="769"/>
      <c r="M17" s="769"/>
      <c r="N17" s="769"/>
      <c r="P17">
        <f t="shared" si="9"/>
        <v>2.1165391122391973E-3</v>
      </c>
      <c r="Q17">
        <f t="shared" si="10"/>
        <v>55.70519289502343</v>
      </c>
      <c r="R17">
        <f t="shared" si="11"/>
        <v>229.14418222114483</v>
      </c>
      <c r="S17">
        <f t="shared" si="12"/>
        <v>176.39584840699735</v>
      </c>
      <c r="T17">
        <f t="shared" si="0"/>
        <v>230.45392226656938</v>
      </c>
      <c r="U17">
        <f t="shared" si="13"/>
        <v>580.1486442754001</v>
      </c>
      <c r="V17">
        <v>14</v>
      </c>
      <c r="W17" s="7">
        <f t="shared" si="14"/>
        <v>1.2948071049765701</v>
      </c>
      <c r="X17" s="7">
        <f t="shared" si="15"/>
        <v>0.17348312340286243</v>
      </c>
      <c r="Y17" s="7">
        <f t="shared" si="1"/>
        <v>0.17281747856035018</v>
      </c>
      <c r="Z17" s="7" t="e">
        <f t="shared" ca="1" si="2"/>
        <v>#NAME?</v>
      </c>
      <c r="AA17" s="7" t="e">
        <f t="shared" ca="1" si="16"/>
        <v>#NAME?</v>
      </c>
      <c r="AB17" t="e">
        <f t="shared" ca="1" si="3"/>
        <v>#NAME?</v>
      </c>
      <c r="AC17">
        <v>14</v>
      </c>
      <c r="AD17" s="769">
        <f t="shared" si="17"/>
        <v>57</v>
      </c>
      <c r="AE17">
        <f t="shared" si="4"/>
        <v>55.70519289502343</v>
      </c>
      <c r="AF17">
        <f t="array" ref="AF17">Q17*SQRT(MMULT(MMULT(F17:I17,$F$23:$I$26),TRANSPOSE(F17:I17)))</f>
        <v>3.6058316657791512</v>
      </c>
      <c r="AG17">
        <f t="shared" si="5"/>
        <v>48.637892695782227</v>
      </c>
      <c r="AH17">
        <f t="shared" si="6"/>
        <v>62.772493094264632</v>
      </c>
      <c r="AI17" s="628">
        <f t="shared" si="7"/>
        <v>3.1556830314659843</v>
      </c>
      <c r="AL17" s="753">
        <v>0</v>
      </c>
      <c r="AM17" s="753">
        <v>0</v>
      </c>
      <c r="AN17" s="697">
        <v>0</v>
      </c>
      <c r="AO17" s="753">
        <v>10000</v>
      </c>
      <c r="AP17" s="696" t="e">
        <f ca="1">PoissonPredC(AL17:AN17,$Q$23:$Q$26,AO17)</f>
        <v>#NAME?</v>
      </c>
      <c r="AR17" s="753">
        <v>0</v>
      </c>
      <c r="AS17" s="753">
        <v>0</v>
      </c>
      <c r="AT17" s="697">
        <v>0</v>
      </c>
      <c r="AU17" s="753">
        <v>10000</v>
      </c>
      <c r="AV17" s="696" t="e">
        <f t="array" aca="1" ref="AV17:AY17" ca="1">PoissonPredCC(AR17:AT17,$Q$23:$Q$26,$F$23:$I$26,,AU17)</f>
        <v>#NAME?</v>
      </c>
      <c r="AW17" s="696" t="e">
        <f ca="1"/>
        <v>#NAME?</v>
      </c>
      <c r="AX17" s="696" t="e">
        <f ca="1"/>
        <v>#NAME?</v>
      </c>
      <c r="AY17" s="696" t="e">
        <f ca="1"/>
        <v>#NAME?</v>
      </c>
      <c r="BA17" s="753">
        <v>0</v>
      </c>
      <c r="BB17" s="753">
        <v>0</v>
      </c>
      <c r="BC17" s="697">
        <v>0</v>
      </c>
      <c r="BD17" s="753">
        <v>10000</v>
      </c>
      <c r="BE17" s="696" t="e">
        <f t="array" aca="1" ref="BE17:BH17" ca="1">PoissonPred(BA17:BC17,$G$4:$I$18,$J$4:$J$18,,BD17,$K$4:$K$18)</f>
        <v>#NAME?</v>
      </c>
      <c r="BF17" s="696" t="e">
        <f ca="1"/>
        <v>#NAME?</v>
      </c>
      <c r="BG17" s="696" t="e">
        <f ca="1"/>
        <v>#NAME?</v>
      </c>
      <c r="BH17" s="696" t="e">
        <f ca="1"/>
        <v>#NAME?</v>
      </c>
    </row>
    <row r="18" spans="1:60" x14ac:dyDescent="0.25">
      <c r="A18" s="753">
        <v>71</v>
      </c>
      <c r="B18" s="753">
        <v>22978</v>
      </c>
      <c r="C18" s="753" t="s">
        <v>96</v>
      </c>
      <c r="D18" s="754">
        <v>2</v>
      </c>
      <c r="E18" s="771"/>
      <c r="F18" s="753">
        <v>1</v>
      </c>
      <c r="G18" s="753">
        <v>0</v>
      </c>
      <c r="H18" s="753">
        <v>0</v>
      </c>
      <c r="I18" s="698">
        <f t="shared" si="18"/>
        <v>2</v>
      </c>
      <c r="J18" s="697">
        <f t="shared" si="8"/>
        <v>71</v>
      </c>
      <c r="K18" s="697">
        <f t="shared" si="8"/>
        <v>22978</v>
      </c>
      <c r="L18" s="770"/>
      <c r="M18" s="47" t="s">
        <v>1552</v>
      </c>
      <c r="N18" s="600">
        <f>1-N14/N13</f>
        <v>0.76192492163391889</v>
      </c>
      <c r="P18" s="696">
        <f t="shared" si="9"/>
        <v>3.1044935119136875E-3</v>
      </c>
      <c r="Q18" s="696">
        <f t="shared" si="10"/>
        <v>71.335051916752718</v>
      </c>
      <c r="R18" s="696">
        <f t="shared" si="11"/>
        <v>302.98453510316614</v>
      </c>
      <c r="S18" s="696">
        <f t="shared" si="12"/>
        <v>234.70172344281826</v>
      </c>
      <c r="T18" s="696">
        <f t="shared" si="0"/>
        <v>302.6502712699334</v>
      </c>
      <c r="U18" s="696">
        <f t="shared" si="13"/>
        <v>713.00276859434496</v>
      </c>
      <c r="V18">
        <v>15</v>
      </c>
      <c r="W18" s="696">
        <f t="shared" si="14"/>
        <v>-0.33505191675271817</v>
      </c>
      <c r="X18" s="696">
        <f t="shared" si="15"/>
        <v>-3.966985526408677E-2</v>
      </c>
      <c r="Y18" s="696">
        <f t="shared" si="1"/>
        <v>-3.9700970263710951E-2</v>
      </c>
      <c r="Z18" s="696" t="e">
        <f t="shared" ca="1" si="2"/>
        <v>#NAME?</v>
      </c>
      <c r="AA18" s="696" t="e">
        <f t="shared" ca="1" si="16"/>
        <v>#NAME?</v>
      </c>
      <c r="AB18" s="696" t="e">
        <f t="shared" ca="1" si="3"/>
        <v>#NAME?</v>
      </c>
      <c r="AC18">
        <v>15</v>
      </c>
      <c r="AD18" s="697">
        <f t="shared" si="17"/>
        <v>71</v>
      </c>
      <c r="AE18" s="696">
        <f t="shared" si="4"/>
        <v>71.335051916752718</v>
      </c>
      <c r="AF18" s="696">
        <f t="array" ref="AF18">Q18*SQRT(MMULT(MMULT(F18:I18,$F$23:$I$26),TRANSPOSE(F18:I18)))</f>
        <v>5.4412601171904225</v>
      </c>
      <c r="AG18" s="696">
        <f t="shared" si="5"/>
        <v>60.670378056545303</v>
      </c>
      <c r="AH18" s="696">
        <f t="shared" si="6"/>
        <v>81.999725776960133</v>
      </c>
      <c r="AI18" s="755">
        <f t="shared" si="7"/>
        <v>4.6286871998683363</v>
      </c>
    </row>
    <row r="19" spans="1:60" s="628" customFormat="1" x14ac:dyDescent="0.25">
      <c r="A19" s="538">
        <f>AVERAGE(A4:A18)</f>
        <v>55.93333333333333</v>
      </c>
      <c r="B19" s="538">
        <f>AVERAGE(B4:B18)</f>
        <v>25418.799999999999</v>
      </c>
      <c r="D19" s="538"/>
      <c r="E19" s="538"/>
      <c r="J19" s="756">
        <f>SUM(J4:J18)</f>
        <v>839</v>
      </c>
      <c r="K19" s="756">
        <f>SUM(K4:K18)</f>
        <v>381282</v>
      </c>
      <c r="L19" s="756"/>
      <c r="M19" s="770"/>
      <c r="N19" s="756"/>
      <c r="Q19" s="628">
        <f>SUM(Q4:Q18)</f>
        <v>838.99334313399356</v>
      </c>
      <c r="R19" s="628">
        <f>SUM(R4:R18)</f>
        <v>3467.0590820284774</v>
      </c>
      <c r="S19" s="628">
        <f>SUM(S4:S18)</f>
        <v>2676.8674591439085</v>
      </c>
      <c r="T19" s="628">
        <f>SUM(T4:T18)</f>
        <v>3472.8772596062918</v>
      </c>
      <c r="U19" s="628">
        <f>SUM(U4:U18)</f>
        <v>8444.7942123697048</v>
      </c>
      <c r="W19" s="628">
        <f>SUM(W4:W18)</f>
        <v>6.6568660063612839E-3</v>
      </c>
      <c r="X19" s="628">
        <f>SUMSQ(X4:X18)</f>
        <v>11.786747959848373</v>
      </c>
      <c r="Y19" s="630">
        <f>SUMSQ(Y4:Y18)</f>
        <v>11.623041423616362</v>
      </c>
      <c r="AA19" s="628">
        <f t="shared" si="16"/>
        <v>17.014390459786547</v>
      </c>
      <c r="AB19" s="628">
        <f>2*N5/N4</f>
        <v>0.53333333333333333</v>
      </c>
      <c r="AC19"/>
      <c r="BF19"/>
    </row>
    <row r="20" spans="1:60" s="628" customFormat="1" ht="15" customHeight="1" x14ac:dyDescent="0.25">
      <c r="D20" s="538"/>
      <c r="E20" s="538" t="s">
        <v>797</v>
      </c>
      <c r="F20" s="757">
        <v>-7.307177982806258</v>
      </c>
      <c r="G20" s="758">
        <v>0.76459126211662687</v>
      </c>
      <c r="H20" s="758">
        <v>0.3887485255400922</v>
      </c>
      <c r="I20" s="759">
        <v>0.76613664287370042</v>
      </c>
      <c r="M20" s="770"/>
      <c r="U20"/>
      <c r="AC20"/>
      <c r="AY20" s="767"/>
      <c r="BF20"/>
    </row>
    <row r="21" spans="1:60" s="628" customFormat="1" ht="15" customHeight="1" x14ac:dyDescent="0.25">
      <c r="A21" s="538"/>
      <c r="B21" s="538"/>
      <c r="D21" s="538"/>
      <c r="E21" s="538"/>
      <c r="M21" s="770"/>
      <c r="U21"/>
      <c r="BF21"/>
    </row>
    <row r="22" spans="1:60" s="628" customFormat="1" ht="15" customHeight="1" x14ac:dyDescent="0.25">
      <c r="A22" s="39" t="s">
        <v>1537</v>
      </c>
      <c r="B22"/>
      <c r="C22"/>
      <c r="D22" s="538"/>
      <c r="E22" s="538"/>
      <c r="F22" s="628" t="s">
        <v>754</v>
      </c>
      <c r="J22" s="538" t="s">
        <v>148</v>
      </c>
      <c r="Q22" s="538" t="s">
        <v>797</v>
      </c>
      <c r="R22" s="538" t="s">
        <v>134</v>
      </c>
      <c r="S22" s="538" t="s">
        <v>756</v>
      </c>
      <c r="T22" s="538" t="s">
        <v>48</v>
      </c>
      <c r="U22" s="538" t="s">
        <v>15</v>
      </c>
      <c r="V22" s="538" t="s">
        <v>16</v>
      </c>
      <c r="X22" s="628" t="s">
        <v>1538</v>
      </c>
      <c r="Y22" s="628" t="s">
        <v>1539</v>
      </c>
      <c r="AD22" s="628" t="s">
        <v>1540</v>
      </c>
      <c r="BF22"/>
    </row>
    <row r="23" spans="1:60" x14ac:dyDescent="0.25">
      <c r="D23" s="769"/>
      <c r="E23" s="769"/>
      <c r="F23" s="760">
        <f t="array" ref="F23:I26">MINVERSE(MMULT(TRANSPOSE(Q4:Q18*F4:I18),F4:I18))</f>
        <v>7.9769817796530151E-3</v>
      </c>
      <c r="G23" s="761">
        <v>-3.8983689895895329E-3</v>
      </c>
      <c r="H23" s="761">
        <v>-3.697719859078226E-3</v>
      </c>
      <c r="I23" s="762">
        <v>-3.4301957094937125E-3</v>
      </c>
      <c r="J23" s="628" t="e">
        <f t="array" aca="1" ref="J23:J26" ca="1">SQRT(DIAG(F23:I26))</f>
        <v>#NAME?</v>
      </c>
      <c r="P23" t="s">
        <v>127</v>
      </c>
      <c r="Q23" s="713">
        <f t="array" ref="Q23:Q26">TRANSPOSE(F20:I20)</f>
        <v>-7.307177982806258</v>
      </c>
      <c r="R23" s="387" t="e">
        <f ca="1">J23</f>
        <v>#NAME?</v>
      </c>
      <c r="S23" s="387" t="e">
        <f ca="1">(Q23/R23)^2</f>
        <v>#NAME?</v>
      </c>
      <c r="T23" s="387" t="e">
        <f ca="1">CHIDIST(S23,N$6)</f>
        <v>#NAME?</v>
      </c>
      <c r="U23" s="387" t="e">
        <f ca="1">Q23-R23*N$9</f>
        <v>#NAME?</v>
      </c>
      <c r="V23" s="714" t="e">
        <f ca="1">Q23+R23*N$9</f>
        <v>#NAME?</v>
      </c>
      <c r="AC23" s="628"/>
      <c r="AD23" s="538">
        <v>1</v>
      </c>
      <c r="AE23" s="538">
        <v>2</v>
      </c>
      <c r="AF23" s="538">
        <v>3</v>
      </c>
      <c r="AG23" s="538">
        <v>4</v>
      </c>
      <c r="AH23" s="538">
        <v>5</v>
      </c>
      <c r="AI23" s="538">
        <v>6</v>
      </c>
      <c r="AJ23" s="538">
        <v>7</v>
      </c>
      <c r="AK23" s="538">
        <v>8</v>
      </c>
      <c r="AL23" s="538">
        <v>9</v>
      </c>
      <c r="AM23" s="538">
        <v>10</v>
      </c>
      <c r="AN23" s="538">
        <v>11</v>
      </c>
      <c r="AO23" s="538">
        <v>12</v>
      </c>
      <c r="AP23" s="538">
        <v>13</v>
      </c>
      <c r="AQ23" s="538">
        <v>14</v>
      </c>
      <c r="AR23" s="538">
        <v>15</v>
      </c>
      <c r="AS23" s="538" t="s">
        <v>1541</v>
      </c>
    </row>
    <row r="24" spans="1:60" x14ac:dyDescent="0.25">
      <c r="B24" s="769" t="s">
        <v>71</v>
      </c>
      <c r="C24" s="769" t="s">
        <v>48</v>
      </c>
      <c r="D24" s="769"/>
      <c r="E24" s="769"/>
      <c r="F24" s="214">
        <v>-3.8983689895895303E-3</v>
      </c>
      <c r="G24" s="7">
        <v>6.3335453903458298E-3</v>
      </c>
      <c r="H24" s="7">
        <v>3.9067514510124886E-3</v>
      </c>
      <c r="I24" s="215">
        <v>-6.7192622797358305E-6</v>
      </c>
      <c r="J24" t="e">
        <f ca="1"/>
        <v>#NAME?</v>
      </c>
      <c r="P24" s="14" t="s">
        <v>1520</v>
      </c>
      <c r="Q24" s="214">
        <v>0.76459126211662687</v>
      </c>
      <c r="R24" s="7" t="e">
        <f ca="1">J24</f>
        <v>#NAME?</v>
      </c>
      <c r="S24" s="7" t="e">
        <f ca="1">(Q24/R24)^2</f>
        <v>#NAME?</v>
      </c>
      <c r="T24" s="7" t="e">
        <f ca="1">CHIDIST(S24,N$6)</f>
        <v>#NAME?</v>
      </c>
      <c r="U24" s="7" t="e">
        <f ca="1">Q24-R24*N$9</f>
        <v>#NAME?</v>
      </c>
      <c r="V24" s="215" t="e">
        <f ca="1">Q24+R24*N$9</f>
        <v>#NAME?</v>
      </c>
      <c r="X24" s="760">
        <f t="array" ref="X24:AA27">MINVERSE(MMULT(TRANSPOSE(F4:I18),Q4:Q18*F4:I18))</f>
        <v>7.9769817796530151E-3</v>
      </c>
      <c r="Y24" s="761">
        <v>-3.8983689895895329E-3</v>
      </c>
      <c r="Z24" s="761">
        <v>-3.697719859078226E-3</v>
      </c>
      <c r="AA24" s="762">
        <v>-3.4301957094937125E-3</v>
      </c>
      <c r="AC24" s="628">
        <v>1</v>
      </c>
      <c r="AD24" s="760">
        <f t="array" ref="AD24:AR38">MMULT(MMULT(Q4:Q18*F4:I18,X24:AA27),TRANSPOSE(F4:I18))</f>
        <v>0.23261131387011758</v>
      </c>
      <c r="AE24" s="761">
        <v>0.17124416766504638</v>
      </c>
      <c r="AF24" s="761">
        <v>0.10987702145997517</v>
      </c>
      <c r="AG24" s="761">
        <v>4.8509875254903967E-2</v>
      </c>
      <c r="AH24" s="761">
        <v>-1.2857270950167227E-2</v>
      </c>
      <c r="AI24" s="761">
        <v>0.15311434925004136</v>
      </c>
      <c r="AJ24" s="761">
        <v>9.1747203044970166E-2</v>
      </c>
      <c r="AK24" s="761">
        <v>3.0380056839898958E-2</v>
      </c>
      <c r="AL24" s="761">
        <v>-3.0987089365172249E-2</v>
      </c>
      <c r="AM24" s="761">
        <v>-9.2354235570243443E-2</v>
      </c>
      <c r="AN24" s="761">
        <v>0.14564970588873666</v>
      </c>
      <c r="AO24" s="761">
        <v>8.4282559683665464E-2</v>
      </c>
      <c r="AP24" s="761">
        <v>2.2915413478594257E-2</v>
      </c>
      <c r="AQ24" s="761">
        <v>-3.845173272647695E-2</v>
      </c>
      <c r="AR24" s="762">
        <v>-9.9818878931548144E-2</v>
      </c>
      <c r="AS24" s="628" t="e">
        <f t="array" aca="1" ref="AS24:AS38" ca="1">DIAG(AD24:AR38)</f>
        <v>#NAME?</v>
      </c>
    </row>
    <row r="25" spans="1:60" x14ac:dyDescent="0.25">
      <c r="A25" t="s">
        <v>1542</v>
      </c>
      <c r="B25" s="713">
        <f>SUMSQ(X4:X18)</f>
        <v>11.786747959848373</v>
      </c>
      <c r="C25" s="714">
        <f>CHIDIST(B25,N6)</f>
        <v>0.37988437658122426</v>
      </c>
      <c r="D25" s="769"/>
      <c r="E25" s="769"/>
      <c r="F25" s="214">
        <v>-3.6977198590782238E-3</v>
      </c>
      <c r="G25" s="7">
        <v>3.9067514510124886E-3</v>
      </c>
      <c r="H25" s="7">
        <v>9.7649931597993851E-3</v>
      </c>
      <c r="I25" s="215">
        <v>-1.7579978946478836E-4</v>
      </c>
      <c r="J25" t="e">
        <f ca="1"/>
        <v>#NAME?</v>
      </c>
      <c r="P25" t="s">
        <v>1521</v>
      </c>
      <c r="Q25" s="214">
        <v>0.3887485255400922</v>
      </c>
      <c r="R25" s="7" t="e">
        <f ca="1">J25</f>
        <v>#NAME?</v>
      </c>
      <c r="S25" s="7" t="e">
        <f ca="1">(Q25/R25)^2</f>
        <v>#NAME?</v>
      </c>
      <c r="T25" s="7" t="e">
        <f ca="1">CHIDIST(S25,N$6)</f>
        <v>#NAME?</v>
      </c>
      <c r="U25" s="7" t="e">
        <f ca="1">Q25-R25*N$9</f>
        <v>#NAME?</v>
      </c>
      <c r="V25" s="215" t="e">
        <f ca="1">Q25+R25*N$9</f>
        <v>#NAME?</v>
      </c>
      <c r="X25" s="763">
        <v>-3.8983689895895303E-3</v>
      </c>
      <c r="Y25" s="630">
        <v>6.3335453903458298E-3</v>
      </c>
      <c r="Z25" s="630">
        <v>3.9067514510124886E-3</v>
      </c>
      <c r="AA25" s="764">
        <v>-6.7192622797358305E-6</v>
      </c>
      <c r="AC25">
        <v>2</v>
      </c>
      <c r="AD25" s="214">
        <v>0.32554942913511775</v>
      </c>
      <c r="AE25" s="7">
        <v>0.25794378564940545</v>
      </c>
      <c r="AF25" s="7">
        <v>0.19033814216369316</v>
      </c>
      <c r="AG25" s="7">
        <v>0.12273249867798086</v>
      </c>
      <c r="AH25" s="7">
        <v>5.5126855192268565E-2</v>
      </c>
      <c r="AI25" s="7">
        <v>0.16867973741770195</v>
      </c>
      <c r="AJ25" s="7">
        <v>0.10107409393198966</v>
      </c>
      <c r="AK25" s="7">
        <v>3.3468450446277359E-2</v>
      </c>
      <c r="AL25" s="7">
        <v>-3.4137193039434938E-2</v>
      </c>
      <c r="AM25" s="7">
        <v>-0.10174283652514723</v>
      </c>
      <c r="AN25" s="7">
        <v>0.1604562489708716</v>
      </c>
      <c r="AO25" s="7">
        <v>9.2850605485159304E-2</v>
      </c>
      <c r="AP25" s="7">
        <v>2.5244961999447008E-2</v>
      </c>
      <c r="AQ25" s="7">
        <v>-4.2360681486265289E-2</v>
      </c>
      <c r="AR25" s="215">
        <v>-0.10996632497197759</v>
      </c>
      <c r="AS25" t="e">
        <f ca="1"/>
        <v>#NAME?</v>
      </c>
    </row>
    <row r="26" spans="1:60" x14ac:dyDescent="0.25">
      <c r="A26" t="s">
        <v>1543</v>
      </c>
      <c r="B26" s="112">
        <f>Y19</f>
        <v>11.623041423616362</v>
      </c>
      <c r="C26" s="120">
        <f>CHIDIST(B26,N6)</f>
        <v>0.39263416660472927</v>
      </c>
      <c r="D26" s="769"/>
      <c r="E26" s="769"/>
      <c r="F26" s="112">
        <v>-3.4301957094937142E-3</v>
      </c>
      <c r="G26" s="696">
        <v>-6.7192622797341601E-6</v>
      </c>
      <c r="H26" s="696">
        <v>-1.75799789464787E-4</v>
      </c>
      <c r="I26" s="120">
        <v>2.8905148875111751E-3</v>
      </c>
      <c r="J26" t="e">
        <f ca="1"/>
        <v>#NAME?</v>
      </c>
      <c r="P26" t="s">
        <v>192</v>
      </c>
      <c r="Q26" s="112">
        <v>0.76613664287370042</v>
      </c>
      <c r="R26" s="696" t="e">
        <f ca="1">J26</f>
        <v>#NAME?</v>
      </c>
      <c r="S26" s="696" t="e">
        <f ca="1">(Q26/R26)^2</f>
        <v>#NAME?</v>
      </c>
      <c r="T26" s="696" t="e">
        <f ca="1">CHIDIST(S26,N$6)</f>
        <v>#NAME?</v>
      </c>
      <c r="U26" s="696" t="e">
        <f ca="1">Q26-R26*N$9</f>
        <v>#NAME?</v>
      </c>
      <c r="V26" s="120" t="e">
        <f ca="1">Q26+R26*N$9</f>
        <v>#NAME?</v>
      </c>
      <c r="X26" s="214">
        <v>-3.6977198590782238E-3</v>
      </c>
      <c r="Y26" s="7">
        <v>3.9067514510124886E-3</v>
      </c>
      <c r="Z26" s="7">
        <v>9.7649931597993851E-3</v>
      </c>
      <c r="AA26" s="215">
        <v>-1.7579978946478836E-4</v>
      </c>
      <c r="AC26" s="628">
        <v>3</v>
      </c>
      <c r="AD26" s="214">
        <v>0.33100451029427147</v>
      </c>
      <c r="AE26" s="7">
        <v>0.30161414860895702</v>
      </c>
      <c r="AF26" s="7">
        <v>0.27222378692364257</v>
      </c>
      <c r="AG26" s="7">
        <v>0.24283342523832813</v>
      </c>
      <c r="AH26" s="7">
        <v>0.21344306355301368</v>
      </c>
      <c r="AI26" s="7">
        <v>7.3330542186731212E-2</v>
      </c>
      <c r="AJ26" s="7">
        <v>4.3940180501416765E-2</v>
      </c>
      <c r="AK26" s="7">
        <v>1.4549818816102317E-2</v>
      </c>
      <c r="AL26" s="7">
        <v>-1.4840542869212131E-2</v>
      </c>
      <c r="AM26" s="7">
        <v>-4.4230904554526579E-2</v>
      </c>
      <c r="AN26" s="7">
        <v>6.9755525556375042E-2</v>
      </c>
      <c r="AO26" s="7">
        <v>4.0365163871060594E-2</v>
      </c>
      <c r="AP26" s="7">
        <v>1.0974802185746146E-2</v>
      </c>
      <c r="AQ26" s="7">
        <v>-1.8415559499568301E-2</v>
      </c>
      <c r="AR26" s="215">
        <v>-4.7805921184882749E-2</v>
      </c>
      <c r="AS26" t="e">
        <f ca="1"/>
        <v>#NAME?</v>
      </c>
    </row>
    <row r="27" spans="1:60" x14ac:dyDescent="0.25">
      <c r="D27" s="769"/>
      <c r="E27" s="769"/>
      <c r="X27" s="112">
        <v>-3.4301957094937142E-3</v>
      </c>
      <c r="Y27" s="696">
        <v>-6.7192622797341601E-6</v>
      </c>
      <c r="Z27" s="696">
        <v>-1.75799789464787E-4</v>
      </c>
      <c r="AA27" s="120">
        <v>2.8905148875111751E-3</v>
      </c>
      <c r="AC27">
        <v>4</v>
      </c>
      <c r="AD27" s="214">
        <v>0.1447687066205976</v>
      </c>
      <c r="AE27" s="7">
        <v>0.1926650605868746</v>
      </c>
      <c r="AF27" s="7">
        <v>0.24056141455315161</v>
      </c>
      <c r="AG27" s="7">
        <v>0.28845776851942861</v>
      </c>
      <c r="AH27" s="7">
        <v>0.33635412248570562</v>
      </c>
      <c r="AI27" s="7">
        <v>-0.11950399395287677</v>
      </c>
      <c r="AJ27" s="7">
        <v>-7.1607639986599761E-2</v>
      </c>
      <c r="AK27" s="7">
        <v>-2.3711286020322755E-2</v>
      </c>
      <c r="AL27" s="7">
        <v>2.418506794595425E-2</v>
      </c>
      <c r="AM27" s="7">
        <v>7.2081421912231255E-2</v>
      </c>
      <c r="AN27" s="7">
        <v>-0.11367792540032734</v>
      </c>
      <c r="AO27" s="7">
        <v>-6.5781571434050334E-2</v>
      </c>
      <c r="AP27" s="7">
        <v>-1.7885217467773329E-2</v>
      </c>
      <c r="AQ27" s="7">
        <v>3.0011136498503677E-2</v>
      </c>
      <c r="AR27" s="215">
        <v>7.7907490464780682E-2</v>
      </c>
      <c r="AS27" t="e">
        <f ca="1"/>
        <v>#NAME?</v>
      </c>
    </row>
    <row r="28" spans="1:60" x14ac:dyDescent="0.25">
      <c r="A28" t="s">
        <v>203</v>
      </c>
      <c r="B28" s="719">
        <f>B26+2*N5</f>
        <v>19.623041423616364</v>
      </c>
      <c r="D28" s="769"/>
      <c r="E28" s="769"/>
      <c r="Q28" s="769" t="s">
        <v>797</v>
      </c>
      <c r="R28" s="769" t="s">
        <v>134</v>
      </c>
      <c r="S28" s="769" t="s">
        <v>756</v>
      </c>
      <c r="T28" s="769" t="s">
        <v>48</v>
      </c>
      <c r="U28" s="769" t="s">
        <v>15</v>
      </c>
      <c r="V28" s="769" t="s">
        <v>16</v>
      </c>
      <c r="AC28" s="628">
        <v>5</v>
      </c>
      <c r="AD28" s="214">
        <v>-3.3933959920104201E-2</v>
      </c>
      <c r="AE28" s="7">
        <v>7.6532837489716815E-2</v>
      </c>
      <c r="AF28" s="7">
        <v>0.18699963489953783</v>
      </c>
      <c r="AG28" s="7">
        <v>0.29746643230935887</v>
      </c>
      <c r="AH28" s="7">
        <v>0.40793322971917989</v>
      </c>
      <c r="AI28" s="7">
        <v>-0.27562063490159766</v>
      </c>
      <c r="AJ28" s="7">
        <v>-0.16515383749177664</v>
      </c>
      <c r="AK28" s="7">
        <v>-5.4687040081955629E-2</v>
      </c>
      <c r="AL28" s="7">
        <v>5.5779757327865387E-2</v>
      </c>
      <c r="AM28" s="7">
        <v>0.1662465547376864</v>
      </c>
      <c r="AN28" s="7">
        <v>-0.26218355501565588</v>
      </c>
      <c r="AO28" s="7">
        <v>-0.15171675760583486</v>
      </c>
      <c r="AP28" s="7">
        <v>-4.1249960196013846E-2</v>
      </c>
      <c r="AQ28" s="7">
        <v>6.921683721380717E-2</v>
      </c>
      <c r="AR28" s="215">
        <v>0.17968363462362819</v>
      </c>
      <c r="AS28" t="e">
        <f ca="1"/>
        <v>#NAME?</v>
      </c>
    </row>
    <row r="29" spans="1:60" x14ac:dyDescent="0.25">
      <c r="A29" t="s">
        <v>1544</v>
      </c>
      <c r="B29" s="185">
        <f>B25/N6</f>
        <v>1.0715225418043977</v>
      </c>
      <c r="D29" s="769"/>
      <c r="E29" s="769"/>
      <c r="P29" t="s">
        <v>127</v>
      </c>
      <c r="Q29" s="713">
        <f>Q23</f>
        <v>-7.307177982806258</v>
      </c>
      <c r="R29" s="387" t="e">
        <f ca="1">R23*B$30</f>
        <v>#NAME?</v>
      </c>
      <c r="S29" s="387" t="e">
        <f ca="1">(Q29/R29)^2</f>
        <v>#NAME?</v>
      </c>
      <c r="T29" s="387" t="e">
        <f ca="1">CHIDIST(S29,N$6)</f>
        <v>#NAME?</v>
      </c>
      <c r="U29" s="387" t="e">
        <f ca="1">Q29-R29*N$9</f>
        <v>#NAME?</v>
      </c>
      <c r="V29" s="714" t="e">
        <f ca="1">Q29+R29*N$9</f>
        <v>#NAME?</v>
      </c>
      <c r="AC29">
        <v>6</v>
      </c>
      <c r="AD29" s="214">
        <v>5.0676373854085445E-2</v>
      </c>
      <c r="AE29" s="7">
        <v>2.9366447034055342E-2</v>
      </c>
      <c r="AF29" s="7">
        <v>8.0565202140252395E-3</v>
      </c>
      <c r="AG29" s="7">
        <v>-1.325340660600486E-2</v>
      </c>
      <c r="AH29" s="7">
        <v>-3.4563333426034966E-2</v>
      </c>
      <c r="AI29" s="7">
        <v>0.12228740078591989</v>
      </c>
      <c r="AJ29" s="7">
        <v>0.10097747396588978</v>
      </c>
      <c r="AK29" s="7">
        <v>7.9667547145859691E-2</v>
      </c>
      <c r="AL29" s="7">
        <v>5.8357620325829584E-2</v>
      </c>
      <c r="AM29" s="7">
        <v>3.7047693505799478E-2</v>
      </c>
      <c r="AN29" s="7">
        <v>5.0577300164422495E-2</v>
      </c>
      <c r="AO29" s="7">
        <v>2.9267373344392392E-2</v>
      </c>
      <c r="AP29" s="7">
        <v>7.9574465243622897E-3</v>
      </c>
      <c r="AQ29" s="7">
        <v>-1.335248029566781E-2</v>
      </c>
      <c r="AR29" s="215">
        <v>-3.4662407115697916E-2</v>
      </c>
      <c r="AS29" t="e">
        <f ca="1"/>
        <v>#NAME?</v>
      </c>
    </row>
    <row r="30" spans="1:60" x14ac:dyDescent="0.25">
      <c r="A30" s="24" t="s">
        <v>1545</v>
      </c>
      <c r="B30" s="123">
        <f>SQRT(B29)</f>
        <v>1.0351437300222601</v>
      </c>
      <c r="D30" s="769"/>
      <c r="E30" s="769"/>
      <c r="P30" s="14" t="s">
        <v>1520</v>
      </c>
      <c r="Q30" s="214">
        <f>Q24</f>
        <v>0.76459126211662687</v>
      </c>
      <c r="R30" s="7" t="e">
        <f ca="1">R24*B$30</f>
        <v>#NAME?</v>
      </c>
      <c r="S30" s="7" t="e">
        <f ca="1">(Q30/R30)^2</f>
        <v>#NAME?</v>
      </c>
      <c r="T30" s="7" t="e">
        <f ca="1">CHIDIST(S30,N$6)</f>
        <v>#NAME?</v>
      </c>
      <c r="U30" s="7" t="e">
        <f ca="1">Q30-R30*N$9</f>
        <v>#NAME?</v>
      </c>
      <c r="V30" s="215" t="e">
        <f ca="1">Q30+R30*N$9</f>
        <v>#NAME?</v>
      </c>
      <c r="AC30" s="628">
        <v>7</v>
      </c>
      <c r="AD30" s="214">
        <v>8.4940784403860964E-2</v>
      </c>
      <c r="AE30" s="7">
        <v>4.922232702381886E-2</v>
      </c>
      <c r="AF30" s="7">
        <v>1.3503869643776756E-2</v>
      </c>
      <c r="AG30" s="7">
        <v>-2.2214587736265348E-2</v>
      </c>
      <c r="AH30" s="7">
        <v>-5.7933045116307452E-2</v>
      </c>
      <c r="AI30" s="7">
        <v>0.28246087333637482</v>
      </c>
      <c r="AJ30" s="7">
        <v>0.24674241595633273</v>
      </c>
      <c r="AK30" s="7">
        <v>0.21102395857629061</v>
      </c>
      <c r="AL30" s="7">
        <v>0.17530550119624849</v>
      </c>
      <c r="AM30" s="7">
        <v>0.1395870438162064</v>
      </c>
      <c r="AN30" s="7">
        <v>8.477472285932372E-2</v>
      </c>
      <c r="AO30" s="7">
        <v>4.9056265479281616E-2</v>
      </c>
      <c r="AP30" s="7">
        <v>1.3337808099239512E-2</v>
      </c>
      <c r="AQ30" s="7">
        <v>-2.2380649280802592E-2</v>
      </c>
      <c r="AR30" s="215">
        <v>-5.8099106660844696E-2</v>
      </c>
      <c r="AS30" t="e">
        <f ca="1"/>
        <v>#NAME?</v>
      </c>
    </row>
    <row r="31" spans="1:60" x14ac:dyDescent="0.25">
      <c r="D31" s="769"/>
      <c r="E31" s="769"/>
      <c r="P31" t="s">
        <v>1521</v>
      </c>
      <c r="Q31" s="214">
        <f>Q25</f>
        <v>0.3887485255400922</v>
      </c>
      <c r="R31" s="7" t="e">
        <f ca="1">R25*B$30</f>
        <v>#NAME?</v>
      </c>
      <c r="S31" s="7" t="e">
        <f ca="1">(Q31/R31)^2</f>
        <v>#NAME?</v>
      </c>
      <c r="T31" s="7" t="e">
        <f ca="1">CHIDIST(S31,N$6)</f>
        <v>#NAME?</v>
      </c>
      <c r="U31" s="7" t="e">
        <f ca="1">Q31-R31*N$9</f>
        <v>#NAME?</v>
      </c>
      <c r="V31" s="215" t="e">
        <f ca="1">Q31+R31*N$9</f>
        <v>#NAME?</v>
      </c>
      <c r="AC31">
        <v>8</v>
      </c>
      <c r="AD31" s="214">
        <v>2.6376971625624451E-2</v>
      </c>
      <c r="AE31" s="7">
        <v>1.5285188762578266E-2</v>
      </c>
      <c r="AF31" s="7">
        <v>4.1934058995320815E-3</v>
      </c>
      <c r="AG31" s="7">
        <v>-6.898376963514103E-3</v>
      </c>
      <c r="AH31" s="7">
        <v>-1.7990159826560288E-2</v>
      </c>
      <c r="AI31" s="7">
        <v>0.20899127602819423</v>
      </c>
      <c r="AJ31" s="7">
        <v>0.19789949316514804</v>
      </c>
      <c r="AK31" s="7">
        <v>0.18680771030210186</v>
      </c>
      <c r="AL31" s="7">
        <v>0.17571592743905567</v>
      </c>
      <c r="AM31" s="7">
        <v>0.16462414457600949</v>
      </c>
      <c r="AN31" s="7">
        <v>2.6325403928444499E-2</v>
      </c>
      <c r="AO31" s="7">
        <v>1.5233621065398315E-2</v>
      </c>
      <c r="AP31" s="7">
        <v>4.14183820235213E-3</v>
      </c>
      <c r="AQ31" s="7">
        <v>-6.9499446606940546E-3</v>
      </c>
      <c r="AR31" s="215">
        <v>-1.8041727523740239E-2</v>
      </c>
      <c r="AS31" t="e">
        <f ca="1"/>
        <v>#NAME?</v>
      </c>
    </row>
    <row r="32" spans="1:60" x14ac:dyDescent="0.25">
      <c r="A32" s="769"/>
      <c r="B32" s="769"/>
      <c r="D32" s="769"/>
      <c r="E32" s="769"/>
      <c r="P32" t="s">
        <v>192</v>
      </c>
      <c r="Q32" s="112">
        <f>Q26</f>
        <v>0.76613664287370042</v>
      </c>
      <c r="R32" s="696" t="e">
        <f ca="1">R26*B$30</f>
        <v>#NAME?</v>
      </c>
      <c r="S32" s="696" t="e">
        <f ca="1">(Q32/R32)^2</f>
        <v>#NAME?</v>
      </c>
      <c r="T32" s="696" t="e">
        <f ca="1">CHIDIST(S32,N$6)</f>
        <v>#NAME?</v>
      </c>
      <c r="U32" s="696" t="e">
        <f ca="1">Q32-R32*N$9</f>
        <v>#NAME?</v>
      </c>
      <c r="V32" s="120" t="e">
        <f ca="1">Q32+R32*N$9</f>
        <v>#NAME?</v>
      </c>
      <c r="AC32" s="628">
        <v>9</v>
      </c>
      <c r="AD32" s="214">
        <v>-4.2409838317816147E-2</v>
      </c>
      <c r="AE32" s="7">
        <v>-2.4576073147400117E-2</v>
      </c>
      <c r="AF32" s="7">
        <v>-6.7423079769840868E-3</v>
      </c>
      <c r="AG32" s="7">
        <v>1.1091457193431943E-2</v>
      </c>
      <c r="AH32" s="7">
        <v>2.8925222363847973E-2</v>
      </c>
      <c r="AI32" s="7">
        <v>0.24132025069776647</v>
      </c>
      <c r="AJ32" s="7">
        <v>0.25915401586818249</v>
      </c>
      <c r="AK32" s="7">
        <v>0.27698778103859856</v>
      </c>
      <c r="AL32" s="7">
        <v>0.29482154620901457</v>
      </c>
      <c r="AM32" s="7">
        <v>0.31265531137943059</v>
      </c>
      <c r="AN32" s="7">
        <v>-4.232692593003845E-2</v>
      </c>
      <c r="AO32" s="7">
        <v>-2.449316075962242E-2</v>
      </c>
      <c r="AP32" s="7">
        <v>-6.6593955892063905E-3</v>
      </c>
      <c r="AQ32" s="7">
        <v>1.1174369581209639E-2</v>
      </c>
      <c r="AR32" s="215">
        <v>2.9008134751625669E-2</v>
      </c>
      <c r="AS32" t="e">
        <f ca="1"/>
        <v>#NAME?</v>
      </c>
    </row>
    <row r="33" spans="1:45" x14ac:dyDescent="0.25">
      <c r="A33" s="769"/>
      <c r="B33" s="769"/>
      <c r="D33" s="769"/>
      <c r="E33" s="769"/>
      <c r="AC33">
        <v>10</v>
      </c>
      <c r="AD33" s="214">
        <v>-0.11958429156575474</v>
      </c>
      <c r="AE33" s="7">
        <v>-6.9297889673052337E-2</v>
      </c>
      <c r="AF33" s="7">
        <v>-1.9011487780349931E-2</v>
      </c>
      <c r="AG33" s="7">
        <v>3.1274914112352489E-2</v>
      </c>
      <c r="AH33" s="7">
        <v>8.1561316005054882E-2</v>
      </c>
      <c r="AI33" s="7">
        <v>0.14494019915174461</v>
      </c>
      <c r="AJ33" s="7">
        <v>0.195226601044447</v>
      </c>
      <c r="AK33" s="7">
        <v>0.24551300293714942</v>
      </c>
      <c r="AL33" s="7">
        <v>0.29579940482985184</v>
      </c>
      <c r="AM33" s="7">
        <v>0.34608580672255423</v>
      </c>
      <c r="AN33" s="7">
        <v>-0.11935050102215222</v>
      </c>
      <c r="AO33" s="7">
        <v>-6.9064099129449816E-2</v>
      </c>
      <c r="AP33" s="7">
        <v>-1.8777697236747409E-2</v>
      </c>
      <c r="AQ33" s="7">
        <v>3.1508704655955011E-2</v>
      </c>
      <c r="AR33" s="215">
        <v>8.1795106548657404E-2</v>
      </c>
      <c r="AS33" t="e">
        <f ca="1"/>
        <v>#NAME?</v>
      </c>
    </row>
    <row r="34" spans="1:45" x14ac:dyDescent="0.25">
      <c r="A34" s="769"/>
      <c r="B34" s="769"/>
      <c r="D34" s="769"/>
      <c r="E34" s="769"/>
      <c r="AC34" s="628">
        <v>11</v>
      </c>
      <c r="AD34" s="214">
        <v>0.1387227135144751</v>
      </c>
      <c r="AE34" s="7">
        <v>8.0388411976221985E-2</v>
      </c>
      <c r="AF34" s="7">
        <v>2.2054110437968885E-2</v>
      </c>
      <c r="AG34" s="7">
        <v>-3.6280191100284215E-2</v>
      </c>
      <c r="AH34" s="7">
        <v>-9.4614492638537329E-2</v>
      </c>
      <c r="AI34" s="7">
        <v>0.14554723775385878</v>
      </c>
      <c r="AJ34" s="7">
        <v>8.7212936215605663E-2</v>
      </c>
      <c r="AK34" s="7">
        <v>2.8878634677352563E-2</v>
      </c>
      <c r="AL34" s="7">
        <v>-2.9455666860900537E-2</v>
      </c>
      <c r="AM34" s="7">
        <v>-8.7789968399153651E-2</v>
      </c>
      <c r="AN34" s="7">
        <v>0.27131493355410413</v>
      </c>
      <c r="AO34" s="7">
        <v>0.21298063201585102</v>
      </c>
      <c r="AP34" s="7">
        <v>0.1546463304775979</v>
      </c>
      <c r="AQ34" s="7">
        <v>9.6312028939344818E-2</v>
      </c>
      <c r="AR34" s="215">
        <v>3.7977727401091704E-2</v>
      </c>
      <c r="AS34" t="e">
        <f ca="1"/>
        <v>#NAME?</v>
      </c>
    </row>
    <row r="35" spans="1:45" x14ac:dyDescent="0.25">
      <c r="A35" s="769"/>
      <c r="B35" s="769"/>
      <c r="D35" s="769"/>
      <c r="E35" s="769"/>
      <c r="AC35">
        <v>12</v>
      </c>
      <c r="AD35" s="214">
        <v>8.203632280499637E-2</v>
      </c>
      <c r="AE35" s="7">
        <v>4.7539220849902489E-2</v>
      </c>
      <c r="AF35" s="7">
        <v>1.3042118894808608E-2</v>
      </c>
      <c r="AG35" s="7">
        <v>-2.1454983060285274E-2</v>
      </c>
      <c r="AH35" s="7">
        <v>-5.5952085015379155E-2</v>
      </c>
      <c r="AI35" s="7">
        <v>8.6072135393352234E-2</v>
      </c>
      <c r="AJ35" s="7">
        <v>5.1575033438258353E-2</v>
      </c>
      <c r="AK35" s="7">
        <v>1.7077931483164471E-2</v>
      </c>
      <c r="AL35" s="7">
        <v>-1.741917047192941E-2</v>
      </c>
      <c r="AM35" s="7">
        <v>-5.1916272427023291E-2</v>
      </c>
      <c r="AN35" s="7">
        <v>0.21765598650305884</v>
      </c>
      <c r="AO35" s="7">
        <v>0.18315888454796497</v>
      </c>
      <c r="AP35" s="7">
        <v>0.14866178259287108</v>
      </c>
      <c r="AQ35" s="7">
        <v>0.1141646806377772</v>
      </c>
      <c r="AR35" s="215">
        <v>7.9667578682683315E-2</v>
      </c>
      <c r="AS35" t="e">
        <f ca="1"/>
        <v>#NAME?</v>
      </c>
    </row>
    <row r="36" spans="1:45" x14ac:dyDescent="0.25">
      <c r="A36" s="769"/>
      <c r="B36" s="769"/>
      <c r="D36" s="769"/>
      <c r="E36" s="769"/>
      <c r="AC36" s="628">
        <v>13</v>
      </c>
      <c r="AD36" s="214">
        <v>3.8619029427920171E-2</v>
      </c>
      <c r="AE36" s="7">
        <v>2.2379337666643462E-2</v>
      </c>
      <c r="AF36" s="7">
        <v>6.1396459053667529E-3</v>
      </c>
      <c r="AG36" s="7">
        <v>-1.0100045855909956E-2</v>
      </c>
      <c r="AH36" s="7">
        <v>-2.6339737617186665E-2</v>
      </c>
      <c r="AI36" s="7">
        <v>4.0518909380923118E-2</v>
      </c>
      <c r="AJ36" s="7">
        <v>2.4279217619646409E-2</v>
      </c>
      <c r="AK36" s="7">
        <v>8.0395258583697005E-3</v>
      </c>
      <c r="AL36" s="7">
        <v>-8.2001659029070084E-3</v>
      </c>
      <c r="AM36" s="7">
        <v>-2.4439857664183717E-2</v>
      </c>
      <c r="AN36" s="7">
        <v>0.27363731033689709</v>
      </c>
      <c r="AO36" s="7">
        <v>0.25739761857562038</v>
      </c>
      <c r="AP36" s="7">
        <v>0.24115792681434367</v>
      </c>
      <c r="AQ36" s="7">
        <v>0.22491823505306696</v>
      </c>
      <c r="AR36" s="215">
        <v>0.20867854329179025</v>
      </c>
      <c r="AS36" t="e">
        <f ca="1"/>
        <v>#NAME?</v>
      </c>
    </row>
    <row r="37" spans="1:45" x14ac:dyDescent="0.25">
      <c r="A37" s="769"/>
      <c r="B37" s="769"/>
      <c r="D37" s="769"/>
      <c r="E37" s="769"/>
      <c r="AC37">
        <v>14</v>
      </c>
      <c r="AD37" s="214">
        <v>-5.9981104985054962E-2</v>
      </c>
      <c r="AE37" s="7">
        <v>-3.4758444786509246E-2</v>
      </c>
      <c r="AF37" s="7">
        <v>-9.5357845879635306E-3</v>
      </c>
      <c r="AG37" s="7">
        <v>1.5686875610582185E-2</v>
      </c>
      <c r="AH37" s="7">
        <v>4.09095358091279E-2</v>
      </c>
      <c r="AI37" s="7">
        <v>-6.2931901538157309E-2</v>
      </c>
      <c r="AJ37" s="7">
        <v>-3.7709241339611593E-2</v>
      </c>
      <c r="AK37" s="7">
        <v>-1.2486581141065878E-2</v>
      </c>
      <c r="AL37" s="7">
        <v>1.2736079057479838E-2</v>
      </c>
      <c r="AM37" s="7">
        <v>3.7958739256025553E-2</v>
      </c>
      <c r="AN37" s="7">
        <v>0.15773973825811483</v>
      </c>
      <c r="AO37" s="7">
        <v>0.18296239845666054</v>
      </c>
      <c r="AP37" s="7">
        <v>0.20818505865520626</v>
      </c>
      <c r="AQ37" s="7">
        <v>0.23340771885375197</v>
      </c>
      <c r="AR37" s="215">
        <v>0.25863037905229769</v>
      </c>
      <c r="AS37" t="e">
        <f ca="1"/>
        <v>#NAME?</v>
      </c>
    </row>
    <row r="38" spans="1:45" x14ac:dyDescent="0.25">
      <c r="A38" s="769"/>
      <c r="B38" s="769"/>
      <c r="D38" s="769"/>
      <c r="E38" s="769"/>
      <c r="AC38" s="628">
        <v>15</v>
      </c>
      <c r="AD38" s="112">
        <v>-0.19939696076233715</v>
      </c>
      <c r="AE38" s="696">
        <v>-0.11554852570625904</v>
      </c>
      <c r="AF38" s="696">
        <v>-3.1700090650180923E-2</v>
      </c>
      <c r="AG38" s="696">
        <v>5.2148344405897218E-2</v>
      </c>
      <c r="AH38" s="696">
        <v>0.1359967794619753</v>
      </c>
      <c r="AI38" s="696">
        <v>-0.20920638098997718</v>
      </c>
      <c r="AJ38" s="696">
        <v>-0.12535794593389907</v>
      </c>
      <c r="AK38" s="696">
        <v>-4.1509510877820954E-2</v>
      </c>
      <c r="AL38" s="696">
        <v>4.2338924178257187E-2</v>
      </c>
      <c r="AM38" s="696">
        <v>0.12618735923433527</v>
      </c>
      <c r="AN38" s="696">
        <v>7.9652031347825225E-2</v>
      </c>
      <c r="AO38" s="696">
        <v>0.16350046640390334</v>
      </c>
      <c r="AP38" s="696">
        <v>0.24734890145998145</v>
      </c>
      <c r="AQ38" s="696">
        <v>0.33119733651605959</v>
      </c>
      <c r="AR38" s="120">
        <v>0.41504577157213768</v>
      </c>
      <c r="AS38" t="e">
        <f ca="1"/>
        <v>#NAME?</v>
      </c>
    </row>
    <row r="39" spans="1:45" x14ac:dyDescent="0.25">
      <c r="A39" s="769"/>
      <c r="B39" s="769"/>
      <c r="D39" s="769"/>
      <c r="E39" s="769"/>
      <c r="AH39" s="628"/>
    </row>
    <row r="40" spans="1:45" x14ac:dyDescent="0.25">
      <c r="A40" s="769"/>
      <c r="B40" s="769"/>
      <c r="D40" s="769"/>
      <c r="E40" s="769"/>
      <c r="AH40" s="628"/>
    </row>
    <row r="41" spans="1:45" x14ac:dyDescent="0.25">
      <c r="A41" s="769"/>
      <c r="B41" s="769"/>
      <c r="D41" s="769"/>
      <c r="E41" s="769"/>
      <c r="AH41" s="628"/>
    </row>
    <row r="42" spans="1:45" x14ac:dyDescent="0.25">
      <c r="A42" s="769"/>
      <c r="B42" s="769"/>
      <c r="D42" s="769"/>
      <c r="E42" s="769"/>
      <c r="AH42" s="628"/>
    </row>
    <row r="43" spans="1:45" x14ac:dyDescent="0.25">
      <c r="A43" s="769"/>
      <c r="B43" s="769"/>
      <c r="D43" s="769"/>
      <c r="E43" s="769"/>
      <c r="AH43" s="628"/>
    </row>
    <row r="44" spans="1:45" x14ac:dyDescent="0.25">
      <c r="A44" s="769"/>
      <c r="B44" s="769"/>
      <c r="D44" s="769"/>
      <c r="E44" s="769"/>
      <c r="AH44" s="628"/>
    </row>
    <row r="45" spans="1:45" x14ac:dyDescent="0.25">
      <c r="A45" s="769"/>
      <c r="B45" s="769"/>
      <c r="D45" s="769"/>
      <c r="E45" s="769"/>
      <c r="AH45" s="628"/>
    </row>
    <row r="46" spans="1:45" x14ac:dyDescent="0.25">
      <c r="A46" s="769"/>
      <c r="B46" s="769"/>
      <c r="D46" s="769"/>
      <c r="E46" s="769"/>
      <c r="AH46" s="628"/>
    </row>
    <row r="47" spans="1:45" x14ac:dyDescent="0.25">
      <c r="A47" s="769"/>
      <c r="B47" s="769"/>
      <c r="D47" s="769"/>
      <c r="E47" s="769"/>
      <c r="AH47" s="628"/>
    </row>
    <row r="48" spans="1:45" x14ac:dyDescent="0.25">
      <c r="A48" s="769"/>
      <c r="B48" s="769"/>
      <c r="D48" s="769"/>
      <c r="E48" s="769"/>
      <c r="AH48" s="628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AQ20"/>
  <sheetViews>
    <sheetView workbookViewId="0"/>
  </sheetViews>
  <sheetFormatPr defaultRowHeight="15" x14ac:dyDescent="0.25"/>
  <cols>
    <col min="1" max="1" width="7" style="740" customWidth="1"/>
    <col min="2" max="2" width="9.140625" style="740"/>
    <col min="4" max="5" width="9.140625" style="740"/>
    <col min="6" max="6" width="9.28515625" bestFit="1" customWidth="1"/>
    <col min="7" max="9" width="9.140625" customWidth="1"/>
  </cols>
  <sheetData>
    <row r="1" spans="1:43" x14ac:dyDescent="0.25">
      <c r="A1" s="694" t="s">
        <v>1513</v>
      </c>
      <c r="M1" t="s">
        <v>1513</v>
      </c>
      <c r="U1" t="s">
        <v>1537</v>
      </c>
      <c r="AE1" t="s">
        <v>133</v>
      </c>
      <c r="AN1" t="s">
        <v>1546</v>
      </c>
    </row>
    <row r="3" spans="1:43" x14ac:dyDescent="0.25">
      <c r="A3" s="652" t="s">
        <v>1516</v>
      </c>
      <c r="B3" s="652" t="s">
        <v>1517</v>
      </c>
      <c r="C3" s="652" t="s">
        <v>1518</v>
      </c>
      <c r="D3" s="652" t="s">
        <v>192</v>
      </c>
      <c r="F3" s="652" t="s">
        <v>1519</v>
      </c>
      <c r="G3" s="652" t="s">
        <v>1520</v>
      </c>
      <c r="H3" s="652" t="s">
        <v>1521</v>
      </c>
      <c r="I3" s="652" t="s">
        <v>192</v>
      </c>
      <c r="J3" s="652" t="s">
        <v>1516</v>
      </c>
      <c r="K3" s="652" t="s">
        <v>1517</v>
      </c>
      <c r="M3" s="740" t="e">
        <f t="array" aca="1" ref="M3:S7" ca="1">PoissonCoeff(G3:I18,J3:J18,TRUE,,K3:K18,TRUE,V19,Z9)</f>
        <v>#NAME?</v>
      </c>
      <c r="N3" s="740" t="e">
        <f ca="1"/>
        <v>#NAME?</v>
      </c>
      <c r="O3" s="740" t="e">
        <f ca="1"/>
        <v>#NAME?</v>
      </c>
      <c r="P3" s="740" t="e">
        <f ca="1"/>
        <v>#NAME?</v>
      </c>
      <c r="Q3" s="740" t="e">
        <f ca="1"/>
        <v>#NAME?</v>
      </c>
      <c r="R3" s="740" t="e">
        <f ca="1"/>
        <v>#NAME?</v>
      </c>
      <c r="S3" s="740" t="e">
        <f ca="1"/>
        <v>#NAME?</v>
      </c>
      <c r="V3" s="740" t="s">
        <v>71</v>
      </c>
      <c r="W3" s="740" t="s">
        <v>48</v>
      </c>
      <c r="Y3" t="s">
        <v>754</v>
      </c>
      <c r="AC3" t="s">
        <v>837</v>
      </c>
      <c r="AE3" s="740" t="s">
        <v>105</v>
      </c>
      <c r="AF3" s="740" t="s">
        <v>1547</v>
      </c>
      <c r="AG3" s="740" t="s">
        <v>84</v>
      </c>
      <c r="AH3" s="740" t="s">
        <v>67</v>
      </c>
      <c r="AI3" s="740" t="s">
        <v>28</v>
      </c>
      <c r="AJ3" s="740" t="s">
        <v>1528</v>
      </c>
      <c r="AK3" s="740" t="s">
        <v>1529</v>
      </c>
      <c r="AL3" s="740" t="s">
        <v>958</v>
      </c>
      <c r="AN3" s="740" t="s">
        <v>1531</v>
      </c>
      <c r="AO3" s="740" t="s">
        <v>148</v>
      </c>
      <c r="AP3" s="740" t="s">
        <v>15</v>
      </c>
      <c r="AQ3" s="740" t="s">
        <v>16</v>
      </c>
    </row>
    <row r="4" spans="1:43" x14ac:dyDescent="0.25">
      <c r="A4" s="741">
        <v>45</v>
      </c>
      <c r="B4" s="741">
        <v>24786</v>
      </c>
      <c r="C4" s="741" t="s">
        <v>109</v>
      </c>
      <c r="D4" s="751">
        <v>0</v>
      </c>
      <c r="F4" s="743">
        <v>1</v>
      </c>
      <c r="G4" s="743">
        <v>1</v>
      </c>
      <c r="H4" s="743">
        <v>0</v>
      </c>
      <c r="I4" s="751">
        <f>D4</f>
        <v>0</v>
      </c>
      <c r="J4" s="740">
        <f>A4</f>
        <v>45</v>
      </c>
      <c r="K4" s="740">
        <f>B4</f>
        <v>24786</v>
      </c>
      <c r="M4" t="e">
        <f ca="1"/>
        <v>#NAME?</v>
      </c>
      <c r="N4" s="648" t="e">
        <f ca="1"/>
        <v>#NAME?</v>
      </c>
      <c r="O4" s="649" t="e">
        <f ca="1"/>
        <v>#NAME?</v>
      </c>
      <c r="P4" s="649" t="e">
        <f ca="1"/>
        <v>#NAME?</v>
      </c>
      <c r="Q4" s="649" t="e">
        <f ca="1"/>
        <v>#NAME?</v>
      </c>
      <c r="R4" s="649" t="e">
        <f ca="1"/>
        <v>#NAME?</v>
      </c>
      <c r="S4" s="650" t="e">
        <f ca="1"/>
        <v>#NAME?</v>
      </c>
      <c r="U4" t="s">
        <v>1542</v>
      </c>
      <c r="V4" s="648" t="e">
        <f ca="1">SUMSQ(AH4:AH18)</f>
        <v>#NAME?</v>
      </c>
      <c r="W4" s="650" t="e">
        <f ca="1">CHIDIST(V4,V9)</f>
        <v>#NAME?</v>
      </c>
      <c r="Y4" s="648" t="e">
        <f t="array" aca="1" ref="Y4:AB7" ca="1">MINVERSE(MMULT(TRANSPOSE(DESIGN(G4:I18)),AF4:AF18*DESIGN(G4:I18)))</f>
        <v>#NAME?</v>
      </c>
      <c r="Z4" s="649" t="e">
        <f ca="1"/>
        <v>#NAME?</v>
      </c>
      <c r="AA4" s="649" t="e">
        <f ca="1"/>
        <v>#NAME?</v>
      </c>
      <c r="AB4" s="650" t="e">
        <f ca="1"/>
        <v>#NAME?</v>
      </c>
      <c r="AC4" s="671" t="e">
        <f t="array" aca="1" ref="AC4:AC7" ca="1">MMULT(Y4:AB7,MMULT(TRANSPOSE(DESIGN(G4:I18)),AG4:AG18))</f>
        <v>#NAME?</v>
      </c>
      <c r="AE4" s="648">
        <f>J4</f>
        <v>45</v>
      </c>
      <c r="AF4" s="649" t="e">
        <f ca="1">K4*EXP(N$4+MMULT(G4:I4,N$5:N$7))</f>
        <v>#NAME?</v>
      </c>
      <c r="AG4" s="649" t="e">
        <f ca="1">AE4-AF4</f>
        <v>#NAME?</v>
      </c>
      <c r="AH4" s="649" t="e">
        <f ca="1">AG4/SQRT(AF4)</f>
        <v>#NAME?</v>
      </c>
      <c r="AI4" s="649" t="e">
        <f ca="1">SIGN(AG4)*SQRT(2*(AE4*LN(AE4/AF4)-AG4))</f>
        <v>#NAME?</v>
      </c>
      <c r="AJ4" s="649" t="e">
        <f ca="1">AH4/SQRT(1-AL4)</f>
        <v>#NAME?</v>
      </c>
      <c r="AK4" s="649" t="e">
        <f ca="1">AI4/SQRT(1-AL4)</f>
        <v>#NAME?</v>
      </c>
      <c r="AL4" s="650" t="e">
        <f t="array" aca="1" ref="AL4:AL18" ca="1">DIAG(MMULT(MMULT(AF4:AF18*DESIGN(G4:I18),MINVERSE(MMULT(TRANSPOSE(DESIGN(G4:I18)),AF4:AF18*DESIGN(G4:I18)))),TRANSPOSE(DESIGN(G4:I18))))</f>
        <v>#NAME?</v>
      </c>
      <c r="AM4" t="e">
        <f ca="1">IF(AL4&lt;=$AL$19,"","*")</f>
        <v>#NAME?</v>
      </c>
      <c r="AN4" s="648" t="e">
        <f ca="1">AF4</f>
        <v>#NAME?</v>
      </c>
      <c r="AO4" s="649" t="e">
        <f t="array" aca="1" ref="AO4" ca="1">AN4*SQRT(MMULT(MMULT(DESIGN(G4:I4),$Y$4:$AB$7),TRANSPOSE(DESIGN(G4:I4))))</f>
        <v>#NAME?</v>
      </c>
      <c r="AP4" s="649" t="e">
        <f ca="1">AN4-AO4*V$20</f>
        <v>#NAME?</v>
      </c>
      <c r="AQ4" s="650" t="e">
        <f ca="1">AN4+AO4*V$20</f>
        <v>#NAME?</v>
      </c>
    </row>
    <row r="5" spans="1:43" x14ac:dyDescent="0.25">
      <c r="A5" s="741">
        <v>77</v>
      </c>
      <c r="B5" s="741">
        <v>32125</v>
      </c>
      <c r="C5" s="741" t="s">
        <v>109</v>
      </c>
      <c r="D5" s="751">
        <v>0.5</v>
      </c>
      <c r="F5" s="743">
        <v>1</v>
      </c>
      <c r="G5" s="743">
        <v>1</v>
      </c>
      <c r="H5" s="743">
        <v>0</v>
      </c>
      <c r="I5" s="751">
        <f>D5</f>
        <v>0.5</v>
      </c>
      <c r="J5" s="740">
        <f t="shared" ref="J5:K18" si="0">A5</f>
        <v>77</v>
      </c>
      <c r="K5" s="740">
        <f>B5</f>
        <v>32125</v>
      </c>
      <c r="M5" t="e">
        <f ca="1"/>
        <v>#NAME?</v>
      </c>
      <c r="N5" s="183" t="e">
        <f ca="1"/>
        <v>#NAME?</v>
      </c>
      <c r="O5" s="7" t="e">
        <f ca="1"/>
        <v>#NAME?</v>
      </c>
      <c r="P5" s="7" t="e">
        <f ca="1"/>
        <v>#NAME?</v>
      </c>
      <c r="Q5" s="7" t="e">
        <f ca="1"/>
        <v>#NAME?</v>
      </c>
      <c r="R5" s="7" t="e">
        <f ca="1"/>
        <v>#NAME?</v>
      </c>
      <c r="S5" s="43" t="e">
        <f ca="1"/>
        <v>#NAME?</v>
      </c>
      <c r="U5" t="s">
        <v>1543</v>
      </c>
      <c r="V5" s="351" t="e">
        <f ca="1">SUMSQ(AI4:AI18)</f>
        <v>#NAME?</v>
      </c>
      <c r="W5" s="353" t="e">
        <f ca="1">CHIDIST(V5,V9)</f>
        <v>#NAME?</v>
      </c>
      <c r="Y5" s="183" t="e">
        <f ca="1"/>
        <v>#NAME?</v>
      </c>
      <c r="Z5" s="7" t="e">
        <f ca="1"/>
        <v>#NAME?</v>
      </c>
      <c r="AA5" s="7" t="e">
        <f ca="1"/>
        <v>#NAME?</v>
      </c>
      <c r="AB5" s="43" t="e">
        <f ca="1"/>
        <v>#NAME?</v>
      </c>
      <c r="AC5" s="322" t="e">
        <f ca="1"/>
        <v>#NAME?</v>
      </c>
      <c r="AE5" s="183">
        <f t="shared" ref="AE5:AE18" si="1">J5</f>
        <v>77</v>
      </c>
      <c r="AF5" s="7" t="e">
        <f t="shared" ref="AF5:AF18" ca="1" si="2">K5*EXP(N$4+MMULT(G5:I5,N$5:N$7))</f>
        <v>#NAME?</v>
      </c>
      <c r="AG5" s="7" t="e">
        <f t="shared" ref="AG5:AG18" ca="1" si="3">AE5-AF5</f>
        <v>#NAME?</v>
      </c>
      <c r="AH5" s="7" t="e">
        <f t="shared" ref="AH5:AH18" ca="1" si="4">AG5/SQRT(AF5)</f>
        <v>#NAME?</v>
      </c>
      <c r="AI5" s="7" t="e">
        <f t="shared" ref="AI5:AI18" ca="1" si="5">SIGN(AG5)*SQRT(2*(AE5*LN(AE5/AF5)-AG5))</f>
        <v>#NAME?</v>
      </c>
      <c r="AJ5" s="7" t="e">
        <f t="shared" ref="AJ5:AJ18" ca="1" si="6">AH5/SQRT(1-AL5)</f>
        <v>#NAME?</v>
      </c>
      <c r="AK5" s="7" t="e">
        <f t="shared" ref="AK5:AK18" ca="1" si="7">AI5/SQRT(1-AL5)</f>
        <v>#NAME?</v>
      </c>
      <c r="AL5" s="43" t="e">
        <f ca="1"/>
        <v>#NAME?</v>
      </c>
      <c r="AM5" t="e">
        <f t="shared" ref="AM5:AM18" ca="1" si="8">IF(AL5&lt;=$AL$19,"","*")</f>
        <v>#NAME?</v>
      </c>
      <c r="AN5" s="183" t="e">
        <f t="shared" ref="AN5:AN18" ca="1" si="9">AF5</f>
        <v>#NAME?</v>
      </c>
      <c r="AO5" s="7" t="e">
        <f t="array" aca="1" ref="AO5" ca="1">AN5*SQRT(MMULT(MMULT(DESIGN(G5:I5),$Y$4:$AB$7),TRANSPOSE(DESIGN(G5:I5))))</f>
        <v>#NAME?</v>
      </c>
      <c r="AP5" s="7" t="e">
        <f t="shared" ref="AP5:AP18" ca="1" si="10">AN5-AO5*V$20</f>
        <v>#NAME?</v>
      </c>
      <c r="AQ5" s="43" t="e">
        <f t="shared" ref="AQ5:AQ18" ca="1" si="11">AN5+AO5*V$20</f>
        <v>#NAME?</v>
      </c>
    </row>
    <row r="6" spans="1:43" x14ac:dyDescent="0.25">
      <c r="A6" s="741">
        <v>95</v>
      </c>
      <c r="B6" s="741">
        <v>34706</v>
      </c>
      <c r="C6" s="741" t="s">
        <v>109</v>
      </c>
      <c r="D6" s="751">
        <v>1</v>
      </c>
      <c r="F6" s="743">
        <v>1</v>
      </c>
      <c r="G6" s="743">
        <v>1</v>
      </c>
      <c r="H6" s="743">
        <v>0</v>
      </c>
      <c r="I6" s="751">
        <f t="shared" ref="I6:I18" si="12">D6</f>
        <v>1</v>
      </c>
      <c r="J6" s="740">
        <f t="shared" si="0"/>
        <v>95</v>
      </c>
      <c r="K6" s="740">
        <f t="shared" si="0"/>
        <v>34706</v>
      </c>
      <c r="M6" t="e">
        <f ca="1"/>
        <v>#NAME?</v>
      </c>
      <c r="N6" s="183" t="e">
        <f ca="1"/>
        <v>#NAME?</v>
      </c>
      <c r="O6" s="7" t="e">
        <f ca="1"/>
        <v>#NAME?</v>
      </c>
      <c r="P6" s="7" t="e">
        <f ca="1"/>
        <v>#NAME?</v>
      </c>
      <c r="Q6" s="7" t="e">
        <f ca="1"/>
        <v>#NAME?</v>
      </c>
      <c r="R6" s="7" t="e">
        <f ca="1"/>
        <v>#NAME?</v>
      </c>
      <c r="S6" s="43" t="e">
        <f ca="1"/>
        <v>#NAME?</v>
      </c>
      <c r="Y6" s="183" t="e">
        <f ca="1"/>
        <v>#NAME?</v>
      </c>
      <c r="Z6" s="7" t="e">
        <f ca="1"/>
        <v>#NAME?</v>
      </c>
      <c r="AA6" s="7" t="e">
        <f ca="1"/>
        <v>#NAME?</v>
      </c>
      <c r="AB6" s="43" t="e">
        <f ca="1"/>
        <v>#NAME?</v>
      </c>
      <c r="AC6" s="322" t="e">
        <f ca="1"/>
        <v>#NAME?</v>
      </c>
      <c r="AE6" s="183">
        <f t="shared" si="1"/>
        <v>95</v>
      </c>
      <c r="AF6" s="7" t="e">
        <f t="shared" ca="1" si="2"/>
        <v>#NAME?</v>
      </c>
      <c r="AG6" s="7" t="e">
        <f t="shared" ca="1" si="3"/>
        <v>#NAME?</v>
      </c>
      <c r="AH6" s="7" t="e">
        <f t="shared" ca="1" si="4"/>
        <v>#NAME?</v>
      </c>
      <c r="AI6" s="7" t="e">
        <f t="shared" ca="1" si="5"/>
        <v>#NAME?</v>
      </c>
      <c r="AJ6" s="7" t="e">
        <f t="shared" ca="1" si="6"/>
        <v>#NAME?</v>
      </c>
      <c r="AK6" s="7" t="e">
        <f t="shared" ca="1" si="7"/>
        <v>#NAME?</v>
      </c>
      <c r="AL6" s="43" t="e">
        <f ca="1"/>
        <v>#NAME?</v>
      </c>
      <c r="AM6" t="e">
        <f t="shared" ca="1" si="8"/>
        <v>#NAME?</v>
      </c>
      <c r="AN6" s="183" t="e">
        <f t="shared" ca="1" si="9"/>
        <v>#NAME?</v>
      </c>
      <c r="AO6" s="7" t="e">
        <f t="array" aca="1" ref="AO6" ca="1">AN6*SQRT(MMULT(MMULT(DESIGN(G6:I6),$Y$4:$AB$7),TRANSPOSE(DESIGN(G6:I6))))</f>
        <v>#NAME?</v>
      </c>
      <c r="AP6" s="7" t="e">
        <f t="shared" ca="1" si="10"/>
        <v>#NAME?</v>
      </c>
      <c r="AQ6" s="43" t="e">
        <f t="shared" ca="1" si="11"/>
        <v>#NAME?</v>
      </c>
    </row>
    <row r="7" spans="1:43" x14ac:dyDescent="0.25">
      <c r="A7" s="741">
        <v>92</v>
      </c>
      <c r="B7" s="741">
        <v>23440</v>
      </c>
      <c r="C7" s="741" t="s">
        <v>109</v>
      </c>
      <c r="D7" s="752">
        <v>1.5</v>
      </c>
      <c r="F7" s="743">
        <v>1</v>
      </c>
      <c r="G7" s="743">
        <v>1</v>
      </c>
      <c r="H7" s="743">
        <v>0</v>
      </c>
      <c r="I7" s="751">
        <f t="shared" si="12"/>
        <v>1.5</v>
      </c>
      <c r="J7" s="740">
        <f t="shared" si="0"/>
        <v>92</v>
      </c>
      <c r="K7" s="740">
        <f t="shared" si="0"/>
        <v>23440</v>
      </c>
      <c r="M7" t="e">
        <f ca="1"/>
        <v>#NAME?</v>
      </c>
      <c r="N7" s="351" t="e">
        <f ca="1"/>
        <v>#NAME?</v>
      </c>
      <c r="O7" s="352" t="e">
        <f ca="1"/>
        <v>#NAME?</v>
      </c>
      <c r="P7" s="352" t="e">
        <f ca="1"/>
        <v>#NAME?</v>
      </c>
      <c r="Q7" s="352" t="e">
        <f ca="1"/>
        <v>#NAME?</v>
      </c>
      <c r="R7" s="352" t="e">
        <f ca="1"/>
        <v>#NAME?</v>
      </c>
      <c r="S7" s="353" t="e">
        <f ca="1"/>
        <v>#NAME?</v>
      </c>
      <c r="U7" t="s">
        <v>17</v>
      </c>
      <c r="V7" s="671">
        <f>COUNT(J4:J18)</f>
        <v>15</v>
      </c>
      <c r="Y7" s="351" t="e">
        <f ca="1"/>
        <v>#NAME?</v>
      </c>
      <c r="Z7" s="352" t="e">
        <f ca="1"/>
        <v>#NAME?</v>
      </c>
      <c r="AA7" s="352" t="e">
        <f ca="1"/>
        <v>#NAME?</v>
      </c>
      <c r="AB7" s="353" t="e">
        <f ca="1"/>
        <v>#NAME?</v>
      </c>
      <c r="AC7" s="349" t="e">
        <f ca="1"/>
        <v>#NAME?</v>
      </c>
      <c r="AE7" s="183">
        <f t="shared" si="1"/>
        <v>92</v>
      </c>
      <c r="AF7" s="7" t="e">
        <f t="shared" ca="1" si="2"/>
        <v>#NAME?</v>
      </c>
      <c r="AG7" s="7" t="e">
        <f t="shared" ca="1" si="3"/>
        <v>#NAME?</v>
      </c>
      <c r="AH7" s="7" t="e">
        <f t="shared" ca="1" si="4"/>
        <v>#NAME?</v>
      </c>
      <c r="AI7" s="7" t="e">
        <f t="shared" ca="1" si="5"/>
        <v>#NAME?</v>
      </c>
      <c r="AJ7" s="7" t="e">
        <f t="shared" ca="1" si="6"/>
        <v>#NAME?</v>
      </c>
      <c r="AK7" s="7" t="e">
        <f t="shared" ca="1" si="7"/>
        <v>#NAME?</v>
      </c>
      <c r="AL7" s="43" t="e">
        <f ca="1"/>
        <v>#NAME?</v>
      </c>
      <c r="AM7" t="e">
        <f t="shared" ca="1" si="8"/>
        <v>#NAME?</v>
      </c>
      <c r="AN7" s="183" t="e">
        <f t="shared" ca="1" si="9"/>
        <v>#NAME?</v>
      </c>
      <c r="AO7" s="7" t="e">
        <f t="array" aca="1" ref="AO7" ca="1">AN7*SQRT(MMULT(MMULT(DESIGN(G7:I7),$Y$4:$AB$7),TRANSPOSE(DESIGN(G7:I7))))</f>
        <v>#NAME?</v>
      </c>
      <c r="AP7" s="7" t="e">
        <f t="shared" ca="1" si="10"/>
        <v>#NAME?</v>
      </c>
      <c r="AQ7" s="43" t="e">
        <f t="shared" ca="1" si="11"/>
        <v>#NAME?</v>
      </c>
    </row>
    <row r="8" spans="1:43" x14ac:dyDescent="0.25">
      <c r="A8" s="741">
        <v>103</v>
      </c>
      <c r="B8" s="741">
        <v>14133</v>
      </c>
      <c r="C8" s="741" t="s">
        <v>109</v>
      </c>
      <c r="D8" s="752">
        <v>2</v>
      </c>
      <c r="F8" s="743">
        <v>1</v>
      </c>
      <c r="G8" s="743">
        <v>1</v>
      </c>
      <c r="H8" s="743">
        <v>0</v>
      </c>
      <c r="I8" s="751">
        <f t="shared" si="12"/>
        <v>2</v>
      </c>
      <c r="J8" s="740">
        <f t="shared" si="0"/>
        <v>103</v>
      </c>
      <c r="K8" s="740">
        <f t="shared" si="0"/>
        <v>14133</v>
      </c>
      <c r="U8" t="s">
        <v>38</v>
      </c>
      <c r="V8" s="322">
        <f ca="1">COUNTA(M4:M8)</f>
        <v>4</v>
      </c>
      <c r="AE8" s="183">
        <f t="shared" si="1"/>
        <v>103</v>
      </c>
      <c r="AF8" s="7" t="e">
        <f t="shared" ca="1" si="2"/>
        <v>#NAME?</v>
      </c>
      <c r="AG8" s="7" t="e">
        <f t="shared" ca="1" si="3"/>
        <v>#NAME?</v>
      </c>
      <c r="AH8" s="7" t="e">
        <f t="shared" ca="1" si="4"/>
        <v>#NAME?</v>
      </c>
      <c r="AI8" s="7" t="e">
        <f t="shared" ca="1" si="5"/>
        <v>#NAME?</v>
      </c>
      <c r="AJ8" s="7" t="e">
        <f t="shared" ca="1" si="6"/>
        <v>#NAME?</v>
      </c>
      <c r="AK8" s="7" t="e">
        <f t="shared" ca="1" si="7"/>
        <v>#NAME?</v>
      </c>
      <c r="AL8" s="43" t="e">
        <f ca="1"/>
        <v>#NAME?</v>
      </c>
      <c r="AM8" t="e">
        <f t="shared" ca="1" si="8"/>
        <v>#NAME?</v>
      </c>
      <c r="AN8" s="183" t="e">
        <f t="shared" ca="1" si="9"/>
        <v>#NAME?</v>
      </c>
      <c r="AO8" s="7" t="e">
        <f t="array" aca="1" ref="AO8" ca="1">AN8*SQRT(MMULT(MMULT(DESIGN(G8:I8),$Y$4:$AB$7),TRANSPOSE(DESIGN(G8:I8))))</f>
        <v>#NAME?</v>
      </c>
      <c r="AP8" s="7" t="e">
        <f t="shared" ca="1" si="10"/>
        <v>#NAME?</v>
      </c>
      <c r="AQ8" s="43" t="e">
        <f t="shared" ca="1" si="11"/>
        <v>#NAME?</v>
      </c>
    </row>
    <row r="9" spans="1:43" x14ac:dyDescent="0.25">
      <c r="A9" s="741">
        <v>12</v>
      </c>
      <c r="B9" s="741">
        <v>11946</v>
      </c>
      <c r="C9" s="743" t="s">
        <v>95</v>
      </c>
      <c r="D9" s="751">
        <v>0</v>
      </c>
      <c r="F9" s="743">
        <v>1</v>
      </c>
      <c r="G9" s="743">
        <v>0</v>
      </c>
      <c r="H9" s="743">
        <v>1</v>
      </c>
      <c r="I9" s="751">
        <f t="shared" si="12"/>
        <v>0</v>
      </c>
      <c r="J9" s="740">
        <f t="shared" si="0"/>
        <v>12</v>
      </c>
      <c r="K9" s="740">
        <f t="shared" si="0"/>
        <v>11946</v>
      </c>
      <c r="M9" t="s">
        <v>1548</v>
      </c>
      <c r="O9" s="679" t="e">
        <f ca="1">O12/O4</f>
        <v>#NAME?</v>
      </c>
      <c r="U9" t="s">
        <v>41</v>
      </c>
      <c r="V9" s="322">
        <f ca="1">V7-V8</f>
        <v>11</v>
      </c>
      <c r="Y9" t="s">
        <v>1549</v>
      </c>
      <c r="Z9" s="679">
        <v>25</v>
      </c>
      <c r="AE9" s="183">
        <f t="shared" si="1"/>
        <v>12</v>
      </c>
      <c r="AF9" s="7" t="e">
        <f t="shared" ca="1" si="2"/>
        <v>#NAME?</v>
      </c>
      <c r="AG9" s="7" t="e">
        <f t="shared" ca="1" si="3"/>
        <v>#NAME?</v>
      </c>
      <c r="AH9" s="7" t="e">
        <f t="shared" ca="1" si="4"/>
        <v>#NAME?</v>
      </c>
      <c r="AI9" s="7" t="e">
        <f t="shared" ca="1" si="5"/>
        <v>#NAME?</v>
      </c>
      <c r="AJ9" s="7" t="e">
        <f t="shared" ca="1" si="6"/>
        <v>#NAME?</v>
      </c>
      <c r="AK9" s="7" t="e">
        <f t="shared" ca="1" si="7"/>
        <v>#NAME?</v>
      </c>
      <c r="AL9" s="43" t="e">
        <f ca="1"/>
        <v>#NAME?</v>
      </c>
      <c r="AM9" t="e">
        <f t="shared" ca="1" si="8"/>
        <v>#NAME?</v>
      </c>
      <c r="AN9" s="183" t="e">
        <f t="shared" ca="1" si="9"/>
        <v>#NAME?</v>
      </c>
      <c r="AO9" s="7" t="e">
        <f t="array" aca="1" ref="AO9" ca="1">AN9*SQRT(MMULT(MMULT(DESIGN(G9:I9),$Y$4:$AB$7),TRANSPOSE(DESIGN(G9:I9))))</f>
        <v>#NAME?</v>
      </c>
      <c r="AP9" s="7" t="e">
        <f t="shared" ca="1" si="10"/>
        <v>#NAME?</v>
      </c>
      <c r="AQ9" s="43" t="e">
        <f t="shared" ca="1" si="11"/>
        <v>#NAME?</v>
      </c>
    </row>
    <row r="10" spans="1:43" x14ac:dyDescent="0.25">
      <c r="A10" s="741">
        <v>29</v>
      </c>
      <c r="B10" s="741">
        <v>22782</v>
      </c>
      <c r="C10" s="743" t="s">
        <v>95</v>
      </c>
      <c r="D10" s="751">
        <v>0.5</v>
      </c>
      <c r="F10" s="743">
        <v>1</v>
      </c>
      <c r="G10" s="743">
        <v>0</v>
      </c>
      <c r="H10" s="743">
        <v>1</v>
      </c>
      <c r="I10" s="751">
        <f t="shared" si="12"/>
        <v>0.5</v>
      </c>
      <c r="J10" s="740">
        <f t="shared" si="0"/>
        <v>29</v>
      </c>
      <c r="K10" s="740">
        <f t="shared" si="0"/>
        <v>22782</v>
      </c>
      <c r="U10" t="s">
        <v>1550</v>
      </c>
      <c r="V10" s="322" t="e">
        <f ca="1">V4/V9</f>
        <v>#NAME?</v>
      </c>
      <c r="AE10" s="183">
        <f t="shared" si="1"/>
        <v>29</v>
      </c>
      <c r="AF10" s="7" t="e">
        <f t="shared" ca="1" si="2"/>
        <v>#NAME?</v>
      </c>
      <c r="AG10" s="7" t="e">
        <f t="shared" ca="1" si="3"/>
        <v>#NAME?</v>
      </c>
      <c r="AH10" s="7" t="e">
        <f t="shared" ca="1" si="4"/>
        <v>#NAME?</v>
      </c>
      <c r="AI10" s="7" t="e">
        <f t="shared" ca="1" si="5"/>
        <v>#NAME?</v>
      </c>
      <c r="AJ10" s="7" t="e">
        <f t="shared" ca="1" si="6"/>
        <v>#NAME?</v>
      </c>
      <c r="AK10" s="7" t="e">
        <f t="shared" ca="1" si="7"/>
        <v>#NAME?</v>
      </c>
      <c r="AL10" s="43" t="e">
        <f ca="1"/>
        <v>#NAME?</v>
      </c>
      <c r="AM10" t="e">
        <f t="shared" ca="1" si="8"/>
        <v>#NAME?</v>
      </c>
      <c r="AN10" s="183" t="e">
        <f t="shared" ca="1" si="9"/>
        <v>#NAME?</v>
      </c>
      <c r="AO10" s="7" t="e">
        <f t="array" aca="1" ref="AO10" ca="1">AN10*SQRT(MMULT(MMULT(DESIGN(G10:I10),$Y$4:$AB$7),TRANSPOSE(DESIGN(G10:I10))))</f>
        <v>#NAME?</v>
      </c>
      <c r="AP10" s="7" t="e">
        <f t="shared" ca="1" si="10"/>
        <v>#NAME?</v>
      </c>
      <c r="AQ10" s="43" t="e">
        <f t="shared" ca="1" si="11"/>
        <v>#NAME?</v>
      </c>
    </row>
    <row r="11" spans="1:43" x14ac:dyDescent="0.25">
      <c r="A11" s="741">
        <v>31</v>
      </c>
      <c r="B11" s="741">
        <v>14566</v>
      </c>
      <c r="C11" s="743" t="s">
        <v>95</v>
      </c>
      <c r="D11" s="751">
        <v>1</v>
      </c>
      <c r="F11" s="743">
        <v>1</v>
      </c>
      <c r="G11" s="743">
        <v>0</v>
      </c>
      <c r="H11" s="743">
        <v>1</v>
      </c>
      <c r="I11" s="751">
        <f t="shared" si="12"/>
        <v>1</v>
      </c>
      <c r="J11" s="740">
        <f t="shared" si="0"/>
        <v>31</v>
      </c>
      <c r="K11" s="740">
        <f t="shared" si="0"/>
        <v>14566</v>
      </c>
      <c r="M11" s="740" t="e">
        <f t="array" aca="1" ref="M11:S15" ca="1">PoissonCoeff(G3:I18,J3:J18,TRUE,TRUE,K3:K18,TRUE,V19,Z9)</f>
        <v>#NAME?</v>
      </c>
      <c r="N11" s="740" t="e">
        <f ca="1"/>
        <v>#NAME?</v>
      </c>
      <c r="O11" s="740" t="e">
        <f ca="1"/>
        <v>#NAME?</v>
      </c>
      <c r="P11" s="740" t="e">
        <f ca="1"/>
        <v>#NAME?</v>
      </c>
      <c r="Q11" s="740" t="e">
        <f ca="1"/>
        <v>#NAME?</v>
      </c>
      <c r="R11" s="740" t="e">
        <f ca="1"/>
        <v>#NAME?</v>
      </c>
      <c r="S11" s="740" t="e">
        <f ca="1"/>
        <v>#NAME?</v>
      </c>
      <c r="U11" t="s">
        <v>1551</v>
      </c>
      <c r="V11" s="349" t="e">
        <f ca="1">SQRT(V10)</f>
        <v>#NAME?</v>
      </c>
      <c r="AE11" s="183">
        <f t="shared" si="1"/>
        <v>31</v>
      </c>
      <c r="AF11" s="7" t="e">
        <f t="shared" ca="1" si="2"/>
        <v>#NAME?</v>
      </c>
      <c r="AG11" s="7" t="e">
        <f t="shared" ca="1" si="3"/>
        <v>#NAME?</v>
      </c>
      <c r="AH11" s="7" t="e">
        <f t="shared" ca="1" si="4"/>
        <v>#NAME?</v>
      </c>
      <c r="AI11" s="7" t="e">
        <f t="shared" ca="1" si="5"/>
        <v>#NAME?</v>
      </c>
      <c r="AJ11" s="7" t="e">
        <f t="shared" ca="1" si="6"/>
        <v>#NAME?</v>
      </c>
      <c r="AK11" s="7" t="e">
        <f t="shared" ca="1" si="7"/>
        <v>#NAME?</v>
      </c>
      <c r="AL11" s="43" t="e">
        <f ca="1"/>
        <v>#NAME?</v>
      </c>
      <c r="AM11" t="e">
        <f t="shared" ca="1" si="8"/>
        <v>#NAME?</v>
      </c>
      <c r="AN11" s="183" t="e">
        <f t="shared" ca="1" si="9"/>
        <v>#NAME?</v>
      </c>
      <c r="AO11" s="7" t="e">
        <f t="array" aca="1" ref="AO11" ca="1">AN11*SQRT(MMULT(MMULT(DESIGN(G11:I11),$Y$4:$AB$7),TRANSPOSE(DESIGN(G11:I11))))</f>
        <v>#NAME?</v>
      </c>
      <c r="AP11" s="7" t="e">
        <f t="shared" ca="1" si="10"/>
        <v>#NAME?</v>
      </c>
      <c r="AQ11" s="43" t="e">
        <f t="shared" ca="1" si="11"/>
        <v>#NAME?</v>
      </c>
    </row>
    <row r="12" spans="1:43" x14ac:dyDescent="0.25">
      <c r="A12" s="741">
        <v>43</v>
      </c>
      <c r="B12" s="741">
        <v>15654</v>
      </c>
      <c r="C12" s="743" t="s">
        <v>95</v>
      </c>
      <c r="D12" s="752">
        <v>1.5</v>
      </c>
      <c r="F12" s="743">
        <v>1</v>
      </c>
      <c r="G12" s="743">
        <v>0</v>
      </c>
      <c r="H12" s="743">
        <v>1</v>
      </c>
      <c r="I12" s="751">
        <f t="shared" si="12"/>
        <v>1.5</v>
      </c>
      <c r="J12" s="740">
        <f t="shared" si="0"/>
        <v>43</v>
      </c>
      <c r="K12" s="740">
        <f t="shared" si="0"/>
        <v>15654</v>
      </c>
      <c r="M12" t="e">
        <f ca="1"/>
        <v>#NAME?</v>
      </c>
      <c r="N12" s="648" t="e">
        <f ca="1"/>
        <v>#NAME?</v>
      </c>
      <c r="O12" s="649" t="e">
        <f ca="1"/>
        <v>#NAME?</v>
      </c>
      <c r="P12" s="649" t="e">
        <f ca="1"/>
        <v>#NAME?</v>
      </c>
      <c r="Q12" s="649" t="e">
        <f ca="1"/>
        <v>#NAME?</v>
      </c>
      <c r="R12" s="649" t="e">
        <f ca="1"/>
        <v>#NAME?</v>
      </c>
      <c r="S12" s="650" t="e">
        <f ca="1"/>
        <v>#NAME?</v>
      </c>
      <c r="AE12" s="183">
        <f t="shared" si="1"/>
        <v>43</v>
      </c>
      <c r="AF12" s="7" t="e">
        <f t="shared" ca="1" si="2"/>
        <v>#NAME?</v>
      </c>
      <c r="AG12" s="7" t="e">
        <f t="shared" ca="1" si="3"/>
        <v>#NAME?</v>
      </c>
      <c r="AH12" s="7" t="e">
        <f t="shared" ca="1" si="4"/>
        <v>#NAME?</v>
      </c>
      <c r="AI12" s="7" t="e">
        <f t="shared" ca="1" si="5"/>
        <v>#NAME?</v>
      </c>
      <c r="AJ12" s="7" t="e">
        <f t="shared" ca="1" si="6"/>
        <v>#NAME?</v>
      </c>
      <c r="AK12" s="7" t="e">
        <f t="shared" ca="1" si="7"/>
        <v>#NAME?</v>
      </c>
      <c r="AL12" s="43" t="e">
        <f ca="1"/>
        <v>#NAME?</v>
      </c>
      <c r="AM12" t="e">
        <f t="shared" ca="1" si="8"/>
        <v>#NAME?</v>
      </c>
      <c r="AN12" s="183" t="e">
        <f t="shared" ca="1" si="9"/>
        <v>#NAME?</v>
      </c>
      <c r="AO12" s="7" t="e">
        <f t="array" aca="1" ref="AO12" ca="1">AN12*SQRT(MMULT(MMULT(DESIGN(G12:I12),$Y$4:$AB$7),TRANSPOSE(DESIGN(G12:I12))))</f>
        <v>#NAME?</v>
      </c>
      <c r="AP12" s="7" t="e">
        <f t="shared" ca="1" si="10"/>
        <v>#NAME?</v>
      </c>
      <c r="AQ12" s="43" t="e">
        <f t="shared" ca="1" si="11"/>
        <v>#NAME?</v>
      </c>
    </row>
    <row r="13" spans="1:43" x14ac:dyDescent="0.25">
      <c r="A13" s="741">
        <v>56</v>
      </c>
      <c r="B13" s="741">
        <v>10097</v>
      </c>
      <c r="C13" s="743" t="s">
        <v>95</v>
      </c>
      <c r="D13" s="752">
        <v>2</v>
      </c>
      <c r="F13" s="743">
        <v>1</v>
      </c>
      <c r="G13" s="743">
        <v>0</v>
      </c>
      <c r="H13" s="743">
        <v>1</v>
      </c>
      <c r="I13" s="751">
        <f t="shared" si="12"/>
        <v>2</v>
      </c>
      <c r="J13" s="740">
        <f t="shared" si="0"/>
        <v>56</v>
      </c>
      <c r="K13" s="740">
        <f t="shared" si="0"/>
        <v>10097</v>
      </c>
      <c r="M13" t="e">
        <f ca="1"/>
        <v>#NAME?</v>
      </c>
      <c r="N13" s="183" t="e">
        <f ca="1"/>
        <v>#NAME?</v>
      </c>
      <c r="O13" s="7" t="e">
        <f ca="1"/>
        <v>#NAME?</v>
      </c>
      <c r="P13" s="7" t="e">
        <f ca="1"/>
        <v>#NAME?</v>
      </c>
      <c r="Q13" s="7" t="e">
        <f ca="1"/>
        <v>#NAME?</v>
      </c>
      <c r="R13" s="7" t="e">
        <f ca="1"/>
        <v>#NAME?</v>
      </c>
      <c r="S13" s="43" t="e">
        <f ca="1"/>
        <v>#NAME?</v>
      </c>
      <c r="U13" t="s">
        <v>1534</v>
      </c>
      <c r="V13" s="671" t="e">
        <f ca="1">SUMPRODUCT(AE4:AE18,LN(K4:K18))+AF19*LN(AE19/SUM(K4:K18))-AE19-SUMPRODUCT(LN(FACT(AE4:AE18)))</f>
        <v>#NAME?</v>
      </c>
      <c r="AE13" s="183">
        <f t="shared" si="1"/>
        <v>56</v>
      </c>
      <c r="AF13" s="7" t="e">
        <f t="shared" ca="1" si="2"/>
        <v>#NAME?</v>
      </c>
      <c r="AG13" s="7" t="e">
        <f t="shared" ca="1" si="3"/>
        <v>#NAME?</v>
      </c>
      <c r="AH13" s="7" t="e">
        <f t="shared" ca="1" si="4"/>
        <v>#NAME?</v>
      </c>
      <c r="AI13" s="7" t="e">
        <f t="shared" ca="1" si="5"/>
        <v>#NAME?</v>
      </c>
      <c r="AJ13" s="7" t="e">
        <f t="shared" ca="1" si="6"/>
        <v>#NAME?</v>
      </c>
      <c r="AK13" s="7" t="e">
        <f t="shared" ca="1" si="7"/>
        <v>#NAME?</v>
      </c>
      <c r="AL13" s="43" t="e">
        <f ca="1"/>
        <v>#NAME?</v>
      </c>
      <c r="AM13" t="e">
        <f t="shared" ca="1" si="8"/>
        <v>#NAME?</v>
      </c>
      <c r="AN13" s="183" t="e">
        <f t="shared" ca="1" si="9"/>
        <v>#NAME?</v>
      </c>
      <c r="AO13" s="7" t="e">
        <f t="array" aca="1" ref="AO13" ca="1">AN13*SQRT(MMULT(MMULT(DESIGN(G13:I13),$Y$4:$AB$7),TRANSPOSE(DESIGN(G13:I13))))</f>
        <v>#NAME?</v>
      </c>
      <c r="AP13" s="7" t="e">
        <f t="shared" ca="1" si="10"/>
        <v>#NAME?</v>
      </c>
      <c r="AQ13" s="43" t="e">
        <f t="shared" ca="1" si="11"/>
        <v>#NAME?</v>
      </c>
    </row>
    <row r="14" spans="1:43" x14ac:dyDescent="0.25">
      <c r="A14" s="741">
        <v>30</v>
      </c>
      <c r="B14" s="741">
        <v>50711</v>
      </c>
      <c r="C14" s="743" t="s">
        <v>96</v>
      </c>
      <c r="D14" s="751">
        <v>0</v>
      </c>
      <c r="F14" s="743">
        <v>1</v>
      </c>
      <c r="G14" s="743">
        <v>0</v>
      </c>
      <c r="H14" s="743">
        <v>0</v>
      </c>
      <c r="I14" s="751">
        <f t="shared" si="12"/>
        <v>0</v>
      </c>
      <c r="J14" s="740">
        <f t="shared" si="0"/>
        <v>30</v>
      </c>
      <c r="K14" s="740">
        <f t="shared" si="0"/>
        <v>50711</v>
      </c>
      <c r="M14" t="e">
        <f ca="1"/>
        <v>#NAME?</v>
      </c>
      <c r="N14" s="183" t="e">
        <f ca="1"/>
        <v>#NAME?</v>
      </c>
      <c r="O14" s="7" t="e">
        <f ca="1"/>
        <v>#NAME?</v>
      </c>
      <c r="P14" s="7" t="e">
        <f ca="1"/>
        <v>#NAME?</v>
      </c>
      <c r="Q14" s="7" t="e">
        <f ca="1"/>
        <v>#NAME?</v>
      </c>
      <c r="R14" s="7" t="e">
        <f ca="1"/>
        <v>#NAME?</v>
      </c>
      <c r="S14" s="43" t="e">
        <f ca="1"/>
        <v>#NAME?</v>
      </c>
      <c r="U14" t="s">
        <v>1535</v>
      </c>
      <c r="V14" s="322" t="e">
        <f ca="1">SUMPRODUCT(MMULT(DESIGN(G4:I18),N4:N7)+LN(K4:K18),AE4:AE18)-SUMPRODUCT(EXP(MMULT(DESIGN(G4:I18),N4:N7)),K4:K18)-SUMPRODUCT(LN(FACT(AE4:AE18)))</f>
        <v>#NAME?</v>
      </c>
      <c r="AE14" s="183">
        <f t="shared" si="1"/>
        <v>30</v>
      </c>
      <c r="AF14" s="7" t="e">
        <f t="shared" ca="1" si="2"/>
        <v>#NAME?</v>
      </c>
      <c r="AG14" s="7" t="e">
        <f t="shared" ca="1" si="3"/>
        <v>#NAME?</v>
      </c>
      <c r="AH14" s="7" t="e">
        <f t="shared" ca="1" si="4"/>
        <v>#NAME?</v>
      </c>
      <c r="AI14" s="7" t="e">
        <f t="shared" ca="1" si="5"/>
        <v>#NAME?</v>
      </c>
      <c r="AJ14" s="7" t="e">
        <f t="shared" ca="1" si="6"/>
        <v>#NAME?</v>
      </c>
      <c r="AK14" s="7" t="e">
        <f t="shared" ca="1" si="7"/>
        <v>#NAME?</v>
      </c>
      <c r="AL14" s="43" t="e">
        <f ca="1"/>
        <v>#NAME?</v>
      </c>
      <c r="AM14" t="e">
        <f t="shared" ca="1" si="8"/>
        <v>#NAME?</v>
      </c>
      <c r="AN14" s="183" t="e">
        <f t="shared" ca="1" si="9"/>
        <v>#NAME?</v>
      </c>
      <c r="AO14" s="7" t="e">
        <f t="array" aca="1" ref="AO14" ca="1">AN14*SQRT(MMULT(MMULT(DESIGN(G14:I14),$Y$4:$AB$7),TRANSPOSE(DESIGN(G14:I14))))</f>
        <v>#NAME?</v>
      </c>
      <c r="AP14" s="7" t="e">
        <f t="shared" ca="1" si="10"/>
        <v>#NAME?</v>
      </c>
      <c r="AQ14" s="43" t="e">
        <f t="shared" ca="1" si="11"/>
        <v>#NAME?</v>
      </c>
    </row>
    <row r="15" spans="1:43" x14ac:dyDescent="0.25">
      <c r="A15" s="741">
        <v>36</v>
      </c>
      <c r="B15" s="741">
        <v>35332</v>
      </c>
      <c r="C15" s="743" t="s">
        <v>96</v>
      </c>
      <c r="D15" s="751">
        <v>0.5</v>
      </c>
      <c r="F15" s="743">
        <v>1</v>
      </c>
      <c r="G15" s="743">
        <v>0</v>
      </c>
      <c r="H15" s="743">
        <v>0</v>
      </c>
      <c r="I15" s="751">
        <f t="shared" si="12"/>
        <v>0.5</v>
      </c>
      <c r="J15" s="740">
        <f t="shared" si="0"/>
        <v>36</v>
      </c>
      <c r="K15" s="740">
        <f t="shared" si="0"/>
        <v>35332</v>
      </c>
      <c r="M15" t="e">
        <f ca="1"/>
        <v>#NAME?</v>
      </c>
      <c r="N15" s="351" t="e">
        <f ca="1"/>
        <v>#NAME?</v>
      </c>
      <c r="O15" s="352" t="e">
        <f ca="1"/>
        <v>#NAME?</v>
      </c>
      <c r="P15" s="352" t="e">
        <f ca="1"/>
        <v>#NAME?</v>
      </c>
      <c r="Q15" s="352" t="e">
        <f ca="1"/>
        <v>#NAME?</v>
      </c>
      <c r="R15" s="352" t="e">
        <f ca="1"/>
        <v>#NAME?</v>
      </c>
      <c r="S15" s="353" t="e">
        <f ca="1"/>
        <v>#NAME?</v>
      </c>
      <c r="U15" t="s">
        <v>1536</v>
      </c>
      <c r="V15" s="322">
        <f>SUMPRODUCT(AE4:AE18,LN(AE4:AE18))-AE19-SUMPRODUCT(LN(FACT(AE4:AE18)))</f>
        <v>-42.990199537616718</v>
      </c>
      <c r="AE15" s="183">
        <f t="shared" si="1"/>
        <v>36</v>
      </c>
      <c r="AF15" s="7" t="e">
        <f t="shared" ca="1" si="2"/>
        <v>#NAME?</v>
      </c>
      <c r="AG15" s="7" t="e">
        <f t="shared" ca="1" si="3"/>
        <v>#NAME?</v>
      </c>
      <c r="AH15" s="7" t="e">
        <f t="shared" ca="1" si="4"/>
        <v>#NAME?</v>
      </c>
      <c r="AI15" s="7" t="e">
        <f t="shared" ca="1" si="5"/>
        <v>#NAME?</v>
      </c>
      <c r="AJ15" s="7" t="e">
        <f t="shared" ca="1" si="6"/>
        <v>#NAME?</v>
      </c>
      <c r="AK15" s="7" t="e">
        <f t="shared" ca="1" si="7"/>
        <v>#NAME?</v>
      </c>
      <c r="AL15" s="43" t="e">
        <f ca="1"/>
        <v>#NAME?</v>
      </c>
      <c r="AM15" t="e">
        <f t="shared" ca="1" si="8"/>
        <v>#NAME?</v>
      </c>
      <c r="AN15" s="183" t="e">
        <f t="shared" ca="1" si="9"/>
        <v>#NAME?</v>
      </c>
      <c r="AO15" s="7" t="e">
        <f t="array" aca="1" ref="AO15" ca="1">AN15*SQRT(MMULT(MMULT(DESIGN(G15:I15),$Y$4:$AB$7),TRANSPOSE(DESIGN(G15:I15))))</f>
        <v>#NAME?</v>
      </c>
      <c r="AP15" s="7" t="e">
        <f t="shared" ca="1" si="10"/>
        <v>#NAME?</v>
      </c>
      <c r="AQ15" s="43" t="e">
        <f t="shared" ca="1" si="11"/>
        <v>#NAME?</v>
      </c>
    </row>
    <row r="16" spans="1:43" x14ac:dyDescent="0.25">
      <c r="A16" s="743">
        <v>62</v>
      </c>
      <c r="B16" s="743">
        <v>41707</v>
      </c>
      <c r="C16" s="743" t="s">
        <v>96</v>
      </c>
      <c r="D16" s="751">
        <v>1</v>
      </c>
      <c r="F16" s="743">
        <v>1</v>
      </c>
      <c r="G16" s="743">
        <v>0</v>
      </c>
      <c r="H16" s="743">
        <v>0</v>
      </c>
      <c r="I16" s="751">
        <f t="shared" si="12"/>
        <v>1</v>
      </c>
      <c r="J16" s="740">
        <f t="shared" si="0"/>
        <v>62</v>
      </c>
      <c r="K16" s="740">
        <f t="shared" si="0"/>
        <v>41707</v>
      </c>
      <c r="U16" t="s">
        <v>1200</v>
      </c>
      <c r="V16" s="322" t="e">
        <f ca="1">(V14-V13)/(V15-V13)</f>
        <v>#NAME?</v>
      </c>
      <c r="AE16" s="183">
        <f t="shared" si="1"/>
        <v>62</v>
      </c>
      <c r="AF16" s="7" t="e">
        <f t="shared" ca="1" si="2"/>
        <v>#NAME?</v>
      </c>
      <c r="AG16" s="7" t="e">
        <f t="shared" ca="1" si="3"/>
        <v>#NAME?</v>
      </c>
      <c r="AH16" s="7" t="e">
        <f t="shared" ca="1" si="4"/>
        <v>#NAME?</v>
      </c>
      <c r="AI16" s="7" t="e">
        <f t="shared" ca="1" si="5"/>
        <v>#NAME?</v>
      </c>
      <c r="AJ16" s="7" t="e">
        <f t="shared" ca="1" si="6"/>
        <v>#NAME?</v>
      </c>
      <c r="AK16" s="7" t="e">
        <f t="shared" ca="1" si="7"/>
        <v>#NAME?</v>
      </c>
      <c r="AL16" s="43" t="e">
        <f ca="1"/>
        <v>#NAME?</v>
      </c>
      <c r="AM16" t="e">
        <f t="shared" ca="1" si="8"/>
        <v>#NAME?</v>
      </c>
      <c r="AN16" s="183" t="e">
        <f t="shared" ca="1" si="9"/>
        <v>#NAME?</v>
      </c>
      <c r="AO16" s="7" t="e">
        <f t="array" aca="1" ref="AO16" ca="1">AN16*SQRT(MMULT(MMULT(DESIGN(G16:I16),$Y$4:$AB$7),TRANSPOSE(DESIGN(G16:I16))))</f>
        <v>#NAME?</v>
      </c>
      <c r="AP16" s="7" t="e">
        <f t="shared" ca="1" si="10"/>
        <v>#NAME?</v>
      </c>
      <c r="AQ16" s="43" t="e">
        <f t="shared" ca="1" si="11"/>
        <v>#NAME?</v>
      </c>
    </row>
    <row r="17" spans="1:43" x14ac:dyDescent="0.25">
      <c r="A17" s="743">
        <v>57</v>
      </c>
      <c r="B17" s="743">
        <v>26319</v>
      </c>
      <c r="C17" s="743" t="s">
        <v>96</v>
      </c>
      <c r="D17" s="752">
        <v>1.5</v>
      </c>
      <c r="F17" s="743">
        <v>1</v>
      </c>
      <c r="G17" s="743">
        <v>0</v>
      </c>
      <c r="H17" s="743">
        <v>0</v>
      </c>
      <c r="I17" s="751">
        <f t="shared" si="12"/>
        <v>1.5</v>
      </c>
      <c r="J17" s="740">
        <f t="shared" si="0"/>
        <v>57</v>
      </c>
      <c r="K17" s="740">
        <f t="shared" si="0"/>
        <v>26319</v>
      </c>
      <c r="U17" t="s">
        <v>203</v>
      </c>
      <c r="V17" s="349" t="e">
        <f ca="1">V5+2*V8</f>
        <v>#NAME?</v>
      </c>
      <c r="AE17" s="183">
        <f t="shared" si="1"/>
        <v>57</v>
      </c>
      <c r="AF17" s="7" t="e">
        <f t="shared" ca="1" si="2"/>
        <v>#NAME?</v>
      </c>
      <c r="AG17" s="7" t="e">
        <f t="shared" ca="1" si="3"/>
        <v>#NAME?</v>
      </c>
      <c r="AH17" s="7" t="e">
        <f t="shared" ca="1" si="4"/>
        <v>#NAME?</v>
      </c>
      <c r="AI17" s="7" t="e">
        <f t="shared" ca="1" si="5"/>
        <v>#NAME?</v>
      </c>
      <c r="AJ17" s="7" t="e">
        <f t="shared" ca="1" si="6"/>
        <v>#NAME?</v>
      </c>
      <c r="AK17" s="7" t="e">
        <f t="shared" ca="1" si="7"/>
        <v>#NAME?</v>
      </c>
      <c r="AL17" s="43" t="e">
        <f ca="1"/>
        <v>#NAME?</v>
      </c>
      <c r="AM17" t="e">
        <f t="shared" ca="1" si="8"/>
        <v>#NAME?</v>
      </c>
      <c r="AN17" s="183" t="e">
        <f t="shared" ca="1" si="9"/>
        <v>#NAME?</v>
      </c>
      <c r="AO17" s="7" t="e">
        <f t="array" aca="1" ref="AO17" ca="1">AN17*SQRT(MMULT(MMULT(DESIGN(G17:I17),$Y$4:$AB$7),TRANSPOSE(DESIGN(G17:I17))))</f>
        <v>#NAME?</v>
      </c>
      <c r="AP17" s="7" t="e">
        <f t="shared" ca="1" si="10"/>
        <v>#NAME?</v>
      </c>
      <c r="AQ17" s="43" t="e">
        <f t="shared" ca="1" si="11"/>
        <v>#NAME?</v>
      </c>
    </row>
    <row r="18" spans="1:43" x14ac:dyDescent="0.25">
      <c r="A18" s="744">
        <v>71</v>
      </c>
      <c r="B18" s="744">
        <v>22978</v>
      </c>
      <c r="C18" s="744" t="s">
        <v>96</v>
      </c>
      <c r="D18" s="765">
        <v>2</v>
      </c>
      <c r="F18" s="744">
        <v>1</v>
      </c>
      <c r="G18" s="744">
        <v>0</v>
      </c>
      <c r="H18" s="744">
        <v>0</v>
      </c>
      <c r="I18" s="607">
        <f t="shared" si="12"/>
        <v>2</v>
      </c>
      <c r="J18" s="742">
        <f t="shared" si="0"/>
        <v>71</v>
      </c>
      <c r="K18" s="742">
        <f t="shared" si="0"/>
        <v>22978</v>
      </c>
      <c r="AE18" s="351">
        <f t="shared" si="1"/>
        <v>71</v>
      </c>
      <c r="AF18" s="352" t="e">
        <f t="shared" ca="1" si="2"/>
        <v>#NAME?</v>
      </c>
      <c r="AG18" s="352" t="e">
        <f t="shared" ca="1" si="3"/>
        <v>#NAME?</v>
      </c>
      <c r="AH18" s="352" t="e">
        <f t="shared" ca="1" si="4"/>
        <v>#NAME?</v>
      </c>
      <c r="AI18" s="352" t="e">
        <f t="shared" ca="1" si="5"/>
        <v>#NAME?</v>
      </c>
      <c r="AJ18" s="352" t="e">
        <f t="shared" ca="1" si="6"/>
        <v>#NAME?</v>
      </c>
      <c r="AK18" s="352" t="e">
        <f t="shared" ca="1" si="7"/>
        <v>#NAME?</v>
      </c>
      <c r="AL18" s="353" t="e">
        <f ca="1"/>
        <v>#NAME?</v>
      </c>
      <c r="AM18" t="e">
        <f t="shared" ca="1" si="8"/>
        <v>#NAME?</v>
      </c>
      <c r="AN18" s="351" t="e">
        <f t="shared" ca="1" si="9"/>
        <v>#NAME?</v>
      </c>
      <c r="AO18" s="352" t="e">
        <f t="array" aca="1" ref="AO18" ca="1">AN18*SQRT(MMULT(MMULT(DESIGN(G18:I18),$Y$4:$AB$7),TRANSPOSE(DESIGN(G18:I18))))</f>
        <v>#NAME?</v>
      </c>
      <c r="AP18" s="352" t="e">
        <f t="shared" ca="1" si="10"/>
        <v>#NAME?</v>
      </c>
      <c r="AQ18" s="353" t="e">
        <f t="shared" ca="1" si="11"/>
        <v>#NAME?</v>
      </c>
    </row>
    <row r="19" spans="1:43" x14ac:dyDescent="0.25">
      <c r="A19" s="538"/>
      <c r="B19" s="538"/>
      <c r="C19" s="628"/>
      <c r="D19" s="538"/>
      <c r="F19" s="628"/>
      <c r="G19" s="628"/>
      <c r="H19" s="628"/>
      <c r="I19" s="628"/>
      <c r="J19" s="628"/>
      <c r="K19" s="628"/>
      <c r="U19" t="s">
        <v>70</v>
      </c>
      <c r="V19" s="671">
        <v>0.05</v>
      </c>
      <c r="AE19">
        <f>SUM(AE4:AE18)</f>
        <v>839</v>
      </c>
      <c r="AF19" t="e">
        <f ca="1">SUM(AF4:AF18)</f>
        <v>#NAME?</v>
      </c>
      <c r="AG19" t="e">
        <f ca="1">SUM(AG4:AG18)</f>
        <v>#NAME?</v>
      </c>
      <c r="AL19">
        <f ca="1">2*V8/V7</f>
        <v>0.53333333333333333</v>
      </c>
    </row>
    <row r="20" spans="1:43" x14ac:dyDescent="0.25">
      <c r="U20" t="s">
        <v>615</v>
      </c>
      <c r="V20" s="349">
        <f>NORMSINV(1-V19/2)</f>
        <v>1.9599639845400536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AM28"/>
  <sheetViews>
    <sheetView workbookViewId="0"/>
  </sheetViews>
  <sheetFormatPr defaultRowHeight="15" x14ac:dyDescent="0.25"/>
  <cols>
    <col min="1" max="1" width="7" style="745" customWidth="1"/>
    <col min="2" max="2" width="9.140625" style="745"/>
    <col min="4" max="5" width="9.140625" style="745"/>
    <col min="6" max="6" width="9.28515625" bestFit="1" customWidth="1"/>
    <col min="7" max="7" width="9.140625" customWidth="1"/>
    <col min="25" max="25" width="9.140625" customWidth="1"/>
  </cols>
  <sheetData>
    <row r="1" spans="1:39" x14ac:dyDescent="0.25">
      <c r="A1" s="694" t="s">
        <v>1513</v>
      </c>
      <c r="K1" t="s">
        <v>1513</v>
      </c>
      <c r="S1" t="s">
        <v>1537</v>
      </c>
      <c r="AA1" t="s">
        <v>133</v>
      </c>
      <c r="AJ1" t="s">
        <v>1546</v>
      </c>
    </row>
    <row r="3" spans="1:39" x14ac:dyDescent="0.25">
      <c r="A3" s="652" t="s">
        <v>1516</v>
      </c>
      <c r="B3" s="652" t="s">
        <v>1517</v>
      </c>
      <c r="C3" s="652" t="s">
        <v>1518</v>
      </c>
      <c r="D3" s="652" t="s">
        <v>192</v>
      </c>
      <c r="F3" s="652" t="s">
        <v>1519</v>
      </c>
      <c r="G3" s="652" t="s">
        <v>192</v>
      </c>
      <c r="H3" s="652" t="s">
        <v>1516</v>
      </c>
      <c r="I3" s="652" t="s">
        <v>1517</v>
      </c>
      <c r="K3" s="745" t="e">
        <f t="array" aca="1" ref="K3:Q5" ca="1">PoissonCoeff(G3:G18,H3:H18,TRUE,,I3:I18,TRUE,T19,X7)</f>
        <v>#NAME?</v>
      </c>
      <c r="L3" s="745" t="e">
        <f ca="1"/>
        <v>#NAME?</v>
      </c>
      <c r="M3" s="745" t="e">
        <f ca="1"/>
        <v>#NAME?</v>
      </c>
      <c r="N3" s="745" t="e">
        <f ca="1"/>
        <v>#NAME?</v>
      </c>
      <c r="O3" s="745" t="e">
        <f ca="1"/>
        <v>#NAME?</v>
      </c>
      <c r="P3" s="745" t="e">
        <f ca="1"/>
        <v>#NAME?</v>
      </c>
      <c r="Q3" s="745" t="e">
        <f ca="1"/>
        <v>#NAME?</v>
      </c>
      <c r="T3" s="745" t="s">
        <v>71</v>
      </c>
      <c r="U3" s="745" t="s">
        <v>48</v>
      </c>
      <c r="W3" t="s">
        <v>754</v>
      </c>
      <c r="Y3" t="s">
        <v>837</v>
      </c>
      <c r="AA3" s="745" t="s">
        <v>105</v>
      </c>
      <c r="AB3" s="745" t="s">
        <v>1547</v>
      </c>
      <c r="AC3" s="745" t="s">
        <v>84</v>
      </c>
      <c r="AD3" s="745" t="s">
        <v>67</v>
      </c>
      <c r="AE3" s="745" t="s">
        <v>28</v>
      </c>
      <c r="AF3" s="745" t="s">
        <v>1528</v>
      </c>
      <c r="AG3" s="745" t="s">
        <v>1529</v>
      </c>
      <c r="AH3" s="745" t="s">
        <v>958</v>
      </c>
      <c r="AJ3" s="745" t="s">
        <v>1531</v>
      </c>
      <c r="AK3" s="745" t="s">
        <v>148</v>
      </c>
      <c r="AL3" s="745" t="s">
        <v>15</v>
      </c>
      <c r="AM3" s="745" t="s">
        <v>16</v>
      </c>
    </row>
    <row r="4" spans="1:39" x14ac:dyDescent="0.25">
      <c r="A4" s="746">
        <v>45</v>
      </c>
      <c r="B4" s="746">
        <v>24786</v>
      </c>
      <c r="C4" s="746" t="s">
        <v>109</v>
      </c>
      <c r="D4" s="751">
        <v>0</v>
      </c>
      <c r="F4" s="748">
        <v>1</v>
      </c>
      <c r="G4" s="751">
        <f>D4</f>
        <v>0</v>
      </c>
      <c r="H4" s="745">
        <f>A4</f>
        <v>45</v>
      </c>
      <c r="I4" s="745">
        <f>B4</f>
        <v>24786</v>
      </c>
      <c r="K4" t="e">
        <f ca="1"/>
        <v>#NAME?</v>
      </c>
      <c r="L4" s="648" t="e">
        <f ca="1"/>
        <v>#NAME?</v>
      </c>
      <c r="M4" s="649" t="e">
        <f ca="1"/>
        <v>#NAME?</v>
      </c>
      <c r="N4" s="649" t="e">
        <f ca="1"/>
        <v>#NAME?</v>
      </c>
      <c r="O4" s="649" t="e">
        <f ca="1"/>
        <v>#NAME?</v>
      </c>
      <c r="P4" s="649" t="e">
        <f ca="1"/>
        <v>#NAME?</v>
      </c>
      <c r="Q4" s="650" t="e">
        <f ca="1"/>
        <v>#NAME?</v>
      </c>
      <c r="S4" t="s">
        <v>1542</v>
      </c>
      <c r="T4" s="648" t="e">
        <f ca="1">SUMSQ(AD4:AD18)</f>
        <v>#NAME?</v>
      </c>
      <c r="U4" s="650" t="e">
        <f ca="1">CHIDIST(T4,T9)</f>
        <v>#NAME?</v>
      </c>
      <c r="W4" s="648" t="e">
        <f t="array" aca="1" ref="W4:X5" ca="1">MINVERSE(MMULT(TRANSPOSE(DESIGN(G4:G18)),AB4:AB18*DESIGN(G4:G18)))</f>
        <v>#NAME?</v>
      </c>
      <c r="X4" s="650" t="e">
        <f ca="1"/>
        <v>#NAME?</v>
      </c>
      <c r="Y4" s="671" t="e">
        <f t="array" aca="1" ref="Y4:Y5" ca="1">MMULT(W4:X5,MMULT(TRANSPOSE(DESIGN(G4:G18)),AC4:AC18))</f>
        <v>#NAME?</v>
      </c>
      <c r="AA4" s="648">
        <f>H4</f>
        <v>45</v>
      </c>
      <c r="AB4" s="649" t="e">
        <f ca="1">I4*EXP(L$4+MMULT(G4,L$5))</f>
        <v>#NAME?</v>
      </c>
      <c r="AC4" s="649" t="e">
        <f ca="1">AA4-AB4</f>
        <v>#NAME?</v>
      </c>
      <c r="AD4" s="649" t="e">
        <f ca="1">AC4/SQRT(AB4)</f>
        <v>#NAME?</v>
      </c>
      <c r="AE4" s="649" t="e">
        <f ca="1">SIGN(AC4)*SQRT(2*(AA4*LN(AA4/AB4)-AC4))</f>
        <v>#NAME?</v>
      </c>
      <c r="AF4" s="649" t="e">
        <f ca="1">AD4/SQRT(1-AH4)</f>
        <v>#NAME?</v>
      </c>
      <c r="AG4" s="649" t="e">
        <f ca="1">AE4/SQRT(1-AH4)</f>
        <v>#NAME?</v>
      </c>
      <c r="AH4" s="650" t="e">
        <f t="array" aca="1" ref="AH4:AH18" ca="1">DIAG(MMULT(MMULT(AB4:AB18*DESIGN(G4:G18),MINVERSE(MMULT(TRANSPOSE(DESIGN(G4:G18)),AB4:AB18*DESIGN(G4:G18)))),TRANSPOSE(DESIGN(G4:G18))))</f>
        <v>#NAME?</v>
      </c>
      <c r="AI4" t="e">
        <f ca="1">IF(AH4&lt;=$AH$19,"","*")</f>
        <v>#NAME?</v>
      </c>
      <c r="AJ4" s="648" t="e">
        <f ca="1">AB4</f>
        <v>#NAME?</v>
      </c>
      <c r="AK4" s="649" t="e">
        <f t="array" aca="1" ref="AK4" ca="1">AJ4*SQRT(MMULT(MMULT(DESIGN(G4),$W$4:$X$5),TRANSPOSE(DESIGN(G4))))</f>
        <v>#NAME?</v>
      </c>
      <c r="AL4" s="649" t="e">
        <f ca="1">AJ4-AK4*T$20</f>
        <v>#NAME?</v>
      </c>
      <c r="AM4" s="650" t="e">
        <f ca="1">AJ4+AK4*T$20</f>
        <v>#NAME?</v>
      </c>
    </row>
    <row r="5" spans="1:39" x14ac:dyDescent="0.25">
      <c r="A5" s="746">
        <v>77</v>
      </c>
      <c r="B5" s="746">
        <v>32125</v>
      </c>
      <c r="C5" s="746" t="s">
        <v>109</v>
      </c>
      <c r="D5" s="751">
        <v>0.5</v>
      </c>
      <c r="F5" s="748">
        <v>1</v>
      </c>
      <c r="G5" s="751">
        <f>D5</f>
        <v>0.5</v>
      </c>
      <c r="H5" s="745">
        <f t="shared" ref="H5:I18" si="0">A5</f>
        <v>77</v>
      </c>
      <c r="I5" s="745">
        <f>B5</f>
        <v>32125</v>
      </c>
      <c r="K5" t="e">
        <f ca="1"/>
        <v>#NAME?</v>
      </c>
      <c r="L5" s="351" t="e">
        <f ca="1"/>
        <v>#NAME?</v>
      </c>
      <c r="M5" s="352" t="e">
        <f ca="1"/>
        <v>#NAME?</v>
      </c>
      <c r="N5" s="352" t="e">
        <f ca="1"/>
        <v>#NAME?</v>
      </c>
      <c r="O5" s="352" t="e">
        <f ca="1"/>
        <v>#NAME?</v>
      </c>
      <c r="P5" s="352" t="e">
        <f ca="1"/>
        <v>#NAME?</v>
      </c>
      <c r="Q5" s="353" t="e">
        <f ca="1"/>
        <v>#NAME?</v>
      </c>
      <c r="S5" t="s">
        <v>1543</v>
      </c>
      <c r="T5" s="351" t="e">
        <f ca="1">SUMSQ(AE4:AE18)</f>
        <v>#NAME?</v>
      </c>
      <c r="U5" s="353" t="e">
        <f ca="1">CHIDIST(T5,T9)</f>
        <v>#NAME?</v>
      </c>
      <c r="W5" s="351" t="e">
        <f ca="1"/>
        <v>#NAME?</v>
      </c>
      <c r="X5" s="353" t="e">
        <f ca="1"/>
        <v>#NAME?</v>
      </c>
      <c r="Y5" s="349" t="e">
        <f ca="1"/>
        <v>#NAME?</v>
      </c>
      <c r="AA5" s="183">
        <f t="shared" ref="AA5:AA18" si="1">H5</f>
        <v>77</v>
      </c>
      <c r="AB5" s="7" t="e">
        <f t="shared" ref="AB5:AB18" ca="1" si="2">I5*EXP(L$4+MMULT(G5,L$5))</f>
        <v>#NAME?</v>
      </c>
      <c r="AC5" s="7" t="e">
        <f t="shared" ref="AC5:AC18" ca="1" si="3">AA5-AB5</f>
        <v>#NAME?</v>
      </c>
      <c r="AD5" s="7" t="e">
        <f t="shared" ref="AD5:AD18" ca="1" si="4">AC5/SQRT(AB5)</f>
        <v>#NAME?</v>
      </c>
      <c r="AE5" s="7" t="e">
        <f t="shared" ref="AE5:AE18" ca="1" si="5">SIGN(AC5)*SQRT(2*(AA5*LN(AA5/AB5)-AC5))</f>
        <v>#NAME?</v>
      </c>
      <c r="AF5" s="7" t="e">
        <f t="shared" ref="AF5:AF18" ca="1" si="6">AD5/SQRT(1-AH5)</f>
        <v>#NAME?</v>
      </c>
      <c r="AG5" s="7" t="e">
        <f t="shared" ref="AG5:AG18" ca="1" si="7">AE5/SQRT(1-AH5)</f>
        <v>#NAME?</v>
      </c>
      <c r="AH5" s="43" t="e">
        <f ca="1"/>
        <v>#NAME?</v>
      </c>
      <c r="AI5" t="e">
        <f t="shared" ref="AI5:AI18" ca="1" si="8">IF(AH5&lt;=$AH$19,"","*")</f>
        <v>#NAME?</v>
      </c>
      <c r="AJ5" s="183" t="e">
        <f t="shared" ref="AJ5:AJ18" ca="1" si="9">AB5</f>
        <v>#NAME?</v>
      </c>
      <c r="AK5" s="7" t="e">
        <f t="array" aca="1" ref="AK5" ca="1">AJ5*SQRT(MMULT(MMULT(DESIGN(G5),$W$4:$X$5),TRANSPOSE(DESIGN(G5))))</f>
        <v>#NAME?</v>
      </c>
      <c r="AL5" s="7" t="e">
        <f t="shared" ref="AL5:AL18" ca="1" si="10">AJ5-AK5*T$20</f>
        <v>#NAME?</v>
      </c>
      <c r="AM5" s="43" t="e">
        <f t="shared" ref="AM5:AM18" ca="1" si="11">AJ5+AK5*T$20</f>
        <v>#NAME?</v>
      </c>
    </row>
    <row r="6" spans="1:39" x14ac:dyDescent="0.25">
      <c r="A6" s="746">
        <v>95</v>
      </c>
      <c r="B6" s="746">
        <v>34706</v>
      </c>
      <c r="C6" s="746" t="s">
        <v>109</v>
      </c>
      <c r="D6" s="751">
        <v>1</v>
      </c>
      <c r="F6" s="748">
        <v>1</v>
      </c>
      <c r="G6" s="751">
        <f t="shared" ref="G6:G18" si="12">D6</f>
        <v>1</v>
      </c>
      <c r="H6" s="745">
        <f t="shared" si="0"/>
        <v>95</v>
      </c>
      <c r="I6" s="745">
        <f t="shared" si="0"/>
        <v>34706</v>
      </c>
      <c r="AA6" s="183">
        <f t="shared" si="1"/>
        <v>95</v>
      </c>
      <c r="AB6" s="7" t="e">
        <f t="shared" ca="1" si="2"/>
        <v>#NAME?</v>
      </c>
      <c r="AC6" s="7" t="e">
        <f t="shared" ca="1" si="3"/>
        <v>#NAME?</v>
      </c>
      <c r="AD6" s="7" t="e">
        <f t="shared" ca="1" si="4"/>
        <v>#NAME?</v>
      </c>
      <c r="AE6" s="7" t="e">
        <f t="shared" ca="1" si="5"/>
        <v>#NAME?</v>
      </c>
      <c r="AF6" s="7" t="e">
        <f t="shared" ca="1" si="6"/>
        <v>#NAME?</v>
      </c>
      <c r="AG6" s="7" t="e">
        <f t="shared" ca="1" si="7"/>
        <v>#NAME?</v>
      </c>
      <c r="AH6" s="43" t="e">
        <f ca="1"/>
        <v>#NAME?</v>
      </c>
      <c r="AI6" t="e">
        <f t="shared" ca="1" si="8"/>
        <v>#NAME?</v>
      </c>
      <c r="AJ6" s="183" t="e">
        <f t="shared" ca="1" si="9"/>
        <v>#NAME?</v>
      </c>
      <c r="AK6" s="7" t="e">
        <f t="array" aca="1" ref="AK6" ca="1">AJ6*SQRT(MMULT(MMULT(DESIGN(G6),$W$4:$X$5),TRANSPOSE(DESIGN(G6))))</f>
        <v>#NAME?</v>
      </c>
      <c r="AL6" s="7" t="e">
        <f t="shared" ca="1" si="10"/>
        <v>#NAME?</v>
      </c>
      <c r="AM6" s="43" t="e">
        <f t="shared" ca="1" si="11"/>
        <v>#NAME?</v>
      </c>
    </row>
    <row r="7" spans="1:39" x14ac:dyDescent="0.25">
      <c r="A7" s="746">
        <v>92</v>
      </c>
      <c r="B7" s="746">
        <v>23440</v>
      </c>
      <c r="C7" s="746" t="s">
        <v>109</v>
      </c>
      <c r="D7" s="752">
        <v>1.5</v>
      </c>
      <c r="F7" s="748">
        <v>1</v>
      </c>
      <c r="G7" s="751">
        <f t="shared" si="12"/>
        <v>1.5</v>
      </c>
      <c r="H7" s="745">
        <f t="shared" si="0"/>
        <v>92</v>
      </c>
      <c r="I7" s="745">
        <f t="shared" si="0"/>
        <v>23440</v>
      </c>
      <c r="K7" t="s">
        <v>1548</v>
      </c>
      <c r="M7" s="679" t="e">
        <f ca="1">M10/M4</f>
        <v>#NAME?</v>
      </c>
      <c r="S7" t="s">
        <v>17</v>
      </c>
      <c r="T7" s="671">
        <f>COUNT(H4:H18)</f>
        <v>15</v>
      </c>
      <c r="W7" t="s">
        <v>1549</v>
      </c>
      <c r="X7" s="679">
        <v>25</v>
      </c>
      <c r="AA7" s="183">
        <f t="shared" si="1"/>
        <v>92</v>
      </c>
      <c r="AB7" s="7" t="e">
        <f t="shared" ca="1" si="2"/>
        <v>#NAME?</v>
      </c>
      <c r="AC7" s="7" t="e">
        <f t="shared" ca="1" si="3"/>
        <v>#NAME?</v>
      </c>
      <c r="AD7" s="7" t="e">
        <f t="shared" ca="1" si="4"/>
        <v>#NAME?</v>
      </c>
      <c r="AE7" s="7" t="e">
        <f t="shared" ca="1" si="5"/>
        <v>#NAME?</v>
      </c>
      <c r="AF7" s="7" t="e">
        <f t="shared" ca="1" si="6"/>
        <v>#NAME?</v>
      </c>
      <c r="AG7" s="7" t="e">
        <f t="shared" ca="1" si="7"/>
        <v>#NAME?</v>
      </c>
      <c r="AH7" s="43" t="e">
        <f ca="1"/>
        <v>#NAME?</v>
      </c>
      <c r="AI7" t="e">
        <f t="shared" ca="1" si="8"/>
        <v>#NAME?</v>
      </c>
      <c r="AJ7" s="183" t="e">
        <f t="shared" ca="1" si="9"/>
        <v>#NAME?</v>
      </c>
      <c r="AK7" s="7" t="e">
        <f t="array" aca="1" ref="AK7" ca="1">AJ7*SQRT(MMULT(MMULT(DESIGN(G7),$W$4:$X$5),TRANSPOSE(DESIGN(G7))))</f>
        <v>#NAME?</v>
      </c>
      <c r="AL7" s="7" t="e">
        <f t="shared" ca="1" si="10"/>
        <v>#NAME?</v>
      </c>
      <c r="AM7" s="43" t="e">
        <f t="shared" ca="1" si="11"/>
        <v>#NAME?</v>
      </c>
    </row>
    <row r="8" spans="1:39" x14ac:dyDescent="0.25">
      <c r="A8" s="746">
        <v>103</v>
      </c>
      <c r="B8" s="746">
        <v>14133</v>
      </c>
      <c r="C8" s="746" t="s">
        <v>109</v>
      </c>
      <c r="D8" s="752">
        <v>2</v>
      </c>
      <c r="F8" s="748">
        <v>1</v>
      </c>
      <c r="G8" s="751">
        <f t="shared" si="12"/>
        <v>2</v>
      </c>
      <c r="H8" s="745">
        <f t="shared" si="0"/>
        <v>103</v>
      </c>
      <c r="I8" s="745">
        <f t="shared" si="0"/>
        <v>14133</v>
      </c>
      <c r="S8" t="s">
        <v>38</v>
      </c>
      <c r="T8" s="322">
        <f ca="1">COUNTA(K4:K6)</f>
        <v>2</v>
      </c>
      <c r="AA8" s="183">
        <f t="shared" si="1"/>
        <v>103</v>
      </c>
      <c r="AB8" s="7" t="e">
        <f t="shared" ca="1" si="2"/>
        <v>#NAME?</v>
      </c>
      <c r="AC8" s="7" t="e">
        <f t="shared" ca="1" si="3"/>
        <v>#NAME?</v>
      </c>
      <c r="AD8" s="7" t="e">
        <f t="shared" ca="1" si="4"/>
        <v>#NAME?</v>
      </c>
      <c r="AE8" s="7" t="e">
        <f t="shared" ca="1" si="5"/>
        <v>#NAME?</v>
      </c>
      <c r="AF8" s="7" t="e">
        <f t="shared" ca="1" si="6"/>
        <v>#NAME?</v>
      </c>
      <c r="AG8" s="7" t="e">
        <f t="shared" ca="1" si="7"/>
        <v>#NAME?</v>
      </c>
      <c r="AH8" s="43" t="e">
        <f ca="1"/>
        <v>#NAME?</v>
      </c>
      <c r="AI8" t="e">
        <f t="shared" ca="1" si="8"/>
        <v>#NAME?</v>
      </c>
      <c r="AJ8" s="183" t="e">
        <f t="shared" ca="1" si="9"/>
        <v>#NAME?</v>
      </c>
      <c r="AK8" s="7" t="e">
        <f t="array" aca="1" ref="AK8" ca="1">AJ8*SQRT(MMULT(MMULT(DESIGN(G8),$W$4:$X$5),TRANSPOSE(DESIGN(G8))))</f>
        <v>#NAME?</v>
      </c>
      <c r="AL8" s="7" t="e">
        <f t="shared" ca="1" si="10"/>
        <v>#NAME?</v>
      </c>
      <c r="AM8" s="43" t="e">
        <f t="shared" ca="1" si="11"/>
        <v>#NAME?</v>
      </c>
    </row>
    <row r="9" spans="1:39" x14ac:dyDescent="0.25">
      <c r="A9" s="746">
        <v>12</v>
      </c>
      <c r="B9" s="746">
        <v>11946</v>
      </c>
      <c r="C9" s="748" t="s">
        <v>95</v>
      </c>
      <c r="D9" s="751">
        <v>0</v>
      </c>
      <c r="F9" s="748">
        <v>1</v>
      </c>
      <c r="G9" s="751">
        <f t="shared" si="12"/>
        <v>0</v>
      </c>
      <c r="H9" s="745">
        <f t="shared" si="0"/>
        <v>12</v>
      </c>
      <c r="I9" s="745">
        <f t="shared" si="0"/>
        <v>11946</v>
      </c>
      <c r="K9" s="745" t="e">
        <f t="array" aca="1" ref="K9:Q11" ca="1">PoissonCoeff(G3:G18,H3:H18,TRUE,TRUE,I3:I18,TRUE,T19,X7)</f>
        <v>#NAME?</v>
      </c>
      <c r="L9" s="745" t="e">
        <f ca="1"/>
        <v>#NAME?</v>
      </c>
      <c r="M9" s="745" t="e">
        <f ca="1"/>
        <v>#NAME?</v>
      </c>
      <c r="N9" s="745" t="e">
        <f ca="1"/>
        <v>#NAME?</v>
      </c>
      <c r="O9" s="745" t="e">
        <f ca="1"/>
        <v>#NAME?</v>
      </c>
      <c r="P9" s="745" t="e">
        <f ca="1"/>
        <v>#NAME?</v>
      </c>
      <c r="Q9" s="745" t="e">
        <f ca="1"/>
        <v>#NAME?</v>
      </c>
      <c r="S9" t="s">
        <v>41</v>
      </c>
      <c r="T9" s="322">
        <f ca="1">T7-T8</f>
        <v>13</v>
      </c>
      <c r="AA9" s="183">
        <f t="shared" si="1"/>
        <v>12</v>
      </c>
      <c r="AB9" s="7" t="e">
        <f t="shared" ca="1" si="2"/>
        <v>#NAME?</v>
      </c>
      <c r="AC9" s="7" t="e">
        <f t="shared" ca="1" si="3"/>
        <v>#NAME?</v>
      </c>
      <c r="AD9" s="7" t="e">
        <f t="shared" ca="1" si="4"/>
        <v>#NAME?</v>
      </c>
      <c r="AE9" s="7" t="e">
        <f t="shared" ca="1" si="5"/>
        <v>#NAME?</v>
      </c>
      <c r="AF9" s="7" t="e">
        <f t="shared" ca="1" si="6"/>
        <v>#NAME?</v>
      </c>
      <c r="AG9" s="7" t="e">
        <f t="shared" ca="1" si="7"/>
        <v>#NAME?</v>
      </c>
      <c r="AH9" s="43" t="e">
        <f ca="1"/>
        <v>#NAME?</v>
      </c>
      <c r="AI9" t="e">
        <f t="shared" ca="1" si="8"/>
        <v>#NAME?</v>
      </c>
      <c r="AJ9" s="183" t="e">
        <f t="shared" ca="1" si="9"/>
        <v>#NAME?</v>
      </c>
      <c r="AK9" s="7" t="e">
        <f t="array" aca="1" ref="AK9" ca="1">AJ9*SQRT(MMULT(MMULT(DESIGN(G9),$W$4:$X$5),TRANSPOSE(DESIGN(G9))))</f>
        <v>#NAME?</v>
      </c>
      <c r="AL9" s="7" t="e">
        <f t="shared" ca="1" si="10"/>
        <v>#NAME?</v>
      </c>
      <c r="AM9" s="43" t="e">
        <f t="shared" ca="1" si="11"/>
        <v>#NAME?</v>
      </c>
    </row>
    <row r="10" spans="1:39" x14ac:dyDescent="0.25">
      <c r="A10" s="746">
        <v>29</v>
      </c>
      <c r="B10" s="746">
        <v>22782</v>
      </c>
      <c r="C10" s="748" t="s">
        <v>95</v>
      </c>
      <c r="D10" s="751">
        <v>0.5</v>
      </c>
      <c r="F10" s="748">
        <v>1</v>
      </c>
      <c r="G10" s="751">
        <f t="shared" si="12"/>
        <v>0.5</v>
      </c>
      <c r="H10" s="745">
        <f t="shared" si="0"/>
        <v>29</v>
      </c>
      <c r="I10" s="745">
        <f t="shared" si="0"/>
        <v>22782</v>
      </c>
      <c r="K10" t="e">
        <f ca="1"/>
        <v>#NAME?</v>
      </c>
      <c r="L10" s="648" t="e">
        <f ca="1"/>
        <v>#NAME?</v>
      </c>
      <c r="M10" s="649" t="e">
        <f ca="1"/>
        <v>#NAME?</v>
      </c>
      <c r="N10" s="649" t="e">
        <f ca="1"/>
        <v>#NAME?</v>
      </c>
      <c r="O10" s="649" t="e">
        <f ca="1"/>
        <v>#NAME?</v>
      </c>
      <c r="P10" s="649" t="e">
        <f ca="1"/>
        <v>#NAME?</v>
      </c>
      <c r="Q10" s="650" t="e">
        <f ca="1"/>
        <v>#NAME?</v>
      </c>
      <c r="S10" t="s">
        <v>1550</v>
      </c>
      <c r="T10" s="322" t="e">
        <f ca="1">T4/T9</f>
        <v>#NAME?</v>
      </c>
      <c r="AA10" s="183">
        <f t="shared" si="1"/>
        <v>29</v>
      </c>
      <c r="AB10" s="7" t="e">
        <f t="shared" ca="1" si="2"/>
        <v>#NAME?</v>
      </c>
      <c r="AC10" s="7" t="e">
        <f t="shared" ca="1" si="3"/>
        <v>#NAME?</v>
      </c>
      <c r="AD10" s="7" t="e">
        <f t="shared" ca="1" si="4"/>
        <v>#NAME?</v>
      </c>
      <c r="AE10" s="7" t="e">
        <f t="shared" ca="1" si="5"/>
        <v>#NAME?</v>
      </c>
      <c r="AF10" s="7" t="e">
        <f t="shared" ca="1" si="6"/>
        <v>#NAME?</v>
      </c>
      <c r="AG10" s="7" t="e">
        <f t="shared" ca="1" si="7"/>
        <v>#NAME?</v>
      </c>
      <c r="AH10" s="43" t="e">
        <f ca="1"/>
        <v>#NAME?</v>
      </c>
      <c r="AI10" t="e">
        <f t="shared" ca="1" si="8"/>
        <v>#NAME?</v>
      </c>
      <c r="AJ10" s="183" t="e">
        <f t="shared" ca="1" si="9"/>
        <v>#NAME?</v>
      </c>
      <c r="AK10" s="7" t="e">
        <f t="array" aca="1" ref="AK10" ca="1">AJ10*SQRT(MMULT(MMULT(DESIGN(G10),$W$4:$X$5),TRANSPOSE(DESIGN(G10))))</f>
        <v>#NAME?</v>
      </c>
      <c r="AL10" s="7" t="e">
        <f t="shared" ca="1" si="10"/>
        <v>#NAME?</v>
      </c>
      <c r="AM10" s="43" t="e">
        <f t="shared" ca="1" si="11"/>
        <v>#NAME?</v>
      </c>
    </row>
    <row r="11" spans="1:39" x14ac:dyDescent="0.25">
      <c r="A11" s="746">
        <v>31</v>
      </c>
      <c r="B11" s="746">
        <v>14566</v>
      </c>
      <c r="C11" s="748" t="s">
        <v>95</v>
      </c>
      <c r="D11" s="751">
        <v>1</v>
      </c>
      <c r="F11" s="748">
        <v>1</v>
      </c>
      <c r="G11" s="751">
        <f t="shared" si="12"/>
        <v>1</v>
      </c>
      <c r="H11" s="745">
        <f t="shared" si="0"/>
        <v>31</v>
      </c>
      <c r="I11" s="745">
        <f t="shared" si="0"/>
        <v>14566</v>
      </c>
      <c r="K11" t="e">
        <f ca="1"/>
        <v>#NAME?</v>
      </c>
      <c r="L11" s="351" t="e">
        <f ca="1"/>
        <v>#NAME?</v>
      </c>
      <c r="M11" s="352" t="e">
        <f ca="1"/>
        <v>#NAME?</v>
      </c>
      <c r="N11" s="352" t="e">
        <f ca="1"/>
        <v>#NAME?</v>
      </c>
      <c r="O11" s="352" t="e">
        <f ca="1"/>
        <v>#NAME?</v>
      </c>
      <c r="P11" s="352" t="e">
        <f ca="1"/>
        <v>#NAME?</v>
      </c>
      <c r="Q11" s="353" t="e">
        <f ca="1"/>
        <v>#NAME?</v>
      </c>
      <c r="S11" t="s">
        <v>1551</v>
      </c>
      <c r="T11" s="349" t="e">
        <f ca="1">SQRT(T10)</f>
        <v>#NAME?</v>
      </c>
      <c r="AA11" s="183">
        <f t="shared" si="1"/>
        <v>31</v>
      </c>
      <c r="AB11" s="7" t="e">
        <f t="shared" ca="1" si="2"/>
        <v>#NAME?</v>
      </c>
      <c r="AC11" s="7" t="e">
        <f t="shared" ca="1" si="3"/>
        <v>#NAME?</v>
      </c>
      <c r="AD11" s="7" t="e">
        <f t="shared" ca="1" si="4"/>
        <v>#NAME?</v>
      </c>
      <c r="AE11" s="7" t="e">
        <f t="shared" ca="1" si="5"/>
        <v>#NAME?</v>
      </c>
      <c r="AF11" s="7" t="e">
        <f t="shared" ca="1" si="6"/>
        <v>#NAME?</v>
      </c>
      <c r="AG11" s="7" t="e">
        <f t="shared" ca="1" si="7"/>
        <v>#NAME?</v>
      </c>
      <c r="AH11" s="43" t="e">
        <f ca="1"/>
        <v>#NAME?</v>
      </c>
      <c r="AI11" t="e">
        <f t="shared" ca="1" si="8"/>
        <v>#NAME?</v>
      </c>
      <c r="AJ11" s="183" t="e">
        <f t="shared" ca="1" si="9"/>
        <v>#NAME?</v>
      </c>
      <c r="AK11" s="7" t="e">
        <f t="array" aca="1" ref="AK11" ca="1">AJ11*SQRT(MMULT(MMULT(DESIGN(G11),$W$4:$X$5),TRANSPOSE(DESIGN(G11))))</f>
        <v>#NAME?</v>
      </c>
      <c r="AL11" s="7" t="e">
        <f t="shared" ca="1" si="10"/>
        <v>#NAME?</v>
      </c>
      <c r="AM11" s="43" t="e">
        <f t="shared" ca="1" si="11"/>
        <v>#NAME?</v>
      </c>
    </row>
    <row r="12" spans="1:39" x14ac:dyDescent="0.25">
      <c r="A12" s="746">
        <v>43</v>
      </c>
      <c r="B12" s="746">
        <v>15654</v>
      </c>
      <c r="C12" s="748" t="s">
        <v>95</v>
      </c>
      <c r="D12" s="752">
        <v>1.5</v>
      </c>
      <c r="F12" s="748">
        <v>1</v>
      </c>
      <c r="G12" s="751">
        <f t="shared" si="12"/>
        <v>1.5</v>
      </c>
      <c r="H12" s="745">
        <f t="shared" si="0"/>
        <v>43</v>
      </c>
      <c r="I12" s="745">
        <f t="shared" si="0"/>
        <v>15654</v>
      </c>
      <c r="W12" s="745" t="s">
        <v>1553</v>
      </c>
      <c r="X12" s="745" t="s">
        <v>1554</v>
      </c>
      <c r="Y12" s="745" t="s">
        <v>639</v>
      </c>
      <c r="AA12" s="183">
        <f t="shared" si="1"/>
        <v>43</v>
      </c>
      <c r="AB12" s="7" t="e">
        <f t="shared" ca="1" si="2"/>
        <v>#NAME?</v>
      </c>
      <c r="AC12" s="7" t="e">
        <f t="shared" ca="1" si="3"/>
        <v>#NAME?</v>
      </c>
      <c r="AD12" s="7" t="e">
        <f t="shared" ca="1" si="4"/>
        <v>#NAME?</v>
      </c>
      <c r="AE12" s="7" t="e">
        <f t="shared" ca="1" si="5"/>
        <v>#NAME?</v>
      </c>
      <c r="AF12" s="7" t="e">
        <f t="shared" ca="1" si="6"/>
        <v>#NAME?</v>
      </c>
      <c r="AG12" s="7" t="e">
        <f t="shared" ca="1" si="7"/>
        <v>#NAME?</v>
      </c>
      <c r="AH12" s="43" t="e">
        <f ca="1"/>
        <v>#NAME?</v>
      </c>
      <c r="AI12" t="e">
        <f t="shared" ca="1" si="8"/>
        <v>#NAME?</v>
      </c>
      <c r="AJ12" s="183" t="e">
        <f t="shared" ca="1" si="9"/>
        <v>#NAME?</v>
      </c>
      <c r="AK12" s="7" t="e">
        <f t="array" aca="1" ref="AK12" ca="1">AJ12*SQRT(MMULT(MMULT(DESIGN(G12),$W$4:$X$5),TRANSPOSE(DESIGN(G12))))</f>
        <v>#NAME?</v>
      </c>
      <c r="AL12" s="7" t="e">
        <f t="shared" ca="1" si="10"/>
        <v>#NAME?</v>
      </c>
      <c r="AM12" s="43" t="e">
        <f t="shared" ca="1" si="11"/>
        <v>#NAME?</v>
      </c>
    </row>
    <row r="13" spans="1:39" x14ac:dyDescent="0.25">
      <c r="A13" s="746">
        <v>56</v>
      </c>
      <c r="B13" s="746">
        <v>10097</v>
      </c>
      <c r="C13" s="748" t="s">
        <v>95</v>
      </c>
      <c r="D13" s="752">
        <v>2</v>
      </c>
      <c r="F13" s="748">
        <v>1</v>
      </c>
      <c r="G13" s="751">
        <f t="shared" si="12"/>
        <v>2</v>
      </c>
      <c r="H13" s="745">
        <f t="shared" si="0"/>
        <v>56</v>
      </c>
      <c r="I13" s="745">
        <f t="shared" si="0"/>
        <v>10097</v>
      </c>
      <c r="S13" t="s">
        <v>1534</v>
      </c>
      <c r="T13" s="671" t="e">
        <f ca="1">SUMPRODUCT(AA4:AA18,LN(I4:I18))+AB19*LN(AA19/SUM(I4:I18))-AA19-SUMPRODUCT(LN(FACT(AA4:AA18)))</f>
        <v>#NAME?</v>
      </c>
      <c r="V13" t="s">
        <v>626</v>
      </c>
      <c r="W13" s="646" t="e">
        <f ca="1">'PReg 2'!V14</f>
        <v>#NAME?</v>
      </c>
      <c r="X13" s="664" t="e">
        <f ca="1">T14</f>
        <v>#NAME?</v>
      </c>
      <c r="Y13" s="647" t="e">
        <f ca="1">-2*(X13-W13)</f>
        <v>#NAME?</v>
      </c>
      <c r="AA13" s="183">
        <f t="shared" si="1"/>
        <v>56</v>
      </c>
      <c r="AB13" s="7" t="e">
        <f t="shared" ca="1" si="2"/>
        <v>#NAME?</v>
      </c>
      <c r="AC13" s="7" t="e">
        <f t="shared" ca="1" si="3"/>
        <v>#NAME?</v>
      </c>
      <c r="AD13" s="7" t="e">
        <f t="shared" ca="1" si="4"/>
        <v>#NAME?</v>
      </c>
      <c r="AE13" s="7" t="e">
        <f t="shared" ca="1" si="5"/>
        <v>#NAME?</v>
      </c>
      <c r="AF13" s="7" t="e">
        <f t="shared" ca="1" si="6"/>
        <v>#NAME?</v>
      </c>
      <c r="AG13" s="7" t="e">
        <f t="shared" ca="1" si="7"/>
        <v>#NAME?</v>
      </c>
      <c r="AH13" s="43" t="e">
        <f ca="1"/>
        <v>#NAME?</v>
      </c>
      <c r="AI13" t="e">
        <f t="shared" ca="1" si="8"/>
        <v>#NAME?</v>
      </c>
      <c r="AJ13" s="183" t="e">
        <f t="shared" ca="1" si="9"/>
        <v>#NAME?</v>
      </c>
      <c r="AK13" s="7" t="e">
        <f t="array" aca="1" ref="AK13" ca="1">AJ13*SQRT(MMULT(MMULT(DESIGN(G13),$W$4:$X$5),TRANSPOSE(DESIGN(G13))))</f>
        <v>#NAME?</v>
      </c>
      <c r="AL13" s="7" t="e">
        <f t="shared" ca="1" si="10"/>
        <v>#NAME?</v>
      </c>
      <c r="AM13" s="43" t="e">
        <f t="shared" ca="1" si="11"/>
        <v>#NAME?</v>
      </c>
    </row>
    <row r="14" spans="1:39" x14ac:dyDescent="0.25">
      <c r="A14" s="746">
        <v>30</v>
      </c>
      <c r="B14" s="746">
        <v>50711</v>
      </c>
      <c r="C14" s="748" t="s">
        <v>96</v>
      </c>
      <c r="D14" s="751">
        <v>0</v>
      </c>
      <c r="F14" s="748">
        <v>1</v>
      </c>
      <c r="G14" s="751">
        <f t="shared" si="12"/>
        <v>0</v>
      </c>
      <c r="H14" s="745">
        <f t="shared" si="0"/>
        <v>30</v>
      </c>
      <c r="I14" s="745">
        <f t="shared" si="0"/>
        <v>50711</v>
      </c>
      <c r="S14" t="s">
        <v>1535</v>
      </c>
      <c r="T14" s="322" t="e">
        <f ca="1">SUMPRODUCT(MMULT(DESIGN(G4:G18),L4:L5)+LN(I4:I18),AA4:AA18)-SUMPRODUCT(EXP(MMULT(DESIGN(G4:G18),L4:L5)),I4:I18)-SUMPRODUCT(LN(FACT(AA4:AA18)))</f>
        <v>#NAME?</v>
      </c>
      <c r="V14" t="s">
        <v>41</v>
      </c>
      <c r="W14" s="112">
        <f ca="1">'PReg 2'!V9</f>
        <v>11</v>
      </c>
      <c r="X14" s="354">
        <f ca="1">T9</f>
        <v>13</v>
      </c>
      <c r="Y14" s="120">
        <f ca="1">X14-W14</f>
        <v>2</v>
      </c>
      <c r="AA14" s="183">
        <f t="shared" si="1"/>
        <v>30</v>
      </c>
      <c r="AB14" s="7" t="e">
        <f t="shared" ca="1" si="2"/>
        <v>#NAME?</v>
      </c>
      <c r="AC14" s="7" t="e">
        <f t="shared" ca="1" si="3"/>
        <v>#NAME?</v>
      </c>
      <c r="AD14" s="7" t="e">
        <f t="shared" ca="1" si="4"/>
        <v>#NAME?</v>
      </c>
      <c r="AE14" s="7" t="e">
        <f t="shared" ca="1" si="5"/>
        <v>#NAME?</v>
      </c>
      <c r="AF14" s="7" t="e">
        <f t="shared" ca="1" si="6"/>
        <v>#NAME?</v>
      </c>
      <c r="AG14" s="7" t="e">
        <f t="shared" ca="1" si="7"/>
        <v>#NAME?</v>
      </c>
      <c r="AH14" s="43" t="e">
        <f ca="1"/>
        <v>#NAME?</v>
      </c>
      <c r="AI14" t="e">
        <f t="shared" ca="1" si="8"/>
        <v>#NAME?</v>
      </c>
      <c r="AJ14" s="183" t="e">
        <f t="shared" ca="1" si="9"/>
        <v>#NAME?</v>
      </c>
      <c r="AK14" s="7" t="e">
        <f t="array" aca="1" ref="AK14" ca="1">AJ14*SQRT(MMULT(MMULT(DESIGN(G14),$W$4:$X$5),TRANSPOSE(DESIGN(G14))))</f>
        <v>#NAME?</v>
      </c>
      <c r="AL14" s="7" t="e">
        <f t="shared" ca="1" si="10"/>
        <v>#NAME?</v>
      </c>
      <c r="AM14" s="43" t="e">
        <f t="shared" ca="1" si="11"/>
        <v>#NAME?</v>
      </c>
    </row>
    <row r="15" spans="1:39" x14ac:dyDescent="0.25">
      <c r="A15" s="746">
        <v>36</v>
      </c>
      <c r="B15" s="746">
        <v>35332</v>
      </c>
      <c r="C15" s="748" t="s">
        <v>96</v>
      </c>
      <c r="D15" s="751">
        <v>0.5</v>
      </c>
      <c r="F15" s="748">
        <v>1</v>
      </c>
      <c r="G15" s="751">
        <f t="shared" si="12"/>
        <v>0.5</v>
      </c>
      <c r="H15" s="745">
        <f t="shared" si="0"/>
        <v>36</v>
      </c>
      <c r="I15" s="745">
        <f t="shared" si="0"/>
        <v>35332</v>
      </c>
      <c r="S15" t="s">
        <v>1536</v>
      </c>
      <c r="T15" s="322">
        <f>SUMPRODUCT(AA4:AA18,LN(AA4:AA18))-AA19-SUMPRODUCT(LN(FACT(AA4:AA18)))</f>
        <v>-42.990199537616718</v>
      </c>
      <c r="V15" t="s">
        <v>48</v>
      </c>
      <c r="Y15" t="e">
        <f ca="1">CHIDIST(Y13,Y14)</f>
        <v>#NAME?</v>
      </c>
      <c r="AA15" s="183">
        <f t="shared" si="1"/>
        <v>36</v>
      </c>
      <c r="AB15" s="7" t="e">
        <f t="shared" ca="1" si="2"/>
        <v>#NAME?</v>
      </c>
      <c r="AC15" s="7" t="e">
        <f t="shared" ca="1" si="3"/>
        <v>#NAME?</v>
      </c>
      <c r="AD15" s="7" t="e">
        <f t="shared" ca="1" si="4"/>
        <v>#NAME?</v>
      </c>
      <c r="AE15" s="7" t="e">
        <f t="shared" ca="1" si="5"/>
        <v>#NAME?</v>
      </c>
      <c r="AF15" s="7" t="e">
        <f t="shared" ca="1" si="6"/>
        <v>#NAME?</v>
      </c>
      <c r="AG15" s="7" t="e">
        <f t="shared" ca="1" si="7"/>
        <v>#NAME?</v>
      </c>
      <c r="AH15" s="43" t="e">
        <f ca="1"/>
        <v>#NAME?</v>
      </c>
      <c r="AI15" t="e">
        <f t="shared" ca="1" si="8"/>
        <v>#NAME?</v>
      </c>
      <c r="AJ15" s="183" t="e">
        <f t="shared" ca="1" si="9"/>
        <v>#NAME?</v>
      </c>
      <c r="AK15" s="7" t="e">
        <f t="array" aca="1" ref="AK15" ca="1">AJ15*SQRT(MMULT(MMULT(DESIGN(G15),$W$4:$X$5),TRANSPOSE(DESIGN(G15))))</f>
        <v>#NAME?</v>
      </c>
      <c r="AL15" s="7" t="e">
        <f t="shared" ca="1" si="10"/>
        <v>#NAME?</v>
      </c>
      <c r="AM15" s="43" t="e">
        <f t="shared" ca="1" si="11"/>
        <v>#NAME?</v>
      </c>
    </row>
    <row r="16" spans="1:39" x14ac:dyDescent="0.25">
      <c r="A16" s="748">
        <v>62</v>
      </c>
      <c r="B16" s="748">
        <v>41707</v>
      </c>
      <c r="C16" s="748" t="s">
        <v>96</v>
      </c>
      <c r="D16" s="751">
        <v>1</v>
      </c>
      <c r="F16" s="748">
        <v>1</v>
      </c>
      <c r="G16" s="751">
        <f t="shared" si="12"/>
        <v>1</v>
      </c>
      <c r="H16" s="745">
        <f t="shared" si="0"/>
        <v>62</v>
      </c>
      <c r="I16" s="745">
        <f t="shared" si="0"/>
        <v>41707</v>
      </c>
      <c r="S16" t="s">
        <v>1200</v>
      </c>
      <c r="T16" s="322" t="e">
        <f ca="1">(T14-T13)/(T15-T13)</f>
        <v>#NAME?</v>
      </c>
      <c r="AA16" s="183">
        <f t="shared" si="1"/>
        <v>62</v>
      </c>
      <c r="AB16" s="7" t="e">
        <f t="shared" ca="1" si="2"/>
        <v>#NAME?</v>
      </c>
      <c r="AC16" s="7" t="e">
        <f t="shared" ca="1" si="3"/>
        <v>#NAME?</v>
      </c>
      <c r="AD16" s="7" t="e">
        <f t="shared" ca="1" si="4"/>
        <v>#NAME?</v>
      </c>
      <c r="AE16" s="7" t="e">
        <f t="shared" ca="1" si="5"/>
        <v>#NAME?</v>
      </c>
      <c r="AF16" s="7" t="e">
        <f t="shared" ca="1" si="6"/>
        <v>#NAME?</v>
      </c>
      <c r="AG16" s="7" t="e">
        <f t="shared" ca="1" si="7"/>
        <v>#NAME?</v>
      </c>
      <c r="AH16" s="43" t="e">
        <f ca="1"/>
        <v>#NAME?</v>
      </c>
      <c r="AI16" t="e">
        <f t="shared" ca="1" si="8"/>
        <v>#NAME?</v>
      </c>
      <c r="AJ16" s="183" t="e">
        <f t="shared" ca="1" si="9"/>
        <v>#NAME?</v>
      </c>
      <c r="AK16" s="7" t="e">
        <f t="array" aca="1" ref="AK16" ca="1">AJ16*SQRT(MMULT(MMULT(DESIGN(G16),$W$4:$X$5),TRANSPOSE(DESIGN(G16))))</f>
        <v>#NAME?</v>
      </c>
      <c r="AL16" s="7" t="e">
        <f t="shared" ca="1" si="10"/>
        <v>#NAME?</v>
      </c>
      <c r="AM16" s="43" t="e">
        <f t="shared" ca="1" si="11"/>
        <v>#NAME?</v>
      </c>
    </row>
    <row r="17" spans="1:39" x14ac:dyDescent="0.25">
      <c r="A17" s="748">
        <v>57</v>
      </c>
      <c r="B17" s="748">
        <v>26319</v>
      </c>
      <c r="C17" s="748" t="s">
        <v>96</v>
      </c>
      <c r="D17" s="752">
        <v>1.5</v>
      </c>
      <c r="F17" s="748">
        <v>1</v>
      </c>
      <c r="G17" s="751">
        <f t="shared" si="12"/>
        <v>1.5</v>
      </c>
      <c r="H17" s="745">
        <f t="shared" si="0"/>
        <v>57</v>
      </c>
      <c r="I17" s="745">
        <f t="shared" si="0"/>
        <v>26319</v>
      </c>
      <c r="S17" t="s">
        <v>203</v>
      </c>
      <c r="T17" s="349" t="e">
        <f ca="1">T5+2*T8</f>
        <v>#NAME?</v>
      </c>
      <c r="AA17" s="183">
        <f t="shared" si="1"/>
        <v>57</v>
      </c>
      <c r="AB17" s="7" t="e">
        <f t="shared" ca="1" si="2"/>
        <v>#NAME?</v>
      </c>
      <c r="AC17" s="7" t="e">
        <f t="shared" ca="1" si="3"/>
        <v>#NAME?</v>
      </c>
      <c r="AD17" s="7" t="e">
        <f t="shared" ca="1" si="4"/>
        <v>#NAME?</v>
      </c>
      <c r="AE17" s="7" t="e">
        <f t="shared" ca="1" si="5"/>
        <v>#NAME?</v>
      </c>
      <c r="AF17" s="7" t="e">
        <f t="shared" ca="1" si="6"/>
        <v>#NAME?</v>
      </c>
      <c r="AG17" s="7" t="e">
        <f t="shared" ca="1" si="7"/>
        <v>#NAME?</v>
      </c>
      <c r="AH17" s="43" t="e">
        <f ca="1"/>
        <v>#NAME?</v>
      </c>
      <c r="AI17" t="e">
        <f t="shared" ca="1" si="8"/>
        <v>#NAME?</v>
      </c>
      <c r="AJ17" s="183" t="e">
        <f t="shared" ca="1" si="9"/>
        <v>#NAME?</v>
      </c>
      <c r="AK17" s="7" t="e">
        <f t="array" aca="1" ref="AK17" ca="1">AJ17*SQRT(MMULT(MMULT(DESIGN(G17),$W$4:$X$5),TRANSPOSE(DESIGN(G17))))</f>
        <v>#NAME?</v>
      </c>
      <c r="AL17" s="7" t="e">
        <f t="shared" ca="1" si="10"/>
        <v>#NAME?</v>
      </c>
      <c r="AM17" s="43" t="e">
        <f t="shared" ca="1" si="11"/>
        <v>#NAME?</v>
      </c>
    </row>
    <row r="18" spans="1:39" x14ac:dyDescent="0.25">
      <c r="A18" s="749">
        <v>71</v>
      </c>
      <c r="B18" s="749">
        <v>22978</v>
      </c>
      <c r="C18" s="749" t="s">
        <v>96</v>
      </c>
      <c r="D18" s="765">
        <v>2</v>
      </c>
      <c r="F18" s="749">
        <v>1</v>
      </c>
      <c r="G18" s="607">
        <f t="shared" si="12"/>
        <v>2</v>
      </c>
      <c r="H18" s="747">
        <f t="shared" si="0"/>
        <v>71</v>
      </c>
      <c r="I18" s="747">
        <f t="shared" si="0"/>
        <v>22978</v>
      </c>
      <c r="AA18" s="351">
        <f t="shared" si="1"/>
        <v>71</v>
      </c>
      <c r="AB18" s="352" t="e">
        <f t="shared" ca="1" si="2"/>
        <v>#NAME?</v>
      </c>
      <c r="AC18" s="352" t="e">
        <f t="shared" ca="1" si="3"/>
        <v>#NAME?</v>
      </c>
      <c r="AD18" s="352" t="e">
        <f t="shared" ca="1" si="4"/>
        <v>#NAME?</v>
      </c>
      <c r="AE18" s="352" t="e">
        <f t="shared" ca="1" si="5"/>
        <v>#NAME?</v>
      </c>
      <c r="AF18" s="352" t="e">
        <f t="shared" ca="1" si="6"/>
        <v>#NAME?</v>
      </c>
      <c r="AG18" s="352" t="e">
        <f t="shared" ca="1" si="7"/>
        <v>#NAME?</v>
      </c>
      <c r="AH18" s="353" t="e">
        <f ca="1"/>
        <v>#NAME?</v>
      </c>
      <c r="AI18" t="e">
        <f t="shared" ca="1" si="8"/>
        <v>#NAME?</v>
      </c>
      <c r="AJ18" s="351" t="e">
        <f t="shared" ca="1" si="9"/>
        <v>#NAME?</v>
      </c>
      <c r="AK18" s="352" t="e">
        <f t="array" aca="1" ref="AK18" ca="1">AJ18*SQRT(MMULT(MMULT(DESIGN(G18),$W$4:$X$5),TRANSPOSE(DESIGN(G18))))</f>
        <v>#NAME?</v>
      </c>
      <c r="AL18" s="352" t="e">
        <f t="shared" ca="1" si="10"/>
        <v>#NAME?</v>
      </c>
      <c r="AM18" s="353" t="e">
        <f t="shared" ca="1" si="11"/>
        <v>#NAME?</v>
      </c>
    </row>
    <row r="19" spans="1:39" x14ac:dyDescent="0.25">
      <c r="A19" s="538"/>
      <c r="B19" s="538"/>
      <c r="C19" s="628"/>
      <c r="D19" s="538"/>
      <c r="F19" s="628"/>
      <c r="G19" s="628"/>
      <c r="H19" s="628"/>
      <c r="I19" s="628"/>
      <c r="S19" t="s">
        <v>70</v>
      </c>
      <c r="T19" s="671">
        <v>0.05</v>
      </c>
      <c r="AA19">
        <f>SUM(AA4:AA18)</f>
        <v>839</v>
      </c>
      <c r="AB19" t="e">
        <f ca="1">SUM(AB4:AB18)</f>
        <v>#NAME?</v>
      </c>
      <c r="AC19" t="e">
        <f ca="1">SUM(AC4:AC18)</f>
        <v>#NAME?</v>
      </c>
      <c r="AH19">
        <f ca="1">2*T8/T7</f>
        <v>0.26666666666666666</v>
      </c>
    </row>
    <row r="20" spans="1:39" x14ac:dyDescent="0.25">
      <c r="S20" t="s">
        <v>615</v>
      </c>
      <c r="T20" s="349">
        <f>NORMSINV(1-T19/2)</f>
        <v>1.9599639845400536</v>
      </c>
    </row>
    <row r="28" spans="1:39" x14ac:dyDescent="0.25">
      <c r="B28" s="745" t="e">
        <f ca="1">B26+2*L5</f>
        <v>#NAME?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U37"/>
  <sheetViews>
    <sheetView workbookViewId="0"/>
  </sheetViews>
  <sheetFormatPr defaultRowHeight="15" x14ac:dyDescent="0.25"/>
  <cols>
    <col min="1" max="1" width="11.140625" customWidth="1"/>
    <col min="5" max="5" width="6.5703125" customWidth="1"/>
    <col min="6" max="6" width="10.42578125" customWidth="1"/>
    <col min="12" max="12" width="8.85546875" customWidth="1"/>
    <col min="18" max="18" width="10" customWidth="1"/>
  </cols>
  <sheetData>
    <row r="1" spans="1:21" x14ac:dyDescent="0.25">
      <c r="A1" s="1" t="s">
        <v>232</v>
      </c>
    </row>
    <row r="3" spans="1:21" x14ac:dyDescent="0.25">
      <c r="A3" t="s">
        <v>331</v>
      </c>
      <c r="R3" t="s">
        <v>227</v>
      </c>
    </row>
    <row r="5" spans="1:21" x14ac:dyDescent="0.25">
      <c r="B5" s="12" t="s">
        <v>79</v>
      </c>
      <c r="C5" s="12" t="s">
        <v>80</v>
      </c>
      <c r="D5" s="12" t="s">
        <v>1</v>
      </c>
      <c r="F5" s="68" t="s">
        <v>167</v>
      </c>
      <c r="G5" s="68" t="s">
        <v>172</v>
      </c>
      <c r="H5" s="68" t="s">
        <v>173</v>
      </c>
      <c r="I5" s="68" t="s">
        <v>199</v>
      </c>
      <c r="J5" s="68" t="s">
        <v>200</v>
      </c>
      <c r="K5" s="68" t="s">
        <v>137</v>
      </c>
      <c r="S5" s="12" t="s">
        <v>79</v>
      </c>
      <c r="T5" s="12" t="s">
        <v>80</v>
      </c>
      <c r="U5" s="12" t="s">
        <v>207</v>
      </c>
    </row>
    <row r="6" spans="1:21" x14ac:dyDescent="0.25">
      <c r="A6" t="s">
        <v>81</v>
      </c>
      <c r="B6" s="3">
        <v>31</v>
      </c>
      <c r="C6" s="5">
        <v>57</v>
      </c>
      <c r="D6">
        <f>SUM(B6:C6)</f>
        <v>88</v>
      </c>
      <c r="F6" s="71">
        <v>1</v>
      </c>
      <c r="G6" s="71">
        <v>1</v>
      </c>
      <c r="H6" s="71">
        <v>1</v>
      </c>
      <c r="I6" s="71">
        <f>G6*H6</f>
        <v>1</v>
      </c>
      <c r="J6">
        <f>B6</f>
        <v>31</v>
      </c>
      <c r="K6">
        <f>LN(J6)</f>
        <v>3.4339872044851463</v>
      </c>
      <c r="M6" s="12" t="s">
        <v>142</v>
      </c>
      <c r="N6" s="69">
        <f>K10/4</f>
        <v>3.4516898444605983</v>
      </c>
      <c r="P6" s="69">
        <f>EXP(N6)</f>
        <v>31.553668073397692</v>
      </c>
      <c r="R6" t="s">
        <v>81</v>
      </c>
      <c r="S6" s="3">
        <v>31</v>
      </c>
      <c r="T6" s="5">
        <v>57</v>
      </c>
      <c r="U6">
        <f>GEOMEAN(S6:T6)</f>
        <v>42.035699113967404</v>
      </c>
    </row>
    <row r="7" spans="1:21" x14ac:dyDescent="0.25">
      <c r="A7" t="s">
        <v>82</v>
      </c>
      <c r="B7" s="9">
        <v>11</v>
      </c>
      <c r="C7" s="11">
        <v>51</v>
      </c>
      <c r="D7">
        <f>SUM(B7:C7)</f>
        <v>62</v>
      </c>
      <c r="F7" s="71">
        <f>F6+1</f>
        <v>2</v>
      </c>
      <c r="G7" s="71">
        <v>1</v>
      </c>
      <c r="H7" s="71">
        <v>-1</v>
      </c>
      <c r="I7" s="71">
        <f>G7*H7</f>
        <v>-1</v>
      </c>
      <c r="J7">
        <f>B7</f>
        <v>11</v>
      </c>
      <c r="K7">
        <f>LN(J7)</f>
        <v>2.3978952727983707</v>
      </c>
      <c r="M7" s="12" t="s">
        <v>140</v>
      </c>
      <c r="N7" s="58">
        <f>(K6+K7)/2-N6</f>
        <v>-0.53574860581883987</v>
      </c>
      <c r="P7" s="58">
        <f>EXP(N7)</f>
        <v>0.58523101877299288</v>
      </c>
      <c r="R7" t="s">
        <v>82</v>
      </c>
      <c r="S7" s="9">
        <v>11</v>
      </c>
      <c r="T7" s="11">
        <v>51</v>
      </c>
      <c r="U7">
        <f>GEOMEAN(S7:T7)</f>
        <v>23.685438564654024</v>
      </c>
    </row>
    <row r="8" spans="1:21" x14ac:dyDescent="0.25">
      <c r="A8" t="s">
        <v>1</v>
      </c>
      <c r="B8">
        <f>SUM(B6:B7)</f>
        <v>42</v>
      </c>
      <c r="C8">
        <f>SUM(C6:C7)</f>
        <v>108</v>
      </c>
      <c r="D8">
        <f>SUM(D6:D7)</f>
        <v>150</v>
      </c>
      <c r="F8" s="71">
        <f>F7+1</f>
        <v>3</v>
      </c>
      <c r="G8" s="71">
        <v>-1</v>
      </c>
      <c r="H8" s="71">
        <v>1</v>
      </c>
      <c r="I8" s="71">
        <f>G8*H8</f>
        <v>-1</v>
      </c>
      <c r="J8">
        <f>C6</f>
        <v>57</v>
      </c>
      <c r="K8">
        <f>LN(J8)</f>
        <v>4.0430512678345503</v>
      </c>
      <c r="M8" s="12" t="s">
        <v>141</v>
      </c>
      <c r="N8" s="58">
        <f>(K6+K8)/2-N6</f>
        <v>0.28682939169924992</v>
      </c>
      <c r="P8" s="58">
        <f>EXP(N8)</f>
        <v>1.3321969102351976</v>
      </c>
      <c r="R8" t="s">
        <v>207</v>
      </c>
      <c r="S8">
        <f>GEOMEAN(S6:S7)</f>
        <v>18.466185312619388</v>
      </c>
      <c r="T8">
        <f>GEOMEAN(T6:T7)</f>
        <v>53.916602266834289</v>
      </c>
      <c r="U8">
        <f>GEOMEAN(S6:T7)</f>
        <v>31.553668073397688</v>
      </c>
    </row>
    <row r="9" spans="1:21" x14ac:dyDescent="0.25">
      <c r="F9" s="72">
        <f>F8+1</f>
        <v>4</v>
      </c>
      <c r="G9" s="72">
        <v>-1</v>
      </c>
      <c r="H9" s="72">
        <v>-1</v>
      </c>
      <c r="I9" s="72">
        <f>G9*H9</f>
        <v>1</v>
      </c>
      <c r="J9" s="10">
        <f>C7</f>
        <v>51</v>
      </c>
      <c r="K9" s="10">
        <f>LN(J9)</f>
        <v>3.9318256327243257</v>
      </c>
      <c r="M9" s="12" t="s">
        <v>144</v>
      </c>
      <c r="N9" s="54">
        <f>(K6+K9)/2-N6</f>
        <v>0.23121657414413743</v>
      </c>
      <c r="P9" s="54">
        <f>EXP(N9)</f>
        <v>1.2601321219343276</v>
      </c>
    </row>
    <row r="10" spans="1:21" x14ac:dyDescent="0.25">
      <c r="A10" t="s">
        <v>332</v>
      </c>
      <c r="F10" s="38"/>
      <c r="G10" s="38"/>
      <c r="H10" s="38"/>
      <c r="I10" s="38"/>
      <c r="J10" s="7"/>
      <c r="K10" s="25">
        <f>SUM(K6:K9)</f>
        <v>13.806759377842393</v>
      </c>
      <c r="M10" s="12"/>
      <c r="N10" s="7"/>
      <c r="P10" s="7"/>
      <c r="R10" t="s">
        <v>228</v>
      </c>
    </row>
    <row r="12" spans="1:21" x14ac:dyDescent="0.25">
      <c r="B12" s="12" t="s">
        <v>79</v>
      </c>
      <c r="C12" s="12" t="s">
        <v>80</v>
      </c>
      <c r="D12" s="12" t="s">
        <v>1</v>
      </c>
      <c r="F12" s="38"/>
      <c r="G12" s="38"/>
      <c r="H12" s="38"/>
      <c r="I12" s="38"/>
      <c r="J12" s="7"/>
      <c r="K12" s="7"/>
      <c r="M12" s="12"/>
      <c r="N12" s="7"/>
      <c r="P12" s="7"/>
      <c r="S12" s="12" t="s">
        <v>79</v>
      </c>
      <c r="T12" s="12" t="s">
        <v>80</v>
      </c>
      <c r="U12" s="12" t="s">
        <v>207</v>
      </c>
    </row>
    <row r="13" spans="1:21" x14ac:dyDescent="0.25">
      <c r="A13" t="s">
        <v>81</v>
      </c>
      <c r="B13" s="3">
        <f>LN(B6)</f>
        <v>3.4339872044851463</v>
      </c>
      <c r="C13" s="5">
        <f>LN(C6)</f>
        <v>4.0430512678345503</v>
      </c>
      <c r="D13">
        <f>SUM(B13:C13)</f>
        <v>7.4770384723196965</v>
      </c>
      <c r="F13" s="38"/>
      <c r="G13" s="38"/>
      <c r="H13" s="38"/>
      <c r="I13" s="38"/>
      <c r="J13" s="7"/>
      <c r="K13" s="7"/>
      <c r="M13" s="12"/>
      <c r="N13" s="7"/>
      <c r="P13" s="7"/>
      <c r="R13" t="s">
        <v>81</v>
      </c>
      <c r="S13" s="3">
        <f>LN(S6)</f>
        <v>3.4339872044851463</v>
      </c>
      <c r="T13" s="5">
        <f>LN(T6)</f>
        <v>4.0430512678345503</v>
      </c>
      <c r="U13">
        <f>AVERAGE(S13:T13)</f>
        <v>3.7385192361598483</v>
      </c>
    </row>
    <row r="14" spans="1:21" x14ac:dyDescent="0.25">
      <c r="A14" t="s">
        <v>82</v>
      </c>
      <c r="B14" s="9">
        <f>LN(B7)</f>
        <v>2.3978952727983707</v>
      </c>
      <c r="C14" s="11">
        <f>LN(C7)</f>
        <v>3.9318256327243257</v>
      </c>
      <c r="D14">
        <f>SUM(B14:C14)</f>
        <v>6.3297209055226968</v>
      </c>
      <c r="F14" s="38"/>
      <c r="G14" s="38"/>
      <c r="H14" s="38"/>
      <c r="I14" s="38"/>
      <c r="J14" s="7"/>
      <c r="K14" s="7"/>
      <c r="M14" s="12"/>
      <c r="N14" s="7"/>
      <c r="P14" s="7"/>
      <c r="R14" t="s">
        <v>82</v>
      </c>
      <c r="S14" s="9">
        <f>LN(S7)</f>
        <v>2.3978952727983707</v>
      </c>
      <c r="T14" s="11">
        <f>LN(T7)</f>
        <v>3.9318256327243257</v>
      </c>
      <c r="U14">
        <f>AVERAGE(S14:T14)</f>
        <v>3.1648604527613484</v>
      </c>
    </row>
    <row r="15" spans="1:21" x14ac:dyDescent="0.25">
      <c r="A15" t="s">
        <v>1</v>
      </c>
      <c r="B15">
        <f>SUM(B13:B14)</f>
        <v>5.8318824772835169</v>
      </c>
      <c r="C15">
        <f>SUM(C13:C14)</f>
        <v>7.9748769005588755</v>
      </c>
      <c r="D15">
        <f>SUM(D13:D14)</f>
        <v>13.806759377842393</v>
      </c>
      <c r="F15" s="38"/>
      <c r="G15" s="38"/>
      <c r="H15" s="38"/>
      <c r="I15" s="38"/>
      <c r="J15" s="7"/>
      <c r="K15" s="7"/>
      <c r="M15" s="12"/>
      <c r="N15" s="7"/>
      <c r="P15" s="7"/>
      <c r="R15" t="s">
        <v>207</v>
      </c>
      <c r="S15">
        <f>AVERAGE(S13:S14)</f>
        <v>2.9159412386417585</v>
      </c>
      <c r="T15">
        <f>AVERAGE(T13:T14)</f>
        <v>3.9874384502794378</v>
      </c>
      <c r="U15">
        <f>AVERAGE(S13:T14)</f>
        <v>3.4516898444605983</v>
      </c>
    </row>
    <row r="16" spans="1:21" x14ac:dyDescent="0.25">
      <c r="G16" s="38"/>
      <c r="H16" s="38"/>
      <c r="I16" s="38"/>
    </row>
    <row r="17" spans="1:19" x14ac:dyDescent="0.25">
      <c r="A17" t="s">
        <v>330</v>
      </c>
      <c r="F17" s="12"/>
    </row>
    <row r="19" spans="1:19" x14ac:dyDescent="0.25">
      <c r="B19" s="12" t="s">
        <v>79</v>
      </c>
      <c r="C19" s="12" t="s">
        <v>80</v>
      </c>
      <c r="D19" s="12" t="s">
        <v>1</v>
      </c>
      <c r="F19" s="68" t="s">
        <v>167</v>
      </c>
      <c r="G19" s="68" t="s">
        <v>172</v>
      </c>
      <c r="H19" s="68" t="s">
        <v>173</v>
      </c>
      <c r="I19" s="68" t="s">
        <v>199</v>
      </c>
      <c r="J19" s="68" t="s">
        <v>200</v>
      </c>
      <c r="K19" s="68" t="s">
        <v>137</v>
      </c>
    </row>
    <row r="20" spans="1:19" x14ac:dyDescent="0.25">
      <c r="A20" t="s">
        <v>81</v>
      </c>
      <c r="B20" s="66">
        <f>B8*D6/D8</f>
        <v>24.64</v>
      </c>
      <c r="C20" s="67">
        <f>C8*D6/D8</f>
        <v>63.36</v>
      </c>
      <c r="D20">
        <f>B20+C20</f>
        <v>88</v>
      </c>
      <c r="F20" s="118">
        <v>1</v>
      </c>
      <c r="G20" s="118">
        <v>1</v>
      </c>
      <c r="H20" s="118">
        <v>1</v>
      </c>
      <c r="I20" s="118">
        <f>G20*H20</f>
        <v>1</v>
      </c>
      <c r="J20">
        <f>B20</f>
        <v>24.64</v>
      </c>
      <c r="K20">
        <f>LN(J20)</f>
        <v>3.2043711386653189</v>
      </c>
      <c r="M20" s="12" t="s">
        <v>142</v>
      </c>
      <c r="N20" s="69">
        <f>K24/4</f>
        <v>3.5015007283691872</v>
      </c>
      <c r="P20" s="69">
        <f>EXP(N20)</f>
        <v>33.16518656663942</v>
      </c>
    </row>
    <row r="21" spans="1:19" x14ac:dyDescent="0.25">
      <c r="A21" t="s">
        <v>82</v>
      </c>
      <c r="B21" s="9">
        <f>B8*D7/D8</f>
        <v>17.36</v>
      </c>
      <c r="C21" s="11">
        <f>C8*D7/D8</f>
        <v>44.64</v>
      </c>
      <c r="D21">
        <f>SUM(B21:C21)</f>
        <v>62</v>
      </c>
      <c r="F21" s="118">
        <f>F20+1</f>
        <v>2</v>
      </c>
      <c r="G21" s="118">
        <v>1</v>
      </c>
      <c r="H21" s="118">
        <v>-1</v>
      </c>
      <c r="I21" s="118">
        <f>G21*H21</f>
        <v>-1</v>
      </c>
      <c r="J21">
        <f>B21</f>
        <v>17.36</v>
      </c>
      <c r="K21">
        <f>LN(J21)</f>
        <v>2.8541687092322041</v>
      </c>
      <c r="M21" s="12" t="s">
        <v>140</v>
      </c>
      <c r="N21" s="58">
        <f>(K20+K21)/2-N20</f>
        <v>-0.47223080442042598</v>
      </c>
      <c r="P21" s="58">
        <f>EXP(N21)</f>
        <v>0.62360956446232341</v>
      </c>
    </row>
    <row r="22" spans="1:19" x14ac:dyDescent="0.25">
      <c r="A22" t="s">
        <v>1</v>
      </c>
      <c r="B22">
        <f>SUM(B20:B21)</f>
        <v>42</v>
      </c>
      <c r="C22">
        <f>SUM(C20:C21)</f>
        <v>108</v>
      </c>
      <c r="D22">
        <f>SUM(D20:D21)</f>
        <v>150</v>
      </c>
      <c r="F22" s="118">
        <f>F21+1</f>
        <v>3</v>
      </c>
      <c r="G22" s="118">
        <v>-1</v>
      </c>
      <c r="H22" s="118">
        <v>1</v>
      </c>
      <c r="I22" s="118">
        <f>G22*H22</f>
        <v>-1</v>
      </c>
      <c r="J22">
        <f>C20</f>
        <v>63.36</v>
      </c>
      <c r="K22">
        <f>LN(J22)</f>
        <v>4.1488327475061704</v>
      </c>
      <c r="M22" s="12" t="s">
        <v>141</v>
      </c>
      <c r="N22" s="58">
        <f>(K20+K22)/2-N20</f>
        <v>0.17510121471655715</v>
      </c>
      <c r="P22" s="58">
        <f>EXP(N22)</f>
        <v>1.1913667943625408</v>
      </c>
    </row>
    <row r="23" spans="1:19" x14ac:dyDescent="0.25">
      <c r="F23" s="119">
        <f>F22+1</f>
        <v>4</v>
      </c>
      <c r="G23" s="119">
        <v>-1</v>
      </c>
      <c r="H23" s="119">
        <v>-1</v>
      </c>
      <c r="I23" s="119">
        <f>G23*H23</f>
        <v>1</v>
      </c>
      <c r="J23" s="10">
        <f>C21</f>
        <v>44.64</v>
      </c>
      <c r="K23" s="10">
        <f>LN(J23)</f>
        <v>3.7986303180730556</v>
      </c>
      <c r="M23" s="12" t="s">
        <v>144</v>
      </c>
      <c r="N23" s="54">
        <f>(K20+K23)/2-N20</f>
        <v>0</v>
      </c>
      <c r="P23" s="54">
        <f>EXP(N23)</f>
        <v>1</v>
      </c>
    </row>
    <row r="24" spans="1:19" x14ac:dyDescent="0.25">
      <c r="F24" s="118"/>
      <c r="G24" s="118"/>
      <c r="H24" s="118"/>
      <c r="I24" s="118"/>
      <c r="K24" s="25">
        <f>SUM(K20:K23)</f>
        <v>14.006002913476749</v>
      </c>
    </row>
    <row r="25" spans="1:19" x14ac:dyDescent="0.25">
      <c r="F25" s="118"/>
      <c r="G25" s="118"/>
      <c r="H25" s="118"/>
      <c r="I25" s="118"/>
      <c r="K25" s="25"/>
    </row>
    <row r="26" spans="1:19" x14ac:dyDescent="0.25">
      <c r="F26" s="39" t="s">
        <v>333</v>
      </c>
      <c r="G26" s="118"/>
      <c r="H26" s="118"/>
      <c r="I26" s="118"/>
      <c r="K26" s="25"/>
    </row>
    <row r="28" spans="1:19" x14ac:dyDescent="0.25">
      <c r="H28" s="774" t="s">
        <v>132</v>
      </c>
      <c r="I28" s="775"/>
      <c r="J28" s="776"/>
      <c r="K28" s="774" t="s">
        <v>222</v>
      </c>
      <c r="L28" s="775"/>
      <c r="M28" s="776"/>
      <c r="N28" s="774" t="s">
        <v>133</v>
      </c>
      <c r="O28" s="776"/>
      <c r="R28" s="47" t="s">
        <v>73</v>
      </c>
      <c r="S28" s="102">
        <f>P34</f>
        <v>5.7250138911498212</v>
      </c>
    </row>
    <row r="29" spans="1:19" x14ac:dyDescent="0.25">
      <c r="F29" s="95" t="s">
        <v>230</v>
      </c>
      <c r="G29" s="108" t="s">
        <v>229</v>
      </c>
      <c r="H29" s="84" t="s">
        <v>220</v>
      </c>
      <c r="I29" s="85" t="s">
        <v>219</v>
      </c>
      <c r="J29" s="86" t="s">
        <v>137</v>
      </c>
      <c r="K29" s="84" t="s">
        <v>221</v>
      </c>
      <c r="L29" s="85" t="s">
        <v>219</v>
      </c>
      <c r="M29" s="86" t="s">
        <v>212</v>
      </c>
      <c r="N29" s="105" t="s">
        <v>133</v>
      </c>
      <c r="O29" s="106" t="s">
        <v>231</v>
      </c>
      <c r="P29" s="90" t="s">
        <v>73</v>
      </c>
      <c r="R29" t="s">
        <v>41</v>
      </c>
      <c r="S29" s="58">
        <f>(COUNTA(A20:A21)-1)*(COUNTA(B19:C19)-1)</f>
        <v>1</v>
      </c>
    </row>
    <row r="30" spans="1:19" x14ac:dyDescent="0.25">
      <c r="F30" s="101" t="s">
        <v>81</v>
      </c>
      <c r="G30" s="102" t="s">
        <v>79</v>
      </c>
      <c r="H30" s="101">
        <f>J6</f>
        <v>31</v>
      </c>
      <c r="I30" s="104">
        <f>H30/$H$34</f>
        <v>0.20666666666666667</v>
      </c>
      <c r="J30" s="103">
        <f>LN(H30)</f>
        <v>3.4339872044851463</v>
      </c>
      <c r="K30" s="101">
        <f>J20</f>
        <v>24.64</v>
      </c>
      <c r="L30" s="104">
        <f>K30/$H$34</f>
        <v>0.16426666666666667</v>
      </c>
      <c r="M30" s="103">
        <f>LN(K30)</f>
        <v>3.2043711386653189</v>
      </c>
      <c r="N30" s="101">
        <f>H30-K30</f>
        <v>6.3599999999999994</v>
      </c>
      <c r="O30" s="103">
        <f>N30/SQRT(K30)</f>
        <v>1.2812585128003544</v>
      </c>
      <c r="P30" s="58">
        <f>2*H30*(J30-M30)</f>
        <v>14.236196080829298</v>
      </c>
      <c r="R30" s="24" t="s">
        <v>32</v>
      </c>
      <c r="S30" s="58">
        <v>0.05</v>
      </c>
    </row>
    <row r="31" spans="1:19" x14ac:dyDescent="0.25">
      <c r="F31" s="6" t="s">
        <v>82</v>
      </c>
      <c r="G31" s="58" t="s">
        <v>79</v>
      </c>
      <c r="H31" s="6">
        <f>J7</f>
        <v>11</v>
      </c>
      <c r="I31" s="87">
        <f>H31/$H$34</f>
        <v>7.3333333333333334E-2</v>
      </c>
      <c r="J31" s="8">
        <f>LN(H31)</f>
        <v>2.3978952727983707</v>
      </c>
      <c r="K31" s="6">
        <f>J21</f>
        <v>17.36</v>
      </c>
      <c r="L31" s="87">
        <f>K31/$H$34</f>
        <v>0.11573333333333333</v>
      </c>
      <c r="M31" s="8">
        <f>LN(K31)</f>
        <v>2.8541687092322041</v>
      </c>
      <c r="N31" s="6">
        <f>H31-K31</f>
        <v>-6.3599999999999994</v>
      </c>
      <c r="O31" s="8">
        <f>N31/SQRT(K31)</f>
        <v>-1.5264488471446753</v>
      </c>
      <c r="P31" s="58">
        <f>2*H31*(J31-M31)</f>
        <v>-10.038015601544336</v>
      </c>
      <c r="R31" s="47" t="s">
        <v>74</v>
      </c>
      <c r="S31" s="58">
        <f>CHIINV(S30,S29)</f>
        <v>3.8414588206941236</v>
      </c>
    </row>
    <row r="32" spans="1:19" x14ac:dyDescent="0.25">
      <c r="F32" s="6" t="s">
        <v>81</v>
      </c>
      <c r="G32" s="58" t="s">
        <v>80</v>
      </c>
      <c r="H32" s="6">
        <f>J8</f>
        <v>57</v>
      </c>
      <c r="I32" s="87">
        <f>H32/$H$34</f>
        <v>0.38</v>
      </c>
      <c r="J32" s="8">
        <f>LN(H32)</f>
        <v>4.0430512678345503</v>
      </c>
      <c r="K32" s="6">
        <f>J22</f>
        <v>63.36</v>
      </c>
      <c r="L32" s="87">
        <f>K32/$H$34</f>
        <v>0.4224</v>
      </c>
      <c r="M32" s="8">
        <f>LN(K32)</f>
        <v>4.1488327475061704</v>
      </c>
      <c r="N32" s="6">
        <f>H32-K32</f>
        <v>-6.3599999999999994</v>
      </c>
      <c r="O32" s="8">
        <f>N32/SQRT(K32)</f>
        <v>-0.79900506313107356</v>
      </c>
      <c r="P32" s="58">
        <f>2*H32*(J32-M32)</f>
        <v>-12.059088682564692</v>
      </c>
      <c r="R32" s="75" t="s">
        <v>48</v>
      </c>
      <c r="S32" s="58">
        <f>CHIDIST(S28,S29)</f>
        <v>1.6724904294501547E-2</v>
      </c>
    </row>
    <row r="33" spans="6:19" x14ac:dyDescent="0.25">
      <c r="F33" s="9" t="s">
        <v>82</v>
      </c>
      <c r="G33" s="54" t="s">
        <v>80</v>
      </c>
      <c r="H33" s="9">
        <f>J9</f>
        <v>51</v>
      </c>
      <c r="I33" s="88">
        <f>H33/$H$34</f>
        <v>0.34</v>
      </c>
      <c r="J33" s="11">
        <f>LN(H33)</f>
        <v>3.9318256327243257</v>
      </c>
      <c r="K33" s="9">
        <f>J23</f>
        <v>44.64</v>
      </c>
      <c r="L33" s="88">
        <f>K33/$H$34</f>
        <v>0.29760000000000003</v>
      </c>
      <c r="M33" s="11">
        <f>LN(K33)</f>
        <v>3.7986303180730556</v>
      </c>
      <c r="N33" s="9">
        <f>H33-K33</f>
        <v>6.3599999999999994</v>
      </c>
      <c r="O33" s="11">
        <f>N33/SQRT(K33)</f>
        <v>0.9519081007419069</v>
      </c>
      <c r="P33" s="54">
        <f>2*H33*(J33-M33)</f>
        <v>13.58592209442955</v>
      </c>
      <c r="R33" s="75" t="s">
        <v>164</v>
      </c>
      <c r="S33" s="53" t="str">
        <f>IF(S32&lt;S30,"yes","no")</f>
        <v>yes</v>
      </c>
    </row>
    <row r="34" spans="6:19" x14ac:dyDescent="0.25">
      <c r="G34" s="100"/>
      <c r="H34" s="25">
        <f>SUM(H30:H33)</f>
        <v>150</v>
      </c>
      <c r="I34" s="97"/>
      <c r="J34" s="107"/>
      <c r="O34" s="7"/>
      <c r="P34" s="107">
        <f>SUM(P30:P33)</f>
        <v>5.7250138911498212</v>
      </c>
    </row>
    <row r="36" spans="6:19" x14ac:dyDescent="0.25">
      <c r="H36" s="7"/>
      <c r="I36" s="7"/>
      <c r="K36" s="7"/>
      <c r="L36" s="109"/>
    </row>
    <row r="37" spans="6:19" x14ac:dyDescent="0.25">
      <c r="H37" s="7"/>
      <c r="I37" s="7"/>
    </row>
  </sheetData>
  <mergeCells count="3">
    <mergeCell ref="H28:J28"/>
    <mergeCell ref="K28:M28"/>
    <mergeCell ref="N28:O28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P24"/>
  <sheetViews>
    <sheetView workbookViewId="0"/>
  </sheetViews>
  <sheetFormatPr defaultRowHeight="15" x14ac:dyDescent="0.25"/>
  <cols>
    <col min="1" max="1" width="11.140625" customWidth="1"/>
    <col min="5" max="5" width="6.28515625" customWidth="1"/>
    <col min="12" max="12" width="8.85546875" customWidth="1"/>
  </cols>
  <sheetData>
    <row r="1" spans="1:16" x14ac:dyDescent="0.25">
      <c r="A1" s="1" t="s">
        <v>233</v>
      </c>
    </row>
    <row r="3" spans="1:16" x14ac:dyDescent="0.25">
      <c r="A3" t="s">
        <v>331</v>
      </c>
    </row>
    <row r="5" spans="1:16" x14ac:dyDescent="0.25">
      <c r="B5" s="12" t="s">
        <v>79</v>
      </c>
      <c r="C5" s="12" t="s">
        <v>80</v>
      </c>
      <c r="D5" s="12" t="s">
        <v>1</v>
      </c>
      <c r="F5" s="68" t="s">
        <v>167</v>
      </c>
      <c r="G5" s="68" t="s">
        <v>172</v>
      </c>
      <c r="H5" s="68" t="s">
        <v>173</v>
      </c>
      <c r="I5" s="68" t="s">
        <v>199</v>
      </c>
      <c r="J5" s="68" t="s">
        <v>200</v>
      </c>
      <c r="K5" s="68" t="s">
        <v>137</v>
      </c>
    </row>
    <row r="6" spans="1:16" x14ac:dyDescent="0.25">
      <c r="A6" t="s">
        <v>81</v>
      </c>
      <c r="B6" s="3">
        <v>31</v>
      </c>
      <c r="C6" s="5">
        <v>57</v>
      </c>
      <c r="D6">
        <f>SUM(B6:C6)</f>
        <v>88</v>
      </c>
      <c r="F6" s="64">
        <v>1</v>
      </c>
      <c r="G6" s="64">
        <v>0</v>
      </c>
      <c r="H6" s="64">
        <v>1</v>
      </c>
      <c r="I6" s="64">
        <f>G6*H6</f>
        <v>0</v>
      </c>
      <c r="J6">
        <f>B6</f>
        <v>31</v>
      </c>
      <c r="K6">
        <f>LN(J6)</f>
        <v>3.4339872044851463</v>
      </c>
      <c r="M6" s="12" t="s">
        <v>142</v>
      </c>
      <c r="N6" s="69">
        <f>K7</f>
        <v>2.3978952727983707</v>
      </c>
      <c r="P6" s="69">
        <f>EXP(N6)</f>
        <v>11.000000000000002</v>
      </c>
    </row>
    <row r="7" spans="1:16" x14ac:dyDescent="0.25">
      <c r="A7" t="s">
        <v>82</v>
      </c>
      <c r="B7" s="9">
        <v>11</v>
      </c>
      <c r="C7" s="11">
        <v>51</v>
      </c>
      <c r="D7">
        <f>SUM(B7:C7)</f>
        <v>62</v>
      </c>
      <c r="F7" s="64">
        <f>F6+1</f>
        <v>2</v>
      </c>
      <c r="G7" s="64">
        <v>0</v>
      </c>
      <c r="H7" s="64">
        <v>0</v>
      </c>
      <c r="I7" s="64">
        <f>G7*H7</f>
        <v>0</v>
      </c>
      <c r="J7">
        <f>B7</f>
        <v>11</v>
      </c>
      <c r="K7">
        <f>LN(J7)</f>
        <v>2.3978952727983707</v>
      </c>
      <c r="M7" s="12" t="s">
        <v>140</v>
      </c>
      <c r="N7" s="58">
        <f>K9-N6</f>
        <v>1.5339303599259551</v>
      </c>
      <c r="P7" s="58">
        <f>EXP(N7)</f>
        <v>4.6363636363636358</v>
      </c>
    </row>
    <row r="8" spans="1:16" x14ac:dyDescent="0.25">
      <c r="A8" t="s">
        <v>1</v>
      </c>
      <c r="B8">
        <f>SUM(B6:B7)</f>
        <v>42</v>
      </c>
      <c r="C8">
        <f>SUM(C6:C7)</f>
        <v>108</v>
      </c>
      <c r="D8">
        <f>SUM(D6:D7)</f>
        <v>150</v>
      </c>
      <c r="F8" s="64">
        <f>F7+1</f>
        <v>3</v>
      </c>
      <c r="G8" s="64">
        <v>1</v>
      </c>
      <c r="H8" s="64">
        <v>1</v>
      </c>
      <c r="I8" s="64">
        <f>G8*H8</f>
        <v>1</v>
      </c>
      <c r="J8">
        <f>C6</f>
        <v>57</v>
      </c>
      <c r="K8">
        <f>LN(J8)</f>
        <v>4.0430512678345503</v>
      </c>
      <c r="M8" s="12" t="s">
        <v>141</v>
      </c>
      <c r="N8" s="58">
        <f>K6-N6</f>
        <v>1.0360919316867756</v>
      </c>
      <c r="P8" s="58">
        <f>EXP(N8)</f>
        <v>2.8181818181818179</v>
      </c>
    </row>
    <row r="9" spans="1:16" x14ac:dyDescent="0.25">
      <c r="F9" s="65">
        <f>F8+1</f>
        <v>4</v>
      </c>
      <c r="G9" s="65">
        <v>1</v>
      </c>
      <c r="H9" s="65">
        <v>0</v>
      </c>
      <c r="I9" s="65">
        <f>G9*H9</f>
        <v>0</v>
      </c>
      <c r="J9" s="10">
        <f>C7</f>
        <v>51</v>
      </c>
      <c r="K9" s="10">
        <f>LN(J9)</f>
        <v>3.9318256327243257</v>
      </c>
      <c r="M9" s="12" t="s">
        <v>144</v>
      </c>
      <c r="N9" s="54">
        <f>K8-N6-N7-N8</f>
        <v>-0.92486629657655106</v>
      </c>
      <c r="P9" s="54">
        <f>EXP(N9)</f>
        <v>0.39658444022770412</v>
      </c>
    </row>
    <row r="11" spans="1:16" x14ac:dyDescent="0.25">
      <c r="A11" t="s">
        <v>330</v>
      </c>
      <c r="F11" s="12"/>
    </row>
    <row r="13" spans="1:16" x14ac:dyDescent="0.25">
      <c r="B13" s="12" t="s">
        <v>79</v>
      </c>
      <c r="C13" s="12" t="s">
        <v>80</v>
      </c>
      <c r="D13" s="12" t="s">
        <v>1</v>
      </c>
      <c r="F13" s="68" t="s">
        <v>167</v>
      </c>
      <c r="G13" s="68" t="s">
        <v>172</v>
      </c>
      <c r="H13" s="68" t="s">
        <v>173</v>
      </c>
      <c r="I13" s="68" t="s">
        <v>199</v>
      </c>
      <c r="J13" s="68" t="s">
        <v>200</v>
      </c>
      <c r="K13" s="68" t="s">
        <v>137</v>
      </c>
    </row>
    <row r="14" spans="1:16" x14ac:dyDescent="0.25">
      <c r="A14" t="s">
        <v>81</v>
      </c>
      <c r="B14" s="66">
        <f>B8*D6/D8</f>
        <v>24.64</v>
      </c>
      <c r="C14" s="67">
        <f>C8*D6/D8</f>
        <v>63.36</v>
      </c>
      <c r="D14">
        <f>B14+C14</f>
        <v>88</v>
      </c>
      <c r="F14" s="64">
        <v>1</v>
      </c>
      <c r="G14" s="64">
        <v>0</v>
      </c>
      <c r="H14" s="64">
        <v>1</v>
      </c>
      <c r="I14" s="64">
        <f>G14*H14</f>
        <v>0</v>
      </c>
      <c r="J14">
        <f>B14</f>
        <v>24.64</v>
      </c>
      <c r="K14">
        <f>LN(J14)</f>
        <v>3.2043711386653189</v>
      </c>
      <c r="M14" s="12" t="s">
        <v>142</v>
      </c>
      <c r="N14" s="69">
        <f>K15</f>
        <v>2.8541687092322041</v>
      </c>
      <c r="P14" s="69">
        <f>EXP(N14)</f>
        <v>17.36</v>
      </c>
    </row>
    <row r="15" spans="1:16" x14ac:dyDescent="0.25">
      <c r="A15" t="s">
        <v>82</v>
      </c>
      <c r="B15" s="9">
        <f>B8*D7/D8</f>
        <v>17.36</v>
      </c>
      <c r="C15" s="11">
        <f>C8*D7/D8</f>
        <v>44.64</v>
      </c>
      <c r="D15">
        <f>SUM(B15:C15)</f>
        <v>62</v>
      </c>
      <c r="F15" s="64">
        <f>F14+1</f>
        <v>2</v>
      </c>
      <c r="G15" s="64">
        <v>0</v>
      </c>
      <c r="H15" s="64">
        <v>0</v>
      </c>
      <c r="I15" s="64">
        <f>G15*H15</f>
        <v>0</v>
      </c>
      <c r="J15">
        <f>B15</f>
        <v>17.36</v>
      </c>
      <c r="K15">
        <f>LN(J15)</f>
        <v>2.8541687092322041</v>
      </c>
      <c r="M15" s="12" t="s">
        <v>140</v>
      </c>
      <c r="N15" s="58">
        <f>K17-N14</f>
        <v>0.94446160884085151</v>
      </c>
      <c r="P15" s="58">
        <f>EXP(N15)</f>
        <v>2.5714285714285716</v>
      </c>
    </row>
    <row r="16" spans="1:16" x14ac:dyDescent="0.25">
      <c r="A16" t="s">
        <v>1</v>
      </c>
      <c r="B16">
        <f>SUM(B14:B15)</f>
        <v>42</v>
      </c>
      <c r="C16">
        <f>SUM(C14:C15)</f>
        <v>108</v>
      </c>
      <c r="D16">
        <f>SUM(D14:D15)</f>
        <v>150</v>
      </c>
      <c r="F16" s="64">
        <f>F15+1</f>
        <v>3</v>
      </c>
      <c r="G16" s="64">
        <v>1</v>
      </c>
      <c r="H16" s="64">
        <v>1</v>
      </c>
      <c r="I16" s="64">
        <f>G16*H16</f>
        <v>1</v>
      </c>
      <c r="J16">
        <f>C14</f>
        <v>63.36</v>
      </c>
      <c r="K16">
        <f>LN(J16)</f>
        <v>4.1488327475061704</v>
      </c>
      <c r="M16" s="12" t="s">
        <v>141</v>
      </c>
      <c r="N16" s="58">
        <f>K14-N14</f>
        <v>0.35020242943311475</v>
      </c>
      <c r="P16" s="58">
        <f>EXP(N16)</f>
        <v>1.4193548387096773</v>
      </c>
    </row>
    <row r="17" spans="6:16" x14ac:dyDescent="0.25">
      <c r="F17" s="65">
        <f>F16+1</f>
        <v>4</v>
      </c>
      <c r="G17" s="65">
        <v>1</v>
      </c>
      <c r="H17" s="65">
        <v>0</v>
      </c>
      <c r="I17" s="65">
        <f>G17*H17</f>
        <v>0</v>
      </c>
      <c r="J17" s="10">
        <f>C15</f>
        <v>44.64</v>
      </c>
      <c r="K17" s="10">
        <f>LN(J17)</f>
        <v>3.7986303180730556</v>
      </c>
      <c r="M17" s="12" t="s">
        <v>144</v>
      </c>
      <c r="N17" s="54">
        <f>K16-N14-N15-N16</f>
        <v>0</v>
      </c>
      <c r="P17" s="54">
        <f>EXP(N17)</f>
        <v>1</v>
      </c>
    </row>
    <row r="18" spans="6:16" x14ac:dyDescent="0.25">
      <c r="F18" s="64"/>
      <c r="G18" s="64"/>
      <c r="H18" s="64"/>
      <c r="I18" s="64"/>
    </row>
    <row r="19" spans="6:16" x14ac:dyDescent="0.25">
      <c r="F19" s="118"/>
      <c r="G19" s="118"/>
      <c r="H19" s="118"/>
      <c r="I19" s="118"/>
    </row>
    <row r="20" spans="6:16" x14ac:dyDescent="0.25">
      <c r="F20" s="118"/>
      <c r="G20" s="118"/>
      <c r="H20" s="118"/>
      <c r="I20" s="118"/>
    </row>
    <row r="21" spans="6:16" x14ac:dyDescent="0.25">
      <c r="F21" s="118"/>
      <c r="G21" s="118"/>
      <c r="H21" s="118"/>
      <c r="I21" s="118"/>
    </row>
    <row r="22" spans="6:16" x14ac:dyDescent="0.25">
      <c r="F22" s="118"/>
      <c r="G22" s="118"/>
      <c r="H22" s="118"/>
      <c r="I22" s="118"/>
    </row>
    <row r="23" spans="6:16" x14ac:dyDescent="0.25">
      <c r="F23" s="118"/>
      <c r="G23" s="118"/>
      <c r="H23" s="118"/>
      <c r="I23" s="118"/>
    </row>
    <row r="24" spans="6:16" x14ac:dyDescent="0.25">
      <c r="F24" s="118"/>
      <c r="G24" s="118"/>
      <c r="H24" s="118"/>
      <c r="I24" s="118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O22"/>
  <sheetViews>
    <sheetView workbookViewId="0"/>
  </sheetViews>
  <sheetFormatPr defaultRowHeight="15" x14ac:dyDescent="0.25"/>
  <cols>
    <col min="7" max="7" width="20.28515625" customWidth="1"/>
    <col min="8" max="8" width="12.7109375" customWidth="1"/>
    <col min="9" max="9" width="14.42578125" customWidth="1"/>
    <col min="12" max="13" width="12.140625" customWidth="1"/>
  </cols>
  <sheetData>
    <row r="1" spans="1:12" x14ac:dyDescent="0.25">
      <c r="A1" s="1" t="s">
        <v>234</v>
      </c>
    </row>
    <row r="3" spans="1:12" x14ac:dyDescent="0.25">
      <c r="A3" s="68" t="s">
        <v>172</v>
      </c>
      <c r="B3" s="68" t="s">
        <v>173</v>
      </c>
      <c r="C3" s="68" t="s">
        <v>199</v>
      </c>
      <c r="D3" s="68" t="s">
        <v>200</v>
      </c>
      <c r="E3" s="68" t="s">
        <v>137</v>
      </c>
      <c r="G3" t="s">
        <v>121</v>
      </c>
    </row>
    <row r="4" spans="1:12" ht="15.75" thickBot="1" x14ac:dyDescent="0.3">
      <c r="A4" s="91">
        <v>1</v>
      </c>
      <c r="B4" s="91">
        <v>1</v>
      </c>
      <c r="C4" s="91">
        <v>1</v>
      </c>
      <c r="D4">
        <v>24.64</v>
      </c>
      <c r="E4">
        <f>LN(D4)</f>
        <v>3.2043711386653189</v>
      </c>
    </row>
    <row r="5" spans="1:12" x14ac:dyDescent="0.25">
      <c r="A5" s="91">
        <v>1</v>
      </c>
      <c r="B5" s="91">
        <v>-1</v>
      </c>
      <c r="C5" s="91">
        <v>-1</v>
      </c>
      <c r="D5">
        <v>17.36</v>
      </c>
      <c r="E5">
        <f>LN(D5)</f>
        <v>2.8541687092322041</v>
      </c>
      <c r="G5" s="18" t="s">
        <v>122</v>
      </c>
      <c r="H5" s="18"/>
    </row>
    <row r="6" spans="1:12" x14ac:dyDescent="0.25">
      <c r="A6" s="91">
        <v>-1</v>
      </c>
      <c r="B6" s="91">
        <v>1</v>
      </c>
      <c r="C6" s="91">
        <v>-1</v>
      </c>
      <c r="D6">
        <v>63.36</v>
      </c>
      <c r="E6">
        <f>LN(D6)</f>
        <v>4.1488327475061704</v>
      </c>
      <c r="G6" s="16" t="s">
        <v>123</v>
      </c>
      <c r="H6" s="16">
        <v>1</v>
      </c>
    </row>
    <row r="7" spans="1:12" x14ac:dyDescent="0.25">
      <c r="A7" s="93">
        <v>-1</v>
      </c>
      <c r="B7" s="93">
        <v>-1</v>
      </c>
      <c r="C7" s="93">
        <v>1</v>
      </c>
      <c r="D7" s="10">
        <v>44.64</v>
      </c>
      <c r="E7" s="10">
        <f>LN(D7)</f>
        <v>3.7986303180730556</v>
      </c>
      <c r="G7" s="16" t="s">
        <v>120</v>
      </c>
      <c r="H7" s="16">
        <v>1</v>
      </c>
    </row>
    <row r="8" spans="1:12" x14ac:dyDescent="0.25">
      <c r="G8" s="16" t="s">
        <v>124</v>
      </c>
      <c r="H8" s="16">
        <v>65535</v>
      </c>
    </row>
    <row r="9" spans="1:12" x14ac:dyDescent="0.25">
      <c r="G9" s="16" t="s">
        <v>10</v>
      </c>
      <c r="H9" s="16">
        <v>0</v>
      </c>
    </row>
    <row r="10" spans="1:12" ht="15.75" thickBot="1" x14ac:dyDescent="0.3">
      <c r="G10" s="17" t="s">
        <v>55</v>
      </c>
      <c r="H10" s="17">
        <v>4</v>
      </c>
    </row>
    <row r="12" spans="1:12" ht="15.75" thickBot="1" x14ac:dyDescent="0.3">
      <c r="G12" t="s">
        <v>125</v>
      </c>
    </row>
    <row r="13" spans="1:12" x14ac:dyDescent="0.25">
      <c r="G13" s="92"/>
      <c r="H13" s="92" t="s">
        <v>41</v>
      </c>
      <c r="I13" s="92" t="s">
        <v>111</v>
      </c>
      <c r="J13" s="92" t="s">
        <v>115</v>
      </c>
      <c r="K13" s="92" t="s">
        <v>98</v>
      </c>
      <c r="L13" s="92" t="s">
        <v>128</v>
      </c>
    </row>
    <row r="14" spans="1:12" x14ac:dyDescent="0.25">
      <c r="G14" s="16" t="s">
        <v>113</v>
      </c>
      <c r="H14" s="16">
        <v>3</v>
      </c>
      <c r="I14" s="16">
        <v>1.0146494721551051</v>
      </c>
      <c r="J14" s="16">
        <v>0.3382164907183684</v>
      </c>
      <c r="K14" s="16" t="e">
        <v>#NUM!</v>
      </c>
      <c r="L14" s="16" t="e">
        <v>#NUM!</v>
      </c>
    </row>
    <row r="15" spans="1:12" x14ac:dyDescent="0.25">
      <c r="G15" s="16" t="s">
        <v>126</v>
      </c>
      <c r="H15" s="16">
        <v>0</v>
      </c>
      <c r="I15" s="16">
        <v>0</v>
      </c>
      <c r="J15" s="16">
        <v>65535</v>
      </c>
      <c r="K15" s="16"/>
      <c r="L15" s="16"/>
    </row>
    <row r="16" spans="1:12" ht="15.75" thickBot="1" x14ac:dyDescent="0.3">
      <c r="G16" s="17" t="s">
        <v>1</v>
      </c>
      <c r="H16" s="17">
        <v>3</v>
      </c>
      <c r="I16" s="17">
        <v>1.0146494721551051</v>
      </c>
      <c r="J16" s="17"/>
      <c r="K16" s="17"/>
      <c r="L16" s="17"/>
    </row>
    <row r="17" spans="7:15" ht="15.75" thickBot="1" x14ac:dyDescent="0.3"/>
    <row r="18" spans="7:15" x14ac:dyDescent="0.25">
      <c r="G18" s="92"/>
      <c r="H18" s="92" t="s">
        <v>129</v>
      </c>
      <c r="I18" s="92" t="s">
        <v>10</v>
      </c>
      <c r="J18" s="92" t="s">
        <v>57</v>
      </c>
      <c r="K18" s="92" t="s">
        <v>83</v>
      </c>
      <c r="L18" s="92" t="s">
        <v>130</v>
      </c>
      <c r="M18" s="92" t="s">
        <v>131</v>
      </c>
      <c r="N18" s="92" t="s">
        <v>145</v>
      </c>
      <c r="O18" s="92" t="s">
        <v>146</v>
      </c>
    </row>
    <row r="19" spans="7:15" x14ac:dyDescent="0.25">
      <c r="G19" s="16" t="s">
        <v>127</v>
      </c>
      <c r="H19" s="16">
        <v>3.5015007283691872</v>
      </c>
      <c r="I19" s="16">
        <v>0</v>
      </c>
      <c r="J19" s="16">
        <v>65535</v>
      </c>
      <c r="K19" s="16" t="e">
        <v>#NUM!</v>
      </c>
      <c r="L19" s="16">
        <v>3.5015007283691872</v>
      </c>
      <c r="M19" s="16">
        <v>3.5015007283691872</v>
      </c>
      <c r="N19" s="16">
        <v>3.5015007283691872</v>
      </c>
      <c r="O19" s="16">
        <v>3.5015007283691872</v>
      </c>
    </row>
    <row r="20" spans="7:15" x14ac:dyDescent="0.25">
      <c r="G20" s="16" t="s">
        <v>172</v>
      </c>
      <c r="H20" s="16">
        <v>-0.47223080442042575</v>
      </c>
      <c r="I20" s="16">
        <v>0</v>
      </c>
      <c r="J20" s="16">
        <v>65535</v>
      </c>
      <c r="K20" s="16" t="e">
        <v>#NUM!</v>
      </c>
      <c r="L20" s="16">
        <v>-0.47223080442042575</v>
      </c>
      <c r="M20" s="16">
        <v>-0.47223080442042575</v>
      </c>
      <c r="N20" s="16">
        <v>-0.47223080442042575</v>
      </c>
      <c r="O20" s="16">
        <v>-0.47223080442042575</v>
      </c>
    </row>
    <row r="21" spans="7:15" x14ac:dyDescent="0.25">
      <c r="G21" s="16" t="s">
        <v>173</v>
      </c>
      <c r="H21" s="16">
        <v>0.17510121471655743</v>
      </c>
      <c r="I21" s="16">
        <v>0</v>
      </c>
      <c r="J21" s="16">
        <v>65535</v>
      </c>
      <c r="K21" s="16" t="e">
        <v>#NUM!</v>
      </c>
      <c r="L21" s="16">
        <v>0.17510121471655743</v>
      </c>
      <c r="M21" s="16">
        <v>0.17510121471655743</v>
      </c>
      <c r="N21" s="16">
        <v>0.17510121471655743</v>
      </c>
      <c r="O21" s="16">
        <v>0.17510121471655743</v>
      </c>
    </row>
    <row r="22" spans="7:15" ht="15.75" thickBot="1" x14ac:dyDescent="0.3">
      <c r="G22" s="17" t="s">
        <v>199</v>
      </c>
      <c r="H22" s="17">
        <v>3.0830000307762447E-18</v>
      </c>
      <c r="I22" s="17">
        <v>0</v>
      </c>
      <c r="J22" s="17">
        <v>65535</v>
      </c>
      <c r="K22" s="17" t="e">
        <v>#NUM!</v>
      </c>
      <c r="L22" s="17">
        <v>3.0830000307762447E-18</v>
      </c>
      <c r="M22" s="17">
        <v>3.0830000307762447E-18</v>
      </c>
      <c r="N22" s="17">
        <v>3.0830000307762447E-18</v>
      </c>
      <c r="O22" s="17">
        <v>3.0830000307762447E-18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AP95"/>
  <sheetViews>
    <sheetView workbookViewId="0"/>
  </sheetViews>
  <sheetFormatPr defaultRowHeight="15" x14ac:dyDescent="0.25"/>
  <cols>
    <col min="1" max="1" width="10.140625" customWidth="1"/>
    <col min="3" max="3" width="10.140625" customWidth="1"/>
    <col min="5" max="5" width="8.85546875" customWidth="1"/>
    <col min="6" max="6" width="10.28515625" customWidth="1"/>
    <col min="9" max="9" width="9.42578125" customWidth="1"/>
    <col min="10" max="10" width="5.28515625" customWidth="1"/>
    <col min="11" max="11" width="10.140625" customWidth="1"/>
    <col min="14" max="14" width="9.140625" customWidth="1"/>
    <col min="17" max="17" width="10.28515625" customWidth="1"/>
    <col min="21" max="21" width="5.28515625" customWidth="1"/>
    <col min="22" max="22" width="14.28515625" customWidth="1"/>
    <col min="29" max="29" width="10.42578125" customWidth="1"/>
    <col min="34" max="34" width="10.140625" customWidth="1"/>
    <col min="39" max="39" width="10.28515625" customWidth="1"/>
  </cols>
  <sheetData>
    <row r="1" spans="1:42" x14ac:dyDescent="0.25">
      <c r="A1" s="1" t="s">
        <v>235</v>
      </c>
    </row>
    <row r="2" spans="1:42" x14ac:dyDescent="0.25">
      <c r="A2" s="1"/>
    </row>
    <row r="3" spans="1:42" s="1" customFormat="1" x14ac:dyDescent="0.25">
      <c r="A3" s="1" t="s">
        <v>236</v>
      </c>
      <c r="F3" s="78"/>
      <c r="G3" s="78"/>
      <c r="H3" s="78"/>
      <c r="I3" s="78"/>
      <c r="J3" s="79"/>
      <c r="K3" s="79"/>
      <c r="AC3" s="1" t="s">
        <v>242</v>
      </c>
      <c r="AD3"/>
      <c r="AE3"/>
      <c r="AF3"/>
      <c r="AG3"/>
      <c r="AH3" s="1" t="s">
        <v>245</v>
      </c>
      <c r="AI3"/>
      <c r="AJ3"/>
      <c r="AK3"/>
      <c r="AL3"/>
      <c r="AM3" s="1" t="s">
        <v>238</v>
      </c>
      <c r="AN3"/>
      <c r="AO3"/>
      <c r="AP3"/>
    </row>
    <row r="4" spans="1:42" x14ac:dyDescent="0.25">
      <c r="F4" s="38"/>
      <c r="G4" s="38"/>
      <c r="H4" s="38"/>
      <c r="I4" s="38"/>
      <c r="J4" s="7"/>
      <c r="K4" s="7"/>
    </row>
    <row r="5" spans="1:42" x14ac:dyDescent="0.25">
      <c r="A5" t="s">
        <v>198</v>
      </c>
      <c r="F5" t="s">
        <v>208</v>
      </c>
      <c r="G5" s="38"/>
      <c r="H5" s="38"/>
      <c r="I5" t="s">
        <v>209</v>
      </c>
      <c r="J5" s="7"/>
      <c r="K5" s="7"/>
      <c r="AD5" s="12" t="s">
        <v>79</v>
      </c>
      <c r="AE5" s="12" t="s">
        <v>80</v>
      </c>
      <c r="AF5" s="12" t="s">
        <v>1</v>
      </c>
      <c r="AI5" s="12" t="s">
        <v>79</v>
      </c>
      <c r="AJ5" s="12" t="s">
        <v>80</v>
      </c>
      <c r="AK5" s="12" t="s">
        <v>1</v>
      </c>
      <c r="AN5" s="12" t="s">
        <v>79</v>
      </c>
      <c r="AO5" s="12" t="s">
        <v>80</v>
      </c>
      <c r="AP5" s="12" t="s">
        <v>1</v>
      </c>
    </row>
    <row r="6" spans="1:42" x14ac:dyDescent="0.25">
      <c r="Q6" t="s">
        <v>78</v>
      </c>
      <c r="V6" t="s">
        <v>68</v>
      </c>
      <c r="AC6" t="s">
        <v>81</v>
      </c>
      <c r="AD6" s="3">
        <v>21</v>
      </c>
      <c r="AE6" s="5">
        <v>54</v>
      </c>
      <c r="AF6">
        <v>75</v>
      </c>
      <c r="AH6" t="s">
        <v>81</v>
      </c>
      <c r="AI6" s="3">
        <v>44</v>
      </c>
      <c r="AJ6" s="5">
        <v>44</v>
      </c>
      <c r="AK6">
        <v>88</v>
      </c>
      <c r="AM6" t="s">
        <v>81</v>
      </c>
      <c r="AN6" s="66">
        <v>37.5</v>
      </c>
      <c r="AO6" s="67">
        <v>37.5</v>
      </c>
      <c r="AP6">
        <v>75</v>
      </c>
    </row>
    <row r="7" spans="1:42" x14ac:dyDescent="0.25">
      <c r="B7" s="12" t="s">
        <v>79</v>
      </c>
      <c r="C7" s="12" t="s">
        <v>80</v>
      </c>
      <c r="D7" s="12" t="s">
        <v>1</v>
      </c>
      <c r="F7" s="68" t="s">
        <v>167</v>
      </c>
      <c r="G7" s="68" t="s">
        <v>172</v>
      </c>
      <c r="H7" s="68" t="s">
        <v>173</v>
      </c>
      <c r="I7" s="68" t="s">
        <v>199</v>
      </c>
      <c r="J7" s="68" t="s">
        <v>211</v>
      </c>
      <c r="K7" s="68" t="s">
        <v>212</v>
      </c>
      <c r="AC7" t="s">
        <v>82</v>
      </c>
      <c r="AD7" s="9">
        <v>21</v>
      </c>
      <c r="AE7" s="11">
        <v>54</v>
      </c>
      <c r="AF7">
        <v>75</v>
      </c>
      <c r="AH7" t="s">
        <v>82</v>
      </c>
      <c r="AI7" s="9">
        <v>31</v>
      </c>
      <c r="AJ7" s="11">
        <v>31</v>
      </c>
      <c r="AK7">
        <v>62</v>
      </c>
      <c r="AM7" t="s">
        <v>82</v>
      </c>
      <c r="AN7" s="9">
        <v>37.5</v>
      </c>
      <c r="AO7" s="11">
        <v>37.5</v>
      </c>
      <c r="AP7">
        <v>75</v>
      </c>
    </row>
    <row r="8" spans="1:42" ht="15.75" thickBot="1" x14ac:dyDescent="0.3">
      <c r="A8" t="s">
        <v>81</v>
      </c>
      <c r="B8" s="3">
        <v>31</v>
      </c>
      <c r="C8" s="5">
        <v>57</v>
      </c>
      <c r="D8">
        <f>SUM(B8:C8)</f>
        <v>88</v>
      </c>
      <c r="F8" s="64">
        <v>1</v>
      </c>
      <c r="G8" s="64">
        <v>1</v>
      </c>
      <c r="H8" s="64">
        <v>1</v>
      </c>
      <c r="I8" s="64">
        <f>G8*H8</f>
        <v>1</v>
      </c>
      <c r="J8">
        <f>B16</f>
        <v>24.64</v>
      </c>
      <c r="K8">
        <f>LN(J8)</f>
        <v>3.2043711386653189</v>
      </c>
      <c r="L8" s="12" t="s">
        <v>142</v>
      </c>
      <c r="M8" s="69">
        <f>AVERAGE(K8:K11)</f>
        <v>3.5015007283691872</v>
      </c>
      <c r="O8" s="69">
        <f>EXP(M8)</f>
        <v>33.16518656663942</v>
      </c>
      <c r="R8" t="str">
        <f>B7</f>
        <v>Therapy 1</v>
      </c>
      <c r="S8" t="str">
        <f>C7</f>
        <v>Therapy 2</v>
      </c>
      <c r="T8" t="s">
        <v>1</v>
      </c>
      <c r="V8" t="s">
        <v>43</v>
      </c>
      <c r="X8" t="s">
        <v>18</v>
      </c>
      <c r="Y8">
        <v>0.05</v>
      </c>
      <c r="AC8" t="s">
        <v>1</v>
      </c>
      <c r="AD8">
        <v>42</v>
      </c>
      <c r="AE8">
        <v>108</v>
      </c>
      <c r="AF8">
        <v>150</v>
      </c>
      <c r="AH8" t="s">
        <v>1</v>
      </c>
      <c r="AI8">
        <v>75</v>
      </c>
      <c r="AJ8">
        <v>75</v>
      </c>
      <c r="AK8">
        <v>150</v>
      </c>
      <c r="AM8" t="s">
        <v>1</v>
      </c>
      <c r="AN8">
        <v>75</v>
      </c>
      <c r="AO8">
        <v>75</v>
      </c>
      <c r="AP8">
        <v>150</v>
      </c>
    </row>
    <row r="9" spans="1:42" ht="15.75" thickTop="1" x14ac:dyDescent="0.25">
      <c r="A9" t="s">
        <v>82</v>
      </c>
      <c r="B9" s="9">
        <v>11</v>
      </c>
      <c r="C9" s="11">
        <v>51</v>
      </c>
      <c r="D9">
        <f>SUM(B9:C9)</f>
        <v>62</v>
      </c>
      <c r="F9" s="64">
        <f>F8+1</f>
        <v>2</v>
      </c>
      <c r="G9" s="64">
        <v>-1</v>
      </c>
      <c r="H9" s="64">
        <v>1</v>
      </c>
      <c r="I9" s="64">
        <f>G9*H9</f>
        <v>-1</v>
      </c>
      <c r="J9">
        <f>B17</f>
        <v>17.36</v>
      </c>
      <c r="K9">
        <f>LN(J9)</f>
        <v>2.8541687092322041</v>
      </c>
      <c r="L9" s="12" t="s">
        <v>140</v>
      </c>
      <c r="M9" s="58">
        <f>(K8+K10)/2-M8</f>
        <v>0.17510121471655715</v>
      </c>
      <c r="O9" s="58">
        <f>EXP(M9)</f>
        <v>1.1913667943625408</v>
      </c>
      <c r="Q9" t="str">
        <f>A8</f>
        <v>Cured</v>
      </c>
      <c r="R9" s="41">
        <f t="array" ref="R9:S10">MMULT(T9:T10,R11:S11)/T11</f>
        <v>24.64</v>
      </c>
      <c r="S9" s="42">
        <v>63.36</v>
      </c>
      <c r="T9">
        <f>SUM(A8:C8)</f>
        <v>88</v>
      </c>
      <c r="V9" s="26" t="s">
        <v>12</v>
      </c>
      <c r="W9" s="26" t="s">
        <v>99</v>
      </c>
      <c r="X9" s="26" t="s">
        <v>100</v>
      </c>
      <c r="Y9" s="26" t="s">
        <v>41</v>
      </c>
    </row>
    <row r="10" spans="1:42" x14ac:dyDescent="0.25">
      <c r="A10" t="s">
        <v>1</v>
      </c>
      <c r="B10">
        <f>SUM(B8:B9)</f>
        <v>42</v>
      </c>
      <c r="C10">
        <f>SUM(C8:C9)</f>
        <v>108</v>
      </c>
      <c r="D10">
        <f>SUM(D8:D9)</f>
        <v>150</v>
      </c>
      <c r="F10" s="64">
        <f>F9+1</f>
        <v>3</v>
      </c>
      <c r="G10" s="64">
        <v>1</v>
      </c>
      <c r="H10" s="64">
        <v>-1</v>
      </c>
      <c r="I10" s="64">
        <f>G10*H10</f>
        <v>-1</v>
      </c>
      <c r="J10">
        <f>C16</f>
        <v>63.36</v>
      </c>
      <c r="K10">
        <f>LN(J10)</f>
        <v>4.1488327475061704</v>
      </c>
      <c r="L10" s="12" t="s">
        <v>141</v>
      </c>
      <c r="M10" s="58">
        <f>(K8+K9)/2-M8</f>
        <v>-0.47223080442042598</v>
      </c>
      <c r="O10" s="58">
        <f>EXP(M10)</f>
        <v>0.62360956446232341</v>
      </c>
      <c r="Q10" t="str">
        <f>A9</f>
        <v>Not Cured</v>
      </c>
      <c r="R10" s="76">
        <v>17.36</v>
      </c>
      <c r="S10" s="77">
        <v>44.64</v>
      </c>
      <c r="T10">
        <f>SUM(A9:C9)</f>
        <v>62</v>
      </c>
      <c r="V10">
        <f>T11</f>
        <v>150</v>
      </c>
      <c r="W10">
        <f>COUNT(B8:B9)</f>
        <v>2</v>
      </c>
      <c r="X10">
        <f>COUNT(B8:C8)</f>
        <v>2</v>
      </c>
      <c r="Y10">
        <f>(W10-1)*(X10-1)</f>
        <v>1</v>
      </c>
      <c r="AC10" s="47" t="s">
        <v>73</v>
      </c>
      <c r="AD10" s="102" t="e">
        <f ca="1">CHI_MAX2($B$8:$C$9,AD6:AE7)</f>
        <v>#NAME?</v>
      </c>
      <c r="AH10" s="47" t="s">
        <v>73</v>
      </c>
      <c r="AI10" s="102" t="e">
        <f ca="1">CHI_MAX2($B$8:$C$9,AI6:AJ7)</f>
        <v>#NAME?</v>
      </c>
      <c r="AM10" s="47" t="s">
        <v>73</v>
      </c>
      <c r="AN10" s="102" t="e">
        <f ca="1">CHI_MAX2($B$8:$C$9,AN6:AO7)</f>
        <v>#NAME?</v>
      </c>
    </row>
    <row r="11" spans="1:42" x14ac:dyDescent="0.25">
      <c r="F11" s="65">
        <f>F10+1</f>
        <v>4</v>
      </c>
      <c r="G11" s="65">
        <v>-1</v>
      </c>
      <c r="H11" s="65">
        <v>-1</v>
      </c>
      <c r="I11" s="65">
        <f>G11*H11</f>
        <v>1</v>
      </c>
      <c r="J11" s="10">
        <f>C17</f>
        <v>44.64</v>
      </c>
      <c r="K11" s="10">
        <f>LN(J11)</f>
        <v>3.7986303180730556</v>
      </c>
      <c r="L11" s="12" t="s">
        <v>144</v>
      </c>
      <c r="M11" s="54">
        <f>(K8+K11)/2-M8</f>
        <v>0</v>
      </c>
      <c r="O11" s="54">
        <f>EXP(M11)</f>
        <v>1</v>
      </c>
      <c r="Q11" t="s">
        <v>1</v>
      </c>
      <c r="R11">
        <f>SUM(B7:B9)</f>
        <v>42</v>
      </c>
      <c r="S11">
        <f>SUM(C7:C9)</f>
        <v>108</v>
      </c>
      <c r="T11">
        <f>SUM(T9:T10)</f>
        <v>150</v>
      </c>
      <c r="AC11" s="7" t="s">
        <v>41</v>
      </c>
      <c r="AD11" s="58">
        <v>2</v>
      </c>
      <c r="AH11" s="7" t="s">
        <v>41</v>
      </c>
      <c r="AI11" s="58">
        <v>2</v>
      </c>
      <c r="AM11" s="7" t="s">
        <v>41</v>
      </c>
      <c r="AN11" s="58">
        <v>3</v>
      </c>
    </row>
    <row r="12" spans="1:42" ht="15.75" thickBot="1" x14ac:dyDescent="0.3">
      <c r="F12" s="64"/>
      <c r="G12" s="64"/>
      <c r="H12" s="64"/>
      <c r="I12" s="64"/>
      <c r="V12" t="s">
        <v>101</v>
      </c>
      <c r="AC12" s="116" t="s">
        <v>32</v>
      </c>
      <c r="AD12" s="58">
        <v>0.05</v>
      </c>
      <c r="AH12" s="7" t="s">
        <v>32</v>
      </c>
      <c r="AI12" s="58">
        <v>0.05</v>
      </c>
      <c r="AM12" s="7" t="s">
        <v>32</v>
      </c>
      <c r="AN12" s="58">
        <v>0.05</v>
      </c>
    </row>
    <row r="13" spans="1:42" ht="15.75" thickTop="1" x14ac:dyDescent="0.25">
      <c r="A13" t="s">
        <v>201</v>
      </c>
      <c r="F13" s="64"/>
      <c r="G13" s="64"/>
      <c r="H13" s="64"/>
      <c r="I13" s="64"/>
      <c r="V13" s="26" t="s">
        <v>47</v>
      </c>
      <c r="W13" s="26" t="s">
        <v>71</v>
      </c>
      <c r="X13" s="26" t="s">
        <v>48</v>
      </c>
      <c r="Y13" s="26" t="s">
        <v>75</v>
      </c>
      <c r="Z13" s="26" t="s">
        <v>50</v>
      </c>
      <c r="AA13" s="26" t="s">
        <v>103</v>
      </c>
      <c r="AC13" s="75" t="s">
        <v>48</v>
      </c>
      <c r="AD13" s="58" t="e">
        <f ca="1">CHIDIST(AD10,AD11)</f>
        <v>#NAME?</v>
      </c>
      <c r="AH13" s="75" t="s">
        <v>48</v>
      </c>
      <c r="AI13" s="58" t="e">
        <f ca="1">CHIDIST(AI10,AI11)</f>
        <v>#NAME?</v>
      </c>
      <c r="AM13" s="75" t="s">
        <v>48</v>
      </c>
      <c r="AN13" s="58" t="e">
        <f ca="1">CHIDIST(AN10,AN11)</f>
        <v>#NAME?</v>
      </c>
    </row>
    <row r="14" spans="1:42" x14ac:dyDescent="0.25">
      <c r="F14" s="91"/>
      <c r="G14" s="91"/>
      <c r="H14" s="91"/>
      <c r="I14" s="91"/>
      <c r="V14" t="s">
        <v>102</v>
      </c>
      <c r="W14" t="e">
        <f ca="1">CHI_STAT2(B8:C9,R9:S10)</f>
        <v>#NAME?</v>
      </c>
      <c r="X14" t="e">
        <f ca="1">CHIDIST(W14,Y10)</f>
        <v>#NAME?</v>
      </c>
      <c r="Y14">
        <f>CHIINV(Y8,Y10)</f>
        <v>3.8414588206941236</v>
      </c>
      <c r="Z14" t="e">
        <f ca="1">IF(Y14&lt;W14,"Yes","No")</f>
        <v>#NAME?</v>
      </c>
      <c r="AA14" t="e">
        <f ca="1">SQRT(W14/(V10*(MIN(W10,X10)-1)))</f>
        <v>#NAME?</v>
      </c>
      <c r="AC14" s="75" t="s">
        <v>164</v>
      </c>
      <c r="AD14" s="117" t="e">
        <f ca="1">IF(AD13&lt;AD12,"yes","no")</f>
        <v>#NAME?</v>
      </c>
      <c r="AH14" s="75" t="s">
        <v>164</v>
      </c>
      <c r="AI14" s="117" t="e">
        <f ca="1">IF(AI13&lt;AI12,"yes","no")</f>
        <v>#NAME?</v>
      </c>
      <c r="AM14" s="75" t="s">
        <v>164</v>
      </c>
      <c r="AN14" s="117" t="e">
        <f ca="1">IF(AN13&lt;AN12,"yes","no")</f>
        <v>#NAME?</v>
      </c>
    </row>
    <row r="15" spans="1:42" x14ac:dyDescent="0.25">
      <c r="B15" s="12" t="s">
        <v>79</v>
      </c>
      <c r="C15" s="12" t="s">
        <v>80</v>
      </c>
      <c r="D15" s="12" t="s">
        <v>1</v>
      </c>
      <c r="F15" s="91"/>
      <c r="G15" s="91"/>
      <c r="H15" s="91"/>
      <c r="I15" s="91"/>
      <c r="V15" t="s">
        <v>104</v>
      </c>
      <c r="W15" t="e">
        <f ca="1">CHI_MAX2(B8:C9,R9:S10)</f>
        <v>#NAME?</v>
      </c>
      <c r="X15" t="e">
        <f ca="1">CHIDIST(W15,Y10)</f>
        <v>#NAME?</v>
      </c>
      <c r="Y15">
        <f>CHIINV(Y8,Y10)</f>
        <v>3.8414588206941236</v>
      </c>
      <c r="Z15" t="e">
        <f ca="1">IF(Y15&lt;W15,"Yes","No")</f>
        <v>#NAME?</v>
      </c>
      <c r="AA15" t="e">
        <f ca="1">SQRT(W15/(V10*(MIN(W10,X10)-1)))</f>
        <v>#NAME?</v>
      </c>
    </row>
    <row r="16" spans="1:42" x14ac:dyDescent="0.25">
      <c r="A16" t="s">
        <v>205</v>
      </c>
      <c r="B16" s="66">
        <f>B10*D8/D10</f>
        <v>24.64</v>
      </c>
      <c r="C16" s="67">
        <f>C10*D8/D10</f>
        <v>63.36</v>
      </c>
      <c r="D16">
        <f>B16+C16</f>
        <v>88</v>
      </c>
      <c r="F16" s="91"/>
      <c r="G16" s="91"/>
      <c r="H16" s="91"/>
      <c r="I16" s="91"/>
    </row>
    <row r="17" spans="1:27" x14ac:dyDescent="0.25">
      <c r="A17" t="s">
        <v>206</v>
      </c>
      <c r="B17" s="9">
        <f>B10*D9/D10</f>
        <v>17.36</v>
      </c>
      <c r="C17" s="11">
        <f>C10*D9/D10</f>
        <v>44.64</v>
      </c>
      <c r="D17">
        <f>SUM(B17:C17)</f>
        <v>62</v>
      </c>
      <c r="F17" s="91"/>
      <c r="G17" s="91"/>
      <c r="H17" s="91"/>
      <c r="I17" s="91"/>
    </row>
    <row r="18" spans="1:27" x14ac:dyDescent="0.25">
      <c r="A18" t="s">
        <v>1</v>
      </c>
      <c r="B18">
        <f>SUM(B16:B17)</f>
        <v>42</v>
      </c>
      <c r="C18">
        <f>SUM(C16:C17)</f>
        <v>108</v>
      </c>
      <c r="D18">
        <f>SUM(D16:D17)</f>
        <v>150</v>
      </c>
      <c r="F18" s="91"/>
      <c r="G18" s="91"/>
      <c r="H18" s="91"/>
      <c r="I18" s="91"/>
    </row>
    <row r="19" spans="1:27" x14ac:dyDescent="0.25">
      <c r="F19" s="91"/>
      <c r="G19" s="91"/>
      <c r="H19" s="91"/>
      <c r="I19" s="91"/>
    </row>
    <row r="21" spans="1:27" x14ac:dyDescent="0.25">
      <c r="A21" s="1" t="s">
        <v>244</v>
      </c>
    </row>
    <row r="23" spans="1:27" x14ac:dyDescent="0.25">
      <c r="A23" t="s">
        <v>198</v>
      </c>
      <c r="F23" t="s">
        <v>208</v>
      </c>
      <c r="G23" s="38"/>
      <c r="H23" s="38"/>
      <c r="I23" t="s">
        <v>209</v>
      </c>
      <c r="J23" s="7"/>
      <c r="K23" s="7"/>
    </row>
    <row r="24" spans="1:27" x14ac:dyDescent="0.25">
      <c r="Q24" t="s">
        <v>78</v>
      </c>
      <c r="V24" t="s">
        <v>68</v>
      </c>
    </row>
    <row r="25" spans="1:27" x14ac:dyDescent="0.25">
      <c r="B25" s="12" t="s">
        <v>79</v>
      </c>
      <c r="C25" s="12" t="s">
        <v>80</v>
      </c>
      <c r="D25" s="12" t="s">
        <v>1</v>
      </c>
      <c r="F25" s="68" t="s">
        <v>167</v>
      </c>
      <c r="G25" s="68" t="s">
        <v>172</v>
      </c>
      <c r="H25" s="68" t="s">
        <v>173</v>
      </c>
      <c r="I25" s="68" t="s">
        <v>199</v>
      </c>
      <c r="J25" s="68" t="s">
        <v>211</v>
      </c>
      <c r="K25" s="68" t="s">
        <v>212</v>
      </c>
    </row>
    <row r="26" spans="1:27" ht="15.75" thickBot="1" x14ac:dyDescent="0.3">
      <c r="A26" t="s">
        <v>81</v>
      </c>
      <c r="B26" s="3">
        <v>31</v>
      </c>
      <c r="C26" s="5">
        <v>57</v>
      </c>
      <c r="D26">
        <f>SUM(B26:C26)</f>
        <v>88</v>
      </c>
      <c r="F26" s="64">
        <v>1</v>
      </c>
      <c r="G26" s="64">
        <v>1</v>
      </c>
      <c r="H26" s="64">
        <v>1</v>
      </c>
      <c r="I26" s="64">
        <f>G26*H26</f>
        <v>1</v>
      </c>
      <c r="J26">
        <f>B34</f>
        <v>21</v>
      </c>
      <c r="K26">
        <f>LN(J26)</f>
        <v>3.044522437723423</v>
      </c>
      <c r="L26" s="12" t="s">
        <v>142</v>
      </c>
      <c r="M26" s="69">
        <f>AVERAGE(K26:K29)</f>
        <v>3.516753242143849</v>
      </c>
      <c r="O26" s="69">
        <f>EXP(M26)</f>
        <v>33.674916480965486</v>
      </c>
      <c r="R26" t="str">
        <f>B25</f>
        <v>Therapy 1</v>
      </c>
      <c r="S26" t="str">
        <f>C25</f>
        <v>Therapy 2</v>
      </c>
      <c r="T26" t="s">
        <v>1</v>
      </c>
      <c r="V26" t="s">
        <v>43</v>
      </c>
      <c r="X26" t="s">
        <v>18</v>
      </c>
      <c r="Y26">
        <v>0.05</v>
      </c>
    </row>
    <row r="27" spans="1:27" ht="15.75" thickTop="1" x14ac:dyDescent="0.25">
      <c r="A27" t="s">
        <v>82</v>
      </c>
      <c r="B27" s="9">
        <v>11</v>
      </c>
      <c r="C27" s="11">
        <v>51</v>
      </c>
      <c r="D27">
        <f>SUM(B27:C27)</f>
        <v>62</v>
      </c>
      <c r="F27" s="64">
        <f>F26+1</f>
        <v>2</v>
      </c>
      <c r="G27" s="64">
        <v>-1</v>
      </c>
      <c r="H27" s="64">
        <v>1</v>
      </c>
      <c r="I27" s="64">
        <f>G27*H27</f>
        <v>-1</v>
      </c>
      <c r="J27">
        <f>B35</f>
        <v>21</v>
      </c>
      <c r="K27">
        <f>LN(J27)</f>
        <v>3.044522437723423</v>
      </c>
      <c r="L27" s="12" t="s">
        <v>140</v>
      </c>
      <c r="M27" s="58">
        <f>(K26+K28)/2-M26</f>
        <v>0</v>
      </c>
      <c r="O27" s="58">
        <f>EXP(M27)</f>
        <v>1</v>
      </c>
      <c r="Q27" t="str">
        <f>A26</f>
        <v>Cured</v>
      </c>
      <c r="R27" s="41">
        <f t="array" ref="R27:S28">B34:C35</f>
        <v>21</v>
      </c>
      <c r="S27" s="42">
        <v>54</v>
      </c>
      <c r="T27">
        <f>SUM(A26:C26)</f>
        <v>88</v>
      </c>
      <c r="V27" s="26" t="s">
        <v>12</v>
      </c>
      <c r="W27" s="26" t="s">
        <v>99</v>
      </c>
      <c r="X27" s="26" t="s">
        <v>100</v>
      </c>
      <c r="Y27" s="26" t="s">
        <v>41</v>
      </c>
    </row>
    <row r="28" spans="1:27" x14ac:dyDescent="0.25">
      <c r="A28" t="s">
        <v>1</v>
      </c>
      <c r="B28">
        <f>SUM(B26:B27)</f>
        <v>42</v>
      </c>
      <c r="C28">
        <f>SUM(C26:C27)</f>
        <v>108</v>
      </c>
      <c r="D28">
        <f>SUM(D26:D27)</f>
        <v>150</v>
      </c>
      <c r="F28" s="64">
        <f>F27+1</f>
        <v>3</v>
      </c>
      <c r="G28" s="64">
        <v>1</v>
      </c>
      <c r="H28" s="64">
        <v>-1</v>
      </c>
      <c r="I28" s="64">
        <f>G28*H28</f>
        <v>-1</v>
      </c>
      <c r="J28">
        <f>C34</f>
        <v>54</v>
      </c>
      <c r="K28">
        <f>LN(J28)</f>
        <v>3.9889840465642745</v>
      </c>
      <c r="L28" s="12" t="s">
        <v>141</v>
      </c>
      <c r="M28" s="58">
        <f>(K26+K27)/2-M26</f>
        <v>-0.47223080442042598</v>
      </c>
      <c r="O28" s="58">
        <f>EXP(M28)</f>
        <v>0.62360956446232341</v>
      </c>
      <c r="Q28" t="str">
        <f>A27</f>
        <v>Not Cured</v>
      </c>
      <c r="R28" s="76">
        <v>21</v>
      </c>
      <c r="S28" s="77">
        <v>54</v>
      </c>
      <c r="T28">
        <f>SUM(A27:C27)</f>
        <v>62</v>
      </c>
      <c r="V28">
        <f>T29</f>
        <v>150</v>
      </c>
      <c r="W28">
        <f>COUNT(B26:B27)</f>
        <v>2</v>
      </c>
      <c r="X28">
        <f>COUNT(B26:C26)</f>
        <v>2</v>
      </c>
      <c r="Y28">
        <f>2</f>
        <v>2</v>
      </c>
    </row>
    <row r="29" spans="1:27" x14ac:dyDescent="0.25">
      <c r="F29" s="65">
        <f>F28+1</f>
        <v>4</v>
      </c>
      <c r="G29" s="65">
        <v>-1</v>
      </c>
      <c r="H29" s="65">
        <v>-1</v>
      </c>
      <c r="I29" s="65">
        <f>G29*H29</f>
        <v>1</v>
      </c>
      <c r="J29" s="10">
        <f>C35</f>
        <v>54</v>
      </c>
      <c r="K29" s="10">
        <f>LN(J29)</f>
        <v>3.9889840465642745</v>
      </c>
      <c r="L29" s="12" t="s">
        <v>144</v>
      </c>
      <c r="M29" s="54">
        <f>(K26+K29)/2-M26</f>
        <v>0</v>
      </c>
      <c r="O29" s="54">
        <f>EXP(M29)</f>
        <v>1</v>
      </c>
      <c r="Q29" t="s">
        <v>1</v>
      </c>
      <c r="R29">
        <f>SUM(B25:B27)</f>
        <v>42</v>
      </c>
      <c r="S29">
        <f>SUM(C25:C27)</f>
        <v>108</v>
      </c>
      <c r="T29">
        <f>SUM(T27:T28)</f>
        <v>150</v>
      </c>
    </row>
    <row r="30" spans="1:27" ht="15.75" thickBot="1" x14ac:dyDescent="0.3">
      <c r="F30" s="64"/>
      <c r="G30" s="64"/>
      <c r="H30" s="64"/>
      <c r="I30" s="64"/>
      <c r="V30" t="s">
        <v>101</v>
      </c>
    </row>
    <row r="31" spans="1:27" ht="15.75" thickTop="1" x14ac:dyDescent="0.25">
      <c r="A31" t="s">
        <v>201</v>
      </c>
      <c r="F31" s="64"/>
      <c r="G31" s="64"/>
      <c r="H31" s="64"/>
      <c r="I31" s="64"/>
      <c r="V31" s="26" t="s">
        <v>47</v>
      </c>
      <c r="W31" s="26" t="s">
        <v>71</v>
      </c>
      <c r="X31" s="26" t="s">
        <v>48</v>
      </c>
      <c r="Y31" s="26" t="s">
        <v>75</v>
      </c>
      <c r="Z31" s="26" t="s">
        <v>50</v>
      </c>
      <c r="AA31" s="26" t="s">
        <v>103</v>
      </c>
    </row>
    <row r="32" spans="1:27" x14ac:dyDescent="0.25">
      <c r="F32" s="91"/>
      <c r="G32" s="91"/>
      <c r="H32" s="91"/>
      <c r="I32" s="91"/>
      <c r="V32" t="s">
        <v>102</v>
      </c>
      <c r="W32" t="e">
        <f ca="1">CHI_STAT2(B26:C27,R27:S28)</f>
        <v>#NAME?</v>
      </c>
      <c r="X32" t="e">
        <f ca="1">CHIDIST(W32,Y28)</f>
        <v>#NAME?</v>
      </c>
      <c r="Y32">
        <f>CHIINV(Y26,Y28)</f>
        <v>5.9914645471079817</v>
      </c>
      <c r="Z32" t="e">
        <f ca="1">IF(Y32&lt;W32,"Yes","No")</f>
        <v>#NAME?</v>
      </c>
      <c r="AA32" t="e">
        <f ca="1">SQRT(W32/(V28*(MIN(W28,X28)-1)))</f>
        <v>#NAME?</v>
      </c>
    </row>
    <row r="33" spans="1:27" x14ac:dyDescent="0.25">
      <c r="B33" s="12" t="s">
        <v>79</v>
      </c>
      <c r="C33" s="12" t="s">
        <v>80</v>
      </c>
      <c r="D33" s="12" t="s">
        <v>1</v>
      </c>
      <c r="F33" s="91"/>
      <c r="G33" s="91"/>
      <c r="H33" s="91"/>
      <c r="I33" s="91"/>
      <c r="V33" t="s">
        <v>104</v>
      </c>
      <c r="W33" t="e">
        <f ca="1">CHI_MAX2(B26:C27,R27:S28)</f>
        <v>#NAME?</v>
      </c>
      <c r="X33" t="e">
        <f ca="1">CHIDIST(W33,Y28)</f>
        <v>#NAME?</v>
      </c>
      <c r="Y33">
        <f>CHIINV(Y26,Y28)</f>
        <v>5.9914645471079817</v>
      </c>
      <c r="Z33" t="e">
        <f ca="1">IF(Y33&lt;W33,"Yes","No")</f>
        <v>#NAME?</v>
      </c>
      <c r="AA33" t="e">
        <f ca="1">SQRT(W33/(V28*(MIN(W28,X28)-1)))</f>
        <v>#NAME?</v>
      </c>
    </row>
    <row r="34" spans="1:27" x14ac:dyDescent="0.25">
      <c r="A34" t="s">
        <v>81</v>
      </c>
      <c r="B34" s="66">
        <f>B28/2</f>
        <v>21</v>
      </c>
      <c r="C34" s="67">
        <f>C28/2</f>
        <v>54</v>
      </c>
      <c r="D34">
        <f>B34+C34</f>
        <v>75</v>
      </c>
      <c r="F34" s="91"/>
      <c r="G34" s="91"/>
      <c r="H34" s="91"/>
      <c r="I34" s="91"/>
    </row>
    <row r="35" spans="1:27" x14ac:dyDescent="0.25">
      <c r="A35" t="s">
        <v>82</v>
      </c>
      <c r="B35" s="9">
        <f>B28/2</f>
        <v>21</v>
      </c>
      <c r="C35" s="11">
        <f>C28/2</f>
        <v>54</v>
      </c>
      <c r="D35">
        <f>SUM(B35:C35)</f>
        <v>75</v>
      </c>
      <c r="F35" s="91"/>
      <c r="G35" s="91"/>
      <c r="H35" s="91"/>
      <c r="I35" s="91"/>
    </row>
    <row r="36" spans="1:27" x14ac:dyDescent="0.25">
      <c r="A36" t="s">
        <v>1</v>
      </c>
      <c r="B36">
        <f>SUM(B34:B35)</f>
        <v>42</v>
      </c>
      <c r="C36">
        <f>SUM(C34:C35)</f>
        <v>108</v>
      </c>
      <c r="D36">
        <f>SUM(D34:D35)</f>
        <v>150</v>
      </c>
      <c r="F36" s="91"/>
      <c r="G36" s="91"/>
      <c r="H36" s="91"/>
      <c r="I36" s="91"/>
    </row>
    <row r="38" spans="1:27" x14ac:dyDescent="0.25">
      <c r="A38" s="1" t="s">
        <v>243</v>
      </c>
    </row>
    <row r="40" spans="1:27" x14ac:dyDescent="0.25">
      <c r="A40" t="s">
        <v>198</v>
      </c>
      <c r="F40" t="s">
        <v>208</v>
      </c>
      <c r="G40" s="38"/>
      <c r="H40" s="38"/>
      <c r="I40" t="s">
        <v>209</v>
      </c>
      <c r="J40" s="7"/>
      <c r="K40" s="7"/>
    </row>
    <row r="41" spans="1:27" x14ac:dyDescent="0.25">
      <c r="Q41" t="s">
        <v>78</v>
      </c>
      <c r="V41" t="s">
        <v>68</v>
      </c>
    </row>
    <row r="42" spans="1:27" x14ac:dyDescent="0.25">
      <c r="B42" s="12" t="s">
        <v>79</v>
      </c>
      <c r="C42" s="12" t="s">
        <v>80</v>
      </c>
      <c r="D42" s="12" t="s">
        <v>1</v>
      </c>
      <c r="F42" s="68" t="s">
        <v>167</v>
      </c>
      <c r="G42" s="68" t="s">
        <v>172</v>
      </c>
      <c r="H42" s="68" t="s">
        <v>173</v>
      </c>
      <c r="I42" s="68" t="s">
        <v>199</v>
      </c>
      <c r="J42" s="68" t="s">
        <v>211</v>
      </c>
      <c r="K42" s="68" t="s">
        <v>212</v>
      </c>
    </row>
    <row r="43" spans="1:27" ht="15.75" thickBot="1" x14ac:dyDescent="0.3">
      <c r="A43" t="s">
        <v>81</v>
      </c>
      <c r="B43" s="3">
        <v>31</v>
      </c>
      <c r="C43" s="5">
        <v>57</v>
      </c>
      <c r="D43">
        <f>SUM(B43:C43)</f>
        <v>88</v>
      </c>
      <c r="F43" s="64">
        <v>1</v>
      </c>
      <c r="G43" s="64">
        <v>1</v>
      </c>
      <c r="H43" s="64">
        <v>1</v>
      </c>
      <c r="I43" s="64">
        <f>G43*H43</f>
        <v>1</v>
      </c>
      <c r="J43">
        <f>B51</f>
        <v>44</v>
      </c>
      <c r="K43">
        <f>LN(J43)</f>
        <v>3.784189633918261</v>
      </c>
      <c r="L43" s="12" t="s">
        <v>142</v>
      </c>
      <c r="M43" s="69">
        <f>AVERAGE(K43:K46)</f>
        <v>3.6090884192017034</v>
      </c>
      <c r="O43" s="69">
        <f>EXP(M43)</f>
        <v>36.932370625238768</v>
      </c>
      <c r="R43" t="str">
        <f>B42</f>
        <v>Therapy 1</v>
      </c>
      <c r="S43" t="str">
        <f>C42</f>
        <v>Therapy 2</v>
      </c>
      <c r="T43" t="s">
        <v>1</v>
      </c>
      <c r="V43" t="s">
        <v>43</v>
      </c>
      <c r="X43" t="s">
        <v>18</v>
      </c>
      <c r="Y43">
        <v>0.05</v>
      </c>
    </row>
    <row r="44" spans="1:27" ht="15.75" thickTop="1" x14ac:dyDescent="0.25">
      <c r="A44" t="s">
        <v>82</v>
      </c>
      <c r="B44" s="9">
        <v>11</v>
      </c>
      <c r="C44" s="11">
        <v>51</v>
      </c>
      <c r="D44">
        <f>SUM(B44:C44)</f>
        <v>62</v>
      </c>
      <c r="F44" s="64">
        <f>F43+1</f>
        <v>2</v>
      </c>
      <c r="G44" s="64">
        <v>-1</v>
      </c>
      <c r="H44" s="64">
        <v>1</v>
      </c>
      <c r="I44" s="64">
        <f>G44*H44</f>
        <v>-1</v>
      </c>
      <c r="J44">
        <f>B52</f>
        <v>31</v>
      </c>
      <c r="K44">
        <f>LN(J44)</f>
        <v>3.4339872044851463</v>
      </c>
      <c r="L44" s="12" t="s">
        <v>140</v>
      </c>
      <c r="M44" s="58">
        <f>(K43+K45)/2-M43</f>
        <v>0.1751012147165576</v>
      </c>
      <c r="O44" s="58">
        <f>EXP(M44)</f>
        <v>1.1913667943625412</v>
      </c>
      <c r="Q44" t="str">
        <f>A43</f>
        <v>Cured</v>
      </c>
      <c r="R44" s="41">
        <f t="array" ref="R44:S45">B51:C52</f>
        <v>44</v>
      </c>
      <c r="S44" s="42">
        <v>44</v>
      </c>
      <c r="T44">
        <f>SUM(A43:C43)</f>
        <v>88</v>
      </c>
      <c r="V44" s="26" t="s">
        <v>12</v>
      </c>
      <c r="W44" s="26" t="s">
        <v>99</v>
      </c>
      <c r="X44" s="26" t="s">
        <v>100</v>
      </c>
      <c r="Y44" s="26" t="s">
        <v>41</v>
      </c>
    </row>
    <row r="45" spans="1:27" x14ac:dyDescent="0.25">
      <c r="A45" t="s">
        <v>1</v>
      </c>
      <c r="B45">
        <f>SUM(B43:B44)</f>
        <v>42</v>
      </c>
      <c r="C45">
        <f>SUM(C43:C44)</f>
        <v>108</v>
      </c>
      <c r="D45">
        <f>SUM(D43:D44)</f>
        <v>150</v>
      </c>
      <c r="F45" s="64">
        <f>F44+1</f>
        <v>3</v>
      </c>
      <c r="G45" s="64">
        <v>1</v>
      </c>
      <c r="H45" s="64">
        <v>-1</v>
      </c>
      <c r="I45" s="64">
        <f>G45*H45</f>
        <v>-1</v>
      </c>
      <c r="J45">
        <f>C51</f>
        <v>44</v>
      </c>
      <c r="K45">
        <f>LN(J45)</f>
        <v>3.784189633918261</v>
      </c>
      <c r="L45" s="12" t="s">
        <v>141</v>
      </c>
      <c r="M45" s="58">
        <f>(K43+K44)/2-M43</f>
        <v>0</v>
      </c>
      <c r="O45" s="58">
        <f>EXP(M45)</f>
        <v>1</v>
      </c>
      <c r="Q45" t="str">
        <f>A44</f>
        <v>Not Cured</v>
      </c>
      <c r="R45" s="76">
        <v>31</v>
      </c>
      <c r="S45" s="77">
        <v>31</v>
      </c>
      <c r="T45">
        <f>SUM(A44:C44)</f>
        <v>62</v>
      </c>
      <c r="V45">
        <f>T46</f>
        <v>150</v>
      </c>
      <c r="W45">
        <f>COUNT(B43:B44)</f>
        <v>2</v>
      </c>
      <c r="X45">
        <f>COUNT(B43:C43)</f>
        <v>2</v>
      </c>
      <c r="Y45">
        <f>2</f>
        <v>2</v>
      </c>
    </row>
    <row r="46" spans="1:27" x14ac:dyDescent="0.25">
      <c r="F46" s="65">
        <f>F45+1</f>
        <v>4</v>
      </c>
      <c r="G46" s="65">
        <v>-1</v>
      </c>
      <c r="H46" s="65">
        <v>-1</v>
      </c>
      <c r="I46" s="65">
        <f>G46*H46</f>
        <v>1</v>
      </c>
      <c r="J46" s="10">
        <f>C52</f>
        <v>31</v>
      </c>
      <c r="K46" s="10">
        <f>LN(J46)</f>
        <v>3.4339872044851463</v>
      </c>
      <c r="L46" s="12" t="s">
        <v>144</v>
      </c>
      <c r="M46" s="54">
        <f>(K43+K46)/2-M43</f>
        <v>0</v>
      </c>
      <c r="O46" s="54">
        <f>EXP(M46)</f>
        <v>1</v>
      </c>
      <c r="Q46" t="s">
        <v>1</v>
      </c>
      <c r="R46">
        <f>SUM(B42:B44)</f>
        <v>42</v>
      </c>
      <c r="S46">
        <f>SUM(C42:C44)</f>
        <v>108</v>
      </c>
      <c r="T46">
        <f>SUM(T44:T45)</f>
        <v>150</v>
      </c>
    </row>
    <row r="47" spans="1:27" ht="15.75" thickBot="1" x14ac:dyDescent="0.3">
      <c r="F47" s="64"/>
      <c r="G47" s="64"/>
      <c r="H47" s="64"/>
      <c r="I47" s="64"/>
      <c r="V47" t="s">
        <v>101</v>
      </c>
    </row>
    <row r="48" spans="1:27" ht="15.75" thickTop="1" x14ac:dyDescent="0.25">
      <c r="A48" t="s">
        <v>201</v>
      </c>
      <c r="F48" s="64"/>
      <c r="G48" s="64"/>
      <c r="H48" s="64"/>
      <c r="I48" s="64"/>
      <c r="V48" s="26" t="s">
        <v>47</v>
      </c>
      <c r="W48" s="26" t="s">
        <v>71</v>
      </c>
      <c r="X48" s="26" t="s">
        <v>48</v>
      </c>
      <c r="Y48" s="26" t="s">
        <v>75</v>
      </c>
      <c r="Z48" s="26" t="s">
        <v>50</v>
      </c>
      <c r="AA48" s="26" t="s">
        <v>103</v>
      </c>
    </row>
    <row r="49" spans="1:27" x14ac:dyDescent="0.25">
      <c r="F49" s="91"/>
      <c r="G49" s="91"/>
      <c r="H49" s="91"/>
      <c r="I49" s="91"/>
      <c r="V49" t="s">
        <v>102</v>
      </c>
      <c r="W49" t="e">
        <f ca="1">CHI_STAT2(B43:C44,R44:S45)</f>
        <v>#NAME?</v>
      </c>
      <c r="X49" t="e">
        <f ca="1">CHIDIST(W49,Y45)</f>
        <v>#NAME?</v>
      </c>
      <c r="Y49">
        <f>CHIINV(Y43,Y45)</f>
        <v>5.9914645471079817</v>
      </c>
      <c r="Z49" t="e">
        <f ca="1">IF(Y49&lt;W49,"Yes","No")</f>
        <v>#NAME?</v>
      </c>
      <c r="AA49" t="e">
        <f ca="1">SQRT(W49/(V45*(MIN(W45,X45)-1)))</f>
        <v>#NAME?</v>
      </c>
    </row>
    <row r="50" spans="1:27" x14ac:dyDescent="0.25">
      <c r="B50" s="12" t="s">
        <v>79</v>
      </c>
      <c r="C50" s="12" t="s">
        <v>80</v>
      </c>
      <c r="D50" s="12" t="s">
        <v>1</v>
      </c>
      <c r="F50" s="91"/>
      <c r="G50" s="91"/>
      <c r="H50" s="91"/>
      <c r="I50" s="91"/>
      <c r="V50" t="s">
        <v>104</v>
      </c>
      <c r="W50" t="e">
        <f ca="1">CHI_MAX2(B43:C44,R44:S45)</f>
        <v>#NAME?</v>
      </c>
      <c r="X50" t="e">
        <f ca="1">CHIDIST(W50,Y45)</f>
        <v>#NAME?</v>
      </c>
      <c r="Y50">
        <f>CHIINV(Y43,Y45)</f>
        <v>5.9914645471079817</v>
      </c>
      <c r="Z50" t="e">
        <f ca="1">IF(Y50&lt;W50,"Yes","No")</f>
        <v>#NAME?</v>
      </c>
      <c r="AA50" t="e">
        <f ca="1">SQRT(W50/(V45*(MIN(W45,X45)-1)))</f>
        <v>#NAME?</v>
      </c>
    </row>
    <row r="51" spans="1:27" x14ac:dyDescent="0.25">
      <c r="A51" t="s">
        <v>205</v>
      </c>
      <c r="B51" s="66">
        <f>D43/2</f>
        <v>44</v>
      </c>
      <c r="C51" s="67">
        <f>D43/2</f>
        <v>44</v>
      </c>
      <c r="D51">
        <f>B51+C51</f>
        <v>88</v>
      </c>
      <c r="F51" s="91"/>
      <c r="G51" s="91"/>
      <c r="H51" s="91"/>
      <c r="I51" s="91"/>
    </row>
    <row r="52" spans="1:27" x14ac:dyDescent="0.25">
      <c r="A52" t="s">
        <v>206</v>
      </c>
      <c r="B52" s="9">
        <f>D44/2</f>
        <v>31</v>
      </c>
      <c r="C52" s="11">
        <f>D44/2</f>
        <v>31</v>
      </c>
      <c r="D52">
        <f>SUM(B52:C52)</f>
        <v>62</v>
      </c>
      <c r="F52" s="91"/>
      <c r="G52" s="91"/>
      <c r="H52" s="91"/>
      <c r="I52" s="91"/>
    </row>
    <row r="53" spans="1:27" x14ac:dyDescent="0.25">
      <c r="A53" t="s">
        <v>1</v>
      </c>
      <c r="B53">
        <f>SUM(B51:B52)</f>
        <v>75</v>
      </c>
      <c r="C53">
        <f>SUM(C51:C52)</f>
        <v>75</v>
      </c>
      <c r="D53">
        <f>SUM(D51:D52)</f>
        <v>150</v>
      </c>
      <c r="F53" s="91"/>
      <c r="G53" s="91"/>
      <c r="H53" s="91"/>
      <c r="I53" s="91"/>
    </row>
    <row r="54" spans="1:27" x14ac:dyDescent="0.25">
      <c r="F54" s="91"/>
      <c r="G54" s="91"/>
      <c r="H54" s="91"/>
      <c r="I54" s="91"/>
    </row>
    <row r="55" spans="1:27" x14ac:dyDescent="0.25">
      <c r="A55" s="1" t="s">
        <v>238</v>
      </c>
    </row>
    <row r="57" spans="1:27" x14ac:dyDescent="0.25">
      <c r="A57" t="s">
        <v>198</v>
      </c>
      <c r="F57" t="s">
        <v>208</v>
      </c>
      <c r="G57" s="38"/>
      <c r="H57" s="38"/>
      <c r="I57" t="s">
        <v>209</v>
      </c>
      <c r="J57" s="7"/>
      <c r="K57" s="7"/>
    </row>
    <row r="58" spans="1:27" x14ac:dyDescent="0.25">
      <c r="Q58" t="s">
        <v>78</v>
      </c>
      <c r="V58" t="s">
        <v>68</v>
      </c>
    </row>
    <row r="59" spans="1:27" x14ac:dyDescent="0.25">
      <c r="B59" s="12" t="s">
        <v>79</v>
      </c>
      <c r="C59" s="12" t="s">
        <v>80</v>
      </c>
      <c r="D59" s="12" t="s">
        <v>1</v>
      </c>
      <c r="F59" s="68" t="s">
        <v>167</v>
      </c>
      <c r="G59" s="68" t="s">
        <v>172</v>
      </c>
      <c r="H59" s="68" t="s">
        <v>173</v>
      </c>
      <c r="I59" s="68" t="s">
        <v>199</v>
      </c>
      <c r="J59" s="68" t="s">
        <v>211</v>
      </c>
      <c r="K59" s="68" t="s">
        <v>212</v>
      </c>
    </row>
    <row r="60" spans="1:27" ht="15.75" thickBot="1" x14ac:dyDescent="0.3">
      <c r="A60" t="s">
        <v>81</v>
      </c>
      <c r="B60" s="3">
        <v>31</v>
      </c>
      <c r="C60" s="5">
        <v>57</v>
      </c>
      <c r="D60">
        <f>SUM(B60:C60)</f>
        <v>88</v>
      </c>
      <c r="F60" s="64">
        <v>1</v>
      </c>
      <c r="G60" s="64">
        <v>1</v>
      </c>
      <c r="H60" s="64">
        <v>1</v>
      </c>
      <c r="I60" s="64">
        <f>G60*H60</f>
        <v>1</v>
      </c>
      <c r="J60">
        <f>B68</f>
        <v>37.5</v>
      </c>
      <c r="K60">
        <f>LN(J60)</f>
        <v>3.6243409329763652</v>
      </c>
      <c r="L60" s="12" t="s">
        <v>142</v>
      </c>
      <c r="M60" s="69">
        <f>AVERAGE(K60:K63)</f>
        <v>3.6243409329763652</v>
      </c>
      <c r="O60" s="69">
        <f>EXP(M60)</f>
        <v>37.5</v>
      </c>
      <c r="R60" t="str">
        <f>B59</f>
        <v>Therapy 1</v>
      </c>
      <c r="S60" t="str">
        <f>C59</f>
        <v>Therapy 2</v>
      </c>
      <c r="T60" t="s">
        <v>1</v>
      </c>
      <c r="V60" t="s">
        <v>43</v>
      </c>
      <c r="X60" t="s">
        <v>18</v>
      </c>
      <c r="Y60">
        <v>0.05</v>
      </c>
    </row>
    <row r="61" spans="1:27" ht="15.75" thickTop="1" x14ac:dyDescent="0.25">
      <c r="A61" t="s">
        <v>82</v>
      </c>
      <c r="B61" s="9">
        <v>11</v>
      </c>
      <c r="C61" s="11">
        <v>51</v>
      </c>
      <c r="D61">
        <f>SUM(B61:C61)</f>
        <v>62</v>
      </c>
      <c r="F61" s="64">
        <f>F60+1</f>
        <v>2</v>
      </c>
      <c r="G61" s="64">
        <v>-1</v>
      </c>
      <c r="H61" s="64">
        <v>1</v>
      </c>
      <c r="I61" s="64">
        <f>G61*H61</f>
        <v>-1</v>
      </c>
      <c r="J61">
        <f>B69</f>
        <v>37.5</v>
      </c>
      <c r="K61">
        <f>LN(J61)</f>
        <v>3.6243409329763652</v>
      </c>
      <c r="L61" s="12" t="s">
        <v>140</v>
      </c>
      <c r="M61" s="58">
        <f>(K60+K62)/2-M60</f>
        <v>0</v>
      </c>
      <c r="O61" s="58">
        <f>EXP(M61)</f>
        <v>1</v>
      </c>
      <c r="Q61" t="str">
        <f>A60</f>
        <v>Cured</v>
      </c>
      <c r="R61" s="41">
        <f t="array" ref="R61:S62">B68:C69</f>
        <v>37.5</v>
      </c>
      <c r="S61" s="42">
        <v>37.5</v>
      </c>
      <c r="T61">
        <f>SUM(A60:C60)</f>
        <v>88</v>
      </c>
      <c r="V61" s="26" t="s">
        <v>12</v>
      </c>
      <c r="W61" s="26" t="s">
        <v>99</v>
      </c>
      <c r="X61" s="26" t="s">
        <v>100</v>
      </c>
      <c r="Y61" s="26" t="s">
        <v>41</v>
      </c>
    </row>
    <row r="62" spans="1:27" x14ac:dyDescent="0.25">
      <c r="A62" t="s">
        <v>1</v>
      </c>
      <c r="B62">
        <f>SUM(B60:B61)</f>
        <v>42</v>
      </c>
      <c r="C62">
        <f>SUM(C60:C61)</f>
        <v>108</v>
      </c>
      <c r="D62">
        <f>SUM(D60:D61)</f>
        <v>150</v>
      </c>
      <c r="F62" s="64">
        <f>F61+1</f>
        <v>3</v>
      </c>
      <c r="G62" s="64">
        <v>1</v>
      </c>
      <c r="H62" s="64">
        <v>-1</v>
      </c>
      <c r="I62" s="64">
        <f>G62*H62</f>
        <v>-1</v>
      </c>
      <c r="J62">
        <f>C68</f>
        <v>37.5</v>
      </c>
      <c r="K62">
        <f>LN(J62)</f>
        <v>3.6243409329763652</v>
      </c>
      <c r="L62" s="12" t="s">
        <v>141</v>
      </c>
      <c r="M62" s="58">
        <f>(K60+K61)/2-M60</f>
        <v>0</v>
      </c>
      <c r="O62" s="58">
        <f>EXP(M62)</f>
        <v>1</v>
      </c>
      <c r="Q62" t="str">
        <f>A61</f>
        <v>Not Cured</v>
      </c>
      <c r="R62" s="76">
        <v>37.5</v>
      </c>
      <c r="S62" s="77">
        <v>37.5</v>
      </c>
      <c r="T62">
        <f>SUM(A61:C61)</f>
        <v>62</v>
      </c>
      <c r="V62">
        <f>T63</f>
        <v>150</v>
      </c>
      <c r="W62">
        <f>COUNT(B60:B61)</f>
        <v>2</v>
      </c>
      <c r="X62">
        <f>COUNT(B60:C60)</f>
        <v>2</v>
      </c>
      <c r="Y62">
        <v>3</v>
      </c>
    </row>
    <row r="63" spans="1:27" x14ac:dyDescent="0.25">
      <c r="F63" s="65">
        <f>F62+1</f>
        <v>4</v>
      </c>
      <c r="G63" s="65">
        <v>-1</v>
      </c>
      <c r="H63" s="65">
        <v>-1</v>
      </c>
      <c r="I63" s="65">
        <f>G63*H63</f>
        <v>1</v>
      </c>
      <c r="J63" s="10">
        <f>C69</f>
        <v>37.5</v>
      </c>
      <c r="K63" s="10">
        <f>LN(J63)</f>
        <v>3.6243409329763652</v>
      </c>
      <c r="L63" s="12" t="s">
        <v>144</v>
      </c>
      <c r="M63" s="54">
        <f>(K60+K63)/2-M60</f>
        <v>0</v>
      </c>
      <c r="O63" s="54">
        <f>EXP(M63)</f>
        <v>1</v>
      </c>
      <c r="Q63" t="s">
        <v>1</v>
      </c>
      <c r="R63">
        <f>SUM(B59:B61)</f>
        <v>42</v>
      </c>
      <c r="S63">
        <f>SUM(C59:C61)</f>
        <v>108</v>
      </c>
      <c r="T63">
        <f>SUM(T61:T62)</f>
        <v>150</v>
      </c>
    </row>
    <row r="64" spans="1:27" ht="15.75" thickBot="1" x14ac:dyDescent="0.3">
      <c r="F64" s="64"/>
      <c r="G64" s="64"/>
      <c r="H64" s="64"/>
      <c r="I64" s="64"/>
      <c r="V64" t="s">
        <v>101</v>
      </c>
    </row>
    <row r="65" spans="1:27" ht="15.75" thickTop="1" x14ac:dyDescent="0.25">
      <c r="A65" t="s">
        <v>201</v>
      </c>
      <c r="F65" s="64"/>
      <c r="G65" s="64"/>
      <c r="H65" s="64"/>
      <c r="I65" s="64"/>
      <c r="V65" s="26" t="s">
        <v>47</v>
      </c>
      <c r="W65" s="26" t="s">
        <v>71</v>
      </c>
      <c r="X65" s="26" t="s">
        <v>48</v>
      </c>
      <c r="Y65" s="26" t="s">
        <v>75</v>
      </c>
      <c r="Z65" s="26" t="s">
        <v>50</v>
      </c>
      <c r="AA65" s="26" t="s">
        <v>103</v>
      </c>
    </row>
    <row r="66" spans="1:27" x14ac:dyDescent="0.25">
      <c r="F66" s="91"/>
      <c r="G66" s="91"/>
      <c r="H66" s="91"/>
      <c r="I66" s="91"/>
      <c r="V66" t="s">
        <v>102</v>
      </c>
      <c r="W66" t="e">
        <f ca="1">CHI_STAT2(B60:C61,R61:S62)</f>
        <v>#NAME?</v>
      </c>
      <c r="X66" t="e">
        <f ca="1">CHIDIST(W66,Y62)</f>
        <v>#NAME?</v>
      </c>
      <c r="Y66">
        <f>CHIINV(Y60,Y62)</f>
        <v>7.8147279032511792</v>
      </c>
      <c r="Z66" t="e">
        <f ca="1">IF(Y66&lt;W66,"Yes","No")</f>
        <v>#NAME?</v>
      </c>
      <c r="AA66" t="e">
        <f ca="1">SQRT(W66/(V62*(MIN(W62,X62)-1)))</f>
        <v>#NAME?</v>
      </c>
    </row>
    <row r="67" spans="1:27" x14ac:dyDescent="0.25">
      <c r="B67" s="12" t="s">
        <v>79</v>
      </c>
      <c r="C67" s="12" t="s">
        <v>80</v>
      </c>
      <c r="D67" s="12" t="s">
        <v>1</v>
      </c>
      <c r="F67" s="91"/>
      <c r="G67" s="91"/>
      <c r="H67" s="91"/>
      <c r="I67" s="91"/>
      <c r="V67" t="s">
        <v>104</v>
      </c>
      <c r="W67" t="e">
        <f ca="1">CHI_MAX2(B60:C61,R61:S62)</f>
        <v>#NAME?</v>
      </c>
      <c r="X67" t="e">
        <f ca="1">CHIDIST(W67,Y62)</f>
        <v>#NAME?</v>
      </c>
      <c r="Y67">
        <f>CHIINV(Y60,Y62)</f>
        <v>7.8147279032511792</v>
      </c>
      <c r="Z67" t="e">
        <f ca="1">IF(Y67&lt;W67,"Yes","No")</f>
        <v>#NAME?</v>
      </c>
      <c r="AA67" t="e">
        <f ca="1">SQRT(W67/(V62*(MIN(W62,X62)-1)))</f>
        <v>#NAME?</v>
      </c>
    </row>
    <row r="68" spans="1:27" x14ac:dyDescent="0.25">
      <c r="A68" t="s">
        <v>205</v>
      </c>
      <c r="B68" s="66">
        <f>D62/4</f>
        <v>37.5</v>
      </c>
      <c r="C68" s="67">
        <f>D62/4</f>
        <v>37.5</v>
      </c>
      <c r="D68">
        <f>B68+C68</f>
        <v>75</v>
      </c>
      <c r="F68" s="91"/>
      <c r="G68" s="91"/>
      <c r="H68" s="91"/>
      <c r="I68" s="91"/>
    </row>
    <row r="69" spans="1:27" x14ac:dyDescent="0.25">
      <c r="A69" t="s">
        <v>206</v>
      </c>
      <c r="B69" s="9">
        <f>D62/4</f>
        <v>37.5</v>
      </c>
      <c r="C69" s="11">
        <f>D62/4</f>
        <v>37.5</v>
      </c>
      <c r="D69">
        <f>SUM(B69:C69)</f>
        <v>75</v>
      </c>
      <c r="F69" s="91"/>
      <c r="G69" s="91"/>
      <c r="H69" s="91"/>
      <c r="I69" s="91"/>
    </row>
    <row r="70" spans="1:27" x14ac:dyDescent="0.25">
      <c r="A70" t="s">
        <v>1</v>
      </c>
      <c r="B70">
        <f>SUM(B68:B69)</f>
        <v>75</v>
      </c>
      <c r="C70">
        <f>SUM(C68:C69)</f>
        <v>75</v>
      </c>
      <c r="D70">
        <f>SUM(D68:D69)</f>
        <v>150</v>
      </c>
      <c r="F70" s="91"/>
      <c r="G70" s="91"/>
      <c r="H70" s="91"/>
      <c r="I70" s="91"/>
    </row>
    <row r="71" spans="1:27" x14ac:dyDescent="0.25">
      <c r="F71" s="91"/>
      <c r="G71" s="91"/>
      <c r="H71" s="91"/>
      <c r="I71" s="91"/>
    </row>
    <row r="72" spans="1:27" s="1" customFormat="1" x14ac:dyDescent="0.25">
      <c r="A72" s="1" t="s">
        <v>237</v>
      </c>
      <c r="F72" s="78"/>
      <c r="G72" s="78"/>
      <c r="H72" s="78"/>
      <c r="I72" s="78"/>
      <c r="J72" s="79"/>
      <c r="K72" s="79"/>
    </row>
    <row r="73" spans="1:27" x14ac:dyDescent="0.25">
      <c r="F73" s="38"/>
      <c r="G73" s="38"/>
      <c r="H73" s="38"/>
      <c r="I73" s="38"/>
      <c r="J73" s="7"/>
      <c r="K73" s="7"/>
    </row>
    <row r="74" spans="1:27" x14ac:dyDescent="0.25">
      <c r="A74" t="s">
        <v>198</v>
      </c>
      <c r="F74" t="s">
        <v>208</v>
      </c>
      <c r="G74" s="38"/>
      <c r="H74" s="38"/>
      <c r="I74" t="s">
        <v>209</v>
      </c>
      <c r="J74" s="7"/>
      <c r="K74" s="7"/>
    </row>
    <row r="75" spans="1:27" x14ac:dyDescent="0.25">
      <c r="Q75" t="s">
        <v>78</v>
      </c>
      <c r="V75" t="s">
        <v>68</v>
      </c>
    </row>
    <row r="76" spans="1:27" x14ac:dyDescent="0.25">
      <c r="B76" s="12" t="s">
        <v>79</v>
      </c>
      <c r="C76" s="12" t="s">
        <v>80</v>
      </c>
      <c r="D76" s="12" t="s">
        <v>1</v>
      </c>
      <c r="F76" s="68" t="s">
        <v>167</v>
      </c>
      <c r="G76" s="68" t="s">
        <v>172</v>
      </c>
      <c r="H76" s="68" t="s">
        <v>173</v>
      </c>
      <c r="I76" s="68" t="s">
        <v>199</v>
      </c>
      <c r="J76" s="68" t="s">
        <v>210</v>
      </c>
      <c r="K76" s="68" t="s">
        <v>137</v>
      </c>
    </row>
    <row r="77" spans="1:27" ht="15.75" thickBot="1" x14ac:dyDescent="0.3">
      <c r="A77" t="s">
        <v>81</v>
      </c>
      <c r="B77" s="3">
        <v>31</v>
      </c>
      <c r="C77" s="5">
        <v>57</v>
      </c>
      <c r="D77">
        <f>SUM(B77:C77)</f>
        <v>88</v>
      </c>
      <c r="F77" s="64">
        <v>1</v>
      </c>
      <c r="G77" s="64">
        <v>1</v>
      </c>
      <c r="H77" s="64">
        <v>1</v>
      </c>
      <c r="I77" s="64">
        <f>G77*H77</f>
        <v>1</v>
      </c>
      <c r="J77">
        <f>B77</f>
        <v>31</v>
      </c>
      <c r="K77">
        <f>LN(J77)</f>
        <v>3.4339872044851463</v>
      </c>
      <c r="L77" s="12" t="s">
        <v>142</v>
      </c>
      <c r="M77" s="69">
        <f>AVERAGE(K77:K80)</f>
        <v>3.4516898444605983</v>
      </c>
      <c r="O77" s="69">
        <f>EXP(M77)</f>
        <v>31.553668073397692</v>
      </c>
      <c r="R77" t="str">
        <f>B76</f>
        <v>Therapy 1</v>
      </c>
      <c r="S77" t="str">
        <f>C76</f>
        <v>Therapy 2</v>
      </c>
      <c r="T77" t="s">
        <v>1</v>
      </c>
      <c r="V77" t="s">
        <v>43</v>
      </c>
      <c r="X77" t="s">
        <v>18</v>
      </c>
      <c r="Y77">
        <v>0.05</v>
      </c>
    </row>
    <row r="78" spans="1:27" ht="15.75" thickTop="1" x14ac:dyDescent="0.25">
      <c r="A78" t="s">
        <v>82</v>
      </c>
      <c r="B78" s="9">
        <v>11</v>
      </c>
      <c r="C78" s="11">
        <v>51</v>
      </c>
      <c r="D78">
        <f>SUM(B78:C78)</f>
        <v>62</v>
      </c>
      <c r="F78" s="64">
        <f>F77+1</f>
        <v>2</v>
      </c>
      <c r="G78" s="64">
        <v>-1</v>
      </c>
      <c r="H78" s="64">
        <v>1</v>
      </c>
      <c r="I78" s="64">
        <f>G78*H78</f>
        <v>-1</v>
      </c>
      <c r="J78">
        <f>B78</f>
        <v>11</v>
      </c>
      <c r="K78">
        <f>LN(J78)</f>
        <v>2.3978952727983707</v>
      </c>
      <c r="L78" s="12" t="s">
        <v>140</v>
      </c>
      <c r="M78" s="58">
        <f>(K77+K79)/2-M77</f>
        <v>0.28682939169924992</v>
      </c>
      <c r="O78" s="58">
        <f>EXP(M78)</f>
        <v>1.3321969102351976</v>
      </c>
      <c r="Q78" t="str">
        <f>A77</f>
        <v>Cured</v>
      </c>
      <c r="R78" s="41">
        <f t="array" ref="R78:S79">B85:C86</f>
        <v>31</v>
      </c>
      <c r="S78" s="42">
        <v>57</v>
      </c>
      <c r="T78">
        <f>SUM(A77:C77)</f>
        <v>88</v>
      </c>
      <c r="V78" s="26" t="s">
        <v>12</v>
      </c>
      <c r="W78" s="26" t="s">
        <v>99</v>
      </c>
      <c r="X78" s="26" t="s">
        <v>100</v>
      </c>
      <c r="Y78" s="26" t="s">
        <v>41</v>
      </c>
    </row>
    <row r="79" spans="1:27" x14ac:dyDescent="0.25">
      <c r="A79" t="s">
        <v>1</v>
      </c>
      <c r="B79">
        <f>SUM(B77:B78)</f>
        <v>42</v>
      </c>
      <c r="C79">
        <f>SUM(C77:C78)</f>
        <v>108</v>
      </c>
      <c r="D79">
        <f>SUM(D77:D78)</f>
        <v>150</v>
      </c>
      <c r="F79" s="64">
        <f>F78+1</f>
        <v>3</v>
      </c>
      <c r="G79" s="64">
        <v>1</v>
      </c>
      <c r="H79" s="64">
        <v>-1</v>
      </c>
      <c r="I79" s="64">
        <f>G79*H79</f>
        <v>-1</v>
      </c>
      <c r="J79">
        <f>C77</f>
        <v>57</v>
      </c>
      <c r="K79">
        <f>LN(J79)</f>
        <v>4.0430512678345503</v>
      </c>
      <c r="L79" s="12" t="s">
        <v>141</v>
      </c>
      <c r="M79" s="58">
        <f>(K77+K78)/2-M77</f>
        <v>-0.53574860581883987</v>
      </c>
      <c r="O79" s="58">
        <f>EXP(M79)</f>
        <v>0.58523101877299288</v>
      </c>
      <c r="Q79" t="str">
        <f>A78</f>
        <v>Not Cured</v>
      </c>
      <c r="R79" s="76">
        <v>11</v>
      </c>
      <c r="S79" s="77">
        <v>51</v>
      </c>
      <c r="T79">
        <f>SUM(A78:C78)</f>
        <v>62</v>
      </c>
      <c r="V79">
        <f>T80</f>
        <v>150</v>
      </c>
      <c r="W79">
        <f>COUNT(B77:B78)</f>
        <v>2</v>
      </c>
      <c r="X79">
        <f>COUNT(B77:C77)</f>
        <v>2</v>
      </c>
      <c r="Y79">
        <v>0</v>
      </c>
    </row>
    <row r="80" spans="1:27" x14ac:dyDescent="0.25">
      <c r="F80" s="65">
        <f>F79+1</f>
        <v>4</v>
      </c>
      <c r="G80" s="65">
        <v>-1</v>
      </c>
      <c r="H80" s="65">
        <v>-1</v>
      </c>
      <c r="I80" s="65">
        <f>G80*H80</f>
        <v>1</v>
      </c>
      <c r="J80" s="10">
        <f>C78</f>
        <v>51</v>
      </c>
      <c r="K80" s="10">
        <f>LN(J80)</f>
        <v>3.9318256327243257</v>
      </c>
      <c r="L80" s="12" t="s">
        <v>144</v>
      </c>
      <c r="M80" s="54">
        <f>(K77+K80)/2-M77</f>
        <v>0.23121657414413743</v>
      </c>
      <c r="O80" s="54">
        <f>EXP(M80)</f>
        <v>1.2601321219343276</v>
      </c>
      <c r="Q80" t="s">
        <v>1</v>
      </c>
      <c r="R80">
        <f>SUM(B76:B78)</f>
        <v>42</v>
      </c>
      <c r="S80">
        <f>SUM(C76:C78)</f>
        <v>108</v>
      </c>
      <c r="T80">
        <f>SUM(T78:T79)</f>
        <v>150</v>
      </c>
    </row>
    <row r="81" spans="1:27" ht="15.75" thickBot="1" x14ac:dyDescent="0.3">
      <c r="F81" s="64"/>
      <c r="G81" s="64"/>
      <c r="H81" s="64"/>
      <c r="I81" s="64"/>
      <c r="V81" t="s">
        <v>101</v>
      </c>
    </row>
    <row r="82" spans="1:27" ht="15.75" thickTop="1" x14ac:dyDescent="0.25">
      <c r="A82" t="s">
        <v>201</v>
      </c>
      <c r="F82" s="64"/>
      <c r="G82" s="64"/>
      <c r="H82" s="64"/>
      <c r="I82" s="64"/>
      <c r="V82" s="26" t="s">
        <v>47</v>
      </c>
      <c r="W82" s="26" t="s">
        <v>71</v>
      </c>
      <c r="X82" s="26" t="s">
        <v>48</v>
      </c>
      <c r="Y82" s="26" t="s">
        <v>75</v>
      </c>
      <c r="Z82" s="26" t="s">
        <v>50</v>
      </c>
      <c r="AA82" s="26" t="s">
        <v>103</v>
      </c>
    </row>
    <row r="83" spans="1:27" x14ac:dyDescent="0.25">
      <c r="F83" s="91"/>
      <c r="G83" s="91"/>
      <c r="H83" s="91"/>
      <c r="I83" s="91"/>
      <c r="V83" t="s">
        <v>102</v>
      </c>
      <c r="W83" t="e">
        <f ca="1">CHI_STAT2(B77:C78,R78:S79)</f>
        <v>#NAME?</v>
      </c>
      <c r="X83" t="e">
        <f ca="1">CHIDIST(W83,Y79)</f>
        <v>#NAME?</v>
      </c>
      <c r="Y83" t="e">
        <f>CHIINV(Y77,Y79)</f>
        <v>#NUM!</v>
      </c>
      <c r="Z83" t="e">
        <f ca="1">IF(Y83&lt;W83,"Yes","No")</f>
        <v>#NUM!</v>
      </c>
      <c r="AA83" t="e">
        <f ca="1">SQRT(W83/(V79*(MIN(W79,X79)-1)))</f>
        <v>#NAME?</v>
      </c>
    </row>
    <row r="84" spans="1:27" x14ac:dyDescent="0.25">
      <c r="B84" s="12" t="s">
        <v>79</v>
      </c>
      <c r="C84" s="12" t="s">
        <v>80</v>
      </c>
      <c r="D84" s="12" t="s">
        <v>1</v>
      </c>
      <c r="F84" s="91"/>
      <c r="G84" s="91"/>
      <c r="H84" s="91"/>
      <c r="I84" s="91"/>
      <c r="V84" t="s">
        <v>104</v>
      </c>
      <c r="W84" t="e">
        <f ca="1">CHI_MAX2(B77:C78,R78:S79)</f>
        <v>#NAME?</v>
      </c>
      <c r="X84" t="e">
        <f ca="1">CHIDIST(W84,Y79)</f>
        <v>#NAME?</v>
      </c>
      <c r="Y84" t="e">
        <f>CHIINV(Y77,Y79)</f>
        <v>#NUM!</v>
      </c>
      <c r="Z84" t="e">
        <f ca="1">IF(Y84&lt;W84,"Yes","No")</f>
        <v>#NUM!</v>
      </c>
      <c r="AA84" t="e">
        <f ca="1">SQRT(W84/(V79*(MIN(W79,X79)-1)))</f>
        <v>#NAME?</v>
      </c>
    </row>
    <row r="85" spans="1:27" x14ac:dyDescent="0.25">
      <c r="A85" t="s">
        <v>205</v>
      </c>
      <c r="B85" s="66">
        <f t="array" ref="B85:C86">B77:C78</f>
        <v>31</v>
      </c>
      <c r="C85" s="67">
        <v>57</v>
      </c>
      <c r="D85">
        <f>B85+C85</f>
        <v>88</v>
      </c>
      <c r="F85" s="91"/>
      <c r="G85" s="91"/>
      <c r="H85" s="91"/>
      <c r="I85" s="91"/>
    </row>
    <row r="86" spans="1:27" x14ac:dyDescent="0.25">
      <c r="A86" t="s">
        <v>206</v>
      </c>
      <c r="B86" s="9">
        <v>11</v>
      </c>
      <c r="C86" s="11">
        <v>51</v>
      </c>
      <c r="D86">
        <f>SUM(B86:C86)</f>
        <v>62</v>
      </c>
      <c r="F86" s="91"/>
      <c r="G86" s="91"/>
      <c r="H86" s="91"/>
      <c r="I86" s="91"/>
    </row>
    <row r="87" spans="1:27" x14ac:dyDescent="0.25">
      <c r="A87" t="s">
        <v>1</v>
      </c>
      <c r="B87">
        <f>SUM(B85:B86)</f>
        <v>42</v>
      </c>
      <c r="C87">
        <f>SUM(C85:C86)</f>
        <v>108</v>
      </c>
      <c r="D87">
        <f>SUM(D85:D86)</f>
        <v>150</v>
      </c>
      <c r="F87" s="91"/>
      <c r="G87" s="91"/>
      <c r="H87" s="91"/>
      <c r="I87" s="91"/>
    </row>
    <row r="88" spans="1:27" x14ac:dyDescent="0.25">
      <c r="F88" s="91"/>
      <c r="G88" s="91"/>
      <c r="H88" s="91"/>
      <c r="I88" s="91"/>
    </row>
    <row r="89" spans="1:27" x14ac:dyDescent="0.25">
      <c r="A89" s="1" t="s">
        <v>191</v>
      </c>
      <c r="F89" s="91"/>
      <c r="G89" s="91"/>
    </row>
    <row r="90" spans="1:27" x14ac:dyDescent="0.25">
      <c r="B90" s="33" t="s">
        <v>73</v>
      </c>
      <c r="C90" s="12" t="s">
        <v>41</v>
      </c>
      <c r="D90" s="12" t="s">
        <v>48</v>
      </c>
      <c r="E90" s="91" t="s">
        <v>164</v>
      </c>
      <c r="G90" s="91"/>
    </row>
    <row r="91" spans="1:27" x14ac:dyDescent="0.25">
      <c r="A91" t="s">
        <v>213</v>
      </c>
      <c r="B91" s="101" t="e">
        <f ca="1">W67</f>
        <v>#NAME?</v>
      </c>
      <c r="C91" s="100">
        <f>Y62</f>
        <v>3</v>
      </c>
      <c r="D91" s="100" t="e">
        <f ca="1">X67</f>
        <v>#NAME?</v>
      </c>
      <c r="E91" s="114" t="e">
        <f ca="1">Z67</f>
        <v>#NAME?</v>
      </c>
    </row>
    <row r="92" spans="1:27" x14ac:dyDescent="0.25">
      <c r="A92" t="s">
        <v>239</v>
      </c>
      <c r="B92" s="6" t="e">
        <f ca="1">W33</f>
        <v>#NAME?</v>
      </c>
      <c r="C92" s="7">
        <f>Y28</f>
        <v>2</v>
      </c>
      <c r="D92" s="7" t="e">
        <f ca="1">X33</f>
        <v>#NAME?</v>
      </c>
      <c r="E92" s="30" t="e">
        <f ca="1">Z33</f>
        <v>#NAME?</v>
      </c>
    </row>
    <row r="93" spans="1:27" x14ac:dyDescent="0.25">
      <c r="A93" t="s">
        <v>240</v>
      </c>
      <c r="B93" s="6" t="e">
        <f ca="1">W50</f>
        <v>#NAME?</v>
      </c>
      <c r="C93" s="7">
        <f>Y45</f>
        <v>2</v>
      </c>
      <c r="D93" s="7" t="e">
        <f ca="1">X50</f>
        <v>#NAME?</v>
      </c>
      <c r="E93" s="30" t="e">
        <f ca="1">Z50</f>
        <v>#NAME?</v>
      </c>
    </row>
    <row r="94" spans="1:27" x14ac:dyDescent="0.25">
      <c r="A94" t="s">
        <v>241</v>
      </c>
      <c r="B94" s="6" t="e">
        <f ca="1">W15</f>
        <v>#NAME?</v>
      </c>
      <c r="C94" s="7">
        <f>Y10</f>
        <v>1</v>
      </c>
      <c r="D94" s="7" t="e">
        <f ca="1">X15</f>
        <v>#NAME?</v>
      </c>
      <c r="E94" s="30" t="e">
        <f ca="1">Z15</f>
        <v>#NAME?</v>
      </c>
    </row>
    <row r="95" spans="1:27" x14ac:dyDescent="0.25">
      <c r="A95" t="s">
        <v>214</v>
      </c>
      <c r="B95" s="112" t="e">
        <f ca="1">W84</f>
        <v>#NAME?</v>
      </c>
      <c r="C95" s="113">
        <f>Y79</f>
        <v>0</v>
      </c>
      <c r="D95" s="113"/>
      <c r="E95" s="115" t="s">
        <v>226</v>
      </c>
      <c r="F95" s="7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L27"/>
  <sheetViews>
    <sheetView workbookViewId="0"/>
  </sheetViews>
  <sheetFormatPr defaultRowHeight="15" x14ac:dyDescent="0.25"/>
  <sheetData>
    <row r="1" spans="1:12" x14ac:dyDescent="0.25">
      <c r="A1" s="1" t="s">
        <v>246</v>
      </c>
    </row>
    <row r="3" spans="1:12" x14ac:dyDescent="0.25">
      <c r="C3" s="12" t="s">
        <v>79</v>
      </c>
      <c r="D3" s="12" t="s">
        <v>80</v>
      </c>
      <c r="E3" s="12" t="s">
        <v>247</v>
      </c>
      <c r="I3" s="82" t="s">
        <v>248</v>
      </c>
      <c r="J3" s="82" t="s">
        <v>180</v>
      </c>
      <c r="K3" s="82" t="s">
        <v>229</v>
      </c>
      <c r="L3" s="83" t="s">
        <v>76</v>
      </c>
    </row>
    <row r="4" spans="1:12" x14ac:dyDescent="0.25">
      <c r="A4" t="s">
        <v>249</v>
      </c>
      <c r="B4" t="s">
        <v>94</v>
      </c>
      <c r="C4" s="101">
        <v>59</v>
      </c>
      <c r="D4" s="127">
        <v>55</v>
      </c>
      <c r="E4" s="122">
        <v>107</v>
      </c>
      <c r="F4">
        <f>SUM(C4:E4)</f>
        <v>221</v>
      </c>
      <c r="I4" t="s">
        <v>249</v>
      </c>
      <c r="J4" t="s">
        <v>94</v>
      </c>
      <c r="K4" t="s">
        <v>79</v>
      </c>
      <c r="L4">
        <f>C4</f>
        <v>59</v>
      </c>
    </row>
    <row r="5" spans="1:12" x14ac:dyDescent="0.25">
      <c r="A5" t="s">
        <v>249</v>
      </c>
      <c r="B5" t="s">
        <v>72</v>
      </c>
      <c r="C5" s="6">
        <v>32</v>
      </c>
      <c r="D5" s="7">
        <v>24</v>
      </c>
      <c r="E5" s="8">
        <v>80</v>
      </c>
      <c r="F5">
        <f t="shared" ref="F5:F14" si="0">SUM(C5:E5)</f>
        <v>136</v>
      </c>
      <c r="I5" t="s">
        <v>249</v>
      </c>
      <c r="J5" t="s">
        <v>94</v>
      </c>
      <c r="K5" t="s">
        <v>80</v>
      </c>
      <c r="L5">
        <f>D4</f>
        <v>55</v>
      </c>
    </row>
    <row r="6" spans="1:12" x14ac:dyDescent="0.25">
      <c r="A6" t="s">
        <v>250</v>
      </c>
      <c r="B6" t="s">
        <v>94</v>
      </c>
      <c r="C6" s="6">
        <v>9</v>
      </c>
      <c r="D6" s="7">
        <v>12</v>
      </c>
      <c r="E6" s="8">
        <v>17</v>
      </c>
      <c r="F6">
        <f t="shared" si="0"/>
        <v>38</v>
      </c>
      <c r="I6" t="s">
        <v>249</v>
      </c>
      <c r="J6" t="s">
        <v>94</v>
      </c>
      <c r="K6" t="s">
        <v>247</v>
      </c>
      <c r="L6">
        <f>E4</f>
        <v>107</v>
      </c>
    </row>
    <row r="7" spans="1:12" x14ac:dyDescent="0.25">
      <c r="A7" t="s">
        <v>250</v>
      </c>
      <c r="B7" t="s">
        <v>72</v>
      </c>
      <c r="C7" s="112">
        <v>16</v>
      </c>
      <c r="D7" s="10">
        <v>33</v>
      </c>
      <c r="E7" s="120">
        <v>56</v>
      </c>
      <c r="F7">
        <f t="shared" si="0"/>
        <v>105</v>
      </c>
      <c r="I7" t="s">
        <v>249</v>
      </c>
      <c r="J7" t="s">
        <v>72</v>
      </c>
      <c r="K7" t="s">
        <v>79</v>
      </c>
      <c r="L7">
        <f>C5</f>
        <v>32</v>
      </c>
    </row>
    <row r="8" spans="1:12" x14ac:dyDescent="0.25">
      <c r="C8">
        <f>SUM(C4:C7)</f>
        <v>116</v>
      </c>
      <c r="D8">
        <f>SUM(D4:D7)</f>
        <v>124</v>
      </c>
      <c r="E8">
        <f>SUM(E4:E7)</f>
        <v>260</v>
      </c>
      <c r="F8">
        <f t="shared" si="0"/>
        <v>500</v>
      </c>
      <c r="I8" t="s">
        <v>249</v>
      </c>
      <c r="J8" t="s">
        <v>72</v>
      </c>
      <c r="K8" t="s">
        <v>80</v>
      </c>
      <c r="L8">
        <f>D5</f>
        <v>24</v>
      </c>
    </row>
    <row r="9" spans="1:12" x14ac:dyDescent="0.25">
      <c r="I9" t="s">
        <v>249</v>
      </c>
      <c r="J9" t="s">
        <v>72</v>
      </c>
      <c r="K9" t="s">
        <v>247</v>
      </c>
      <c r="L9">
        <f>E5</f>
        <v>80</v>
      </c>
    </row>
    <row r="10" spans="1:12" x14ac:dyDescent="0.25">
      <c r="A10" t="s">
        <v>249</v>
      </c>
      <c r="C10" s="96">
        <f>SUM(C4:C5)</f>
        <v>91</v>
      </c>
      <c r="D10" s="98">
        <f>SUM(D4:D5)</f>
        <v>79</v>
      </c>
      <c r="E10" s="99">
        <f>SUM(E4:E5)</f>
        <v>187</v>
      </c>
      <c r="F10">
        <f t="shared" si="0"/>
        <v>357</v>
      </c>
      <c r="I10" t="s">
        <v>250</v>
      </c>
      <c r="J10" t="s">
        <v>94</v>
      </c>
      <c r="K10" t="s">
        <v>79</v>
      </c>
      <c r="L10">
        <f>C6</f>
        <v>9</v>
      </c>
    </row>
    <row r="11" spans="1:12" x14ac:dyDescent="0.25">
      <c r="A11" t="s">
        <v>250</v>
      </c>
      <c r="C11" s="9">
        <f>SUM(C6:C7)</f>
        <v>25</v>
      </c>
      <c r="D11" s="10">
        <f>SUM(D6:D7)</f>
        <v>45</v>
      </c>
      <c r="E11" s="11">
        <f>SUM(E6:E7)</f>
        <v>73</v>
      </c>
      <c r="F11">
        <f t="shared" si="0"/>
        <v>143</v>
      </c>
      <c r="I11" t="s">
        <v>250</v>
      </c>
      <c r="J11" t="s">
        <v>94</v>
      </c>
      <c r="K11" t="s">
        <v>80</v>
      </c>
      <c r="L11">
        <f>D6</f>
        <v>12</v>
      </c>
    </row>
    <row r="12" spans="1:12" x14ac:dyDescent="0.25">
      <c r="I12" t="s">
        <v>250</v>
      </c>
      <c r="J12" t="s">
        <v>94</v>
      </c>
      <c r="K12" t="s">
        <v>247</v>
      </c>
      <c r="L12">
        <f>E6</f>
        <v>17</v>
      </c>
    </row>
    <row r="13" spans="1:12" x14ac:dyDescent="0.25">
      <c r="B13" t="s">
        <v>94</v>
      </c>
      <c r="C13" s="96">
        <f t="shared" ref="C13:E14" si="1">C4+C6</f>
        <v>68</v>
      </c>
      <c r="D13" s="98">
        <f t="shared" si="1"/>
        <v>67</v>
      </c>
      <c r="E13" s="99">
        <f t="shared" si="1"/>
        <v>124</v>
      </c>
      <c r="F13">
        <f t="shared" si="0"/>
        <v>259</v>
      </c>
      <c r="I13" t="s">
        <v>250</v>
      </c>
      <c r="J13" t="s">
        <v>72</v>
      </c>
      <c r="K13" t="s">
        <v>79</v>
      </c>
      <c r="L13">
        <f>C7</f>
        <v>16</v>
      </c>
    </row>
    <row r="14" spans="1:12" x14ac:dyDescent="0.25">
      <c r="B14" t="s">
        <v>72</v>
      </c>
      <c r="C14" s="9">
        <f t="shared" si="1"/>
        <v>48</v>
      </c>
      <c r="D14" s="10">
        <f t="shared" si="1"/>
        <v>57</v>
      </c>
      <c r="E14" s="11">
        <f t="shared" si="1"/>
        <v>136</v>
      </c>
      <c r="F14">
        <f t="shared" si="0"/>
        <v>241</v>
      </c>
      <c r="I14" t="s">
        <v>250</v>
      </c>
      <c r="J14" t="s">
        <v>72</v>
      </c>
      <c r="K14" t="s">
        <v>80</v>
      </c>
      <c r="L14">
        <f>D7</f>
        <v>33</v>
      </c>
    </row>
    <row r="15" spans="1:12" x14ac:dyDescent="0.25">
      <c r="I15" s="10" t="s">
        <v>250</v>
      </c>
      <c r="J15" s="10" t="s">
        <v>72</v>
      </c>
      <c r="K15" s="10" t="s">
        <v>247</v>
      </c>
      <c r="L15" s="10">
        <f>E7</f>
        <v>56</v>
      </c>
    </row>
    <row r="16" spans="1:12" x14ac:dyDescent="0.25">
      <c r="I16" s="7"/>
      <c r="J16" s="7"/>
      <c r="K16" s="7"/>
      <c r="L16" s="7">
        <f>SUM(L4:L15)</f>
        <v>500</v>
      </c>
    </row>
    <row r="18" spans="1:11" x14ac:dyDescent="0.25">
      <c r="A18" t="s">
        <v>326</v>
      </c>
    </row>
    <row r="19" spans="1:11" x14ac:dyDescent="0.25">
      <c r="C19" s="12" t="s">
        <v>79</v>
      </c>
      <c r="D19" s="12" t="s">
        <v>80</v>
      </c>
      <c r="E19" s="12" t="s">
        <v>247</v>
      </c>
    </row>
    <row r="20" spans="1:11" x14ac:dyDescent="0.25">
      <c r="A20" t="s">
        <v>249</v>
      </c>
      <c r="C20" s="132">
        <f t="shared" ref="C20:E21" si="2">C10</f>
        <v>91</v>
      </c>
      <c r="D20" s="136">
        <f t="shared" si="2"/>
        <v>79</v>
      </c>
      <c r="E20" s="131">
        <f t="shared" si="2"/>
        <v>187</v>
      </c>
      <c r="G20" t="s">
        <v>327</v>
      </c>
      <c r="K20">
        <f>C22/D22</f>
        <v>2.0734177215189873</v>
      </c>
    </row>
    <row r="21" spans="1:11" x14ac:dyDescent="0.25">
      <c r="A21" t="s">
        <v>250</v>
      </c>
      <c r="C21" s="112">
        <f t="shared" si="2"/>
        <v>25</v>
      </c>
      <c r="D21" s="10">
        <f t="shared" si="2"/>
        <v>45</v>
      </c>
      <c r="E21" s="11">
        <f t="shared" si="2"/>
        <v>73</v>
      </c>
      <c r="G21" t="s">
        <v>328</v>
      </c>
      <c r="K21">
        <f>LN(K20)</f>
        <v>0.72919831895194753</v>
      </c>
    </row>
    <row r="22" spans="1:11" x14ac:dyDescent="0.25">
      <c r="A22" t="s">
        <v>93</v>
      </c>
      <c r="C22">
        <f>C20/C21</f>
        <v>3.64</v>
      </c>
      <c r="D22">
        <f>D20/D21</f>
        <v>1.7555555555555555</v>
      </c>
      <c r="E22">
        <f>E20/E21</f>
        <v>2.5616438356164384</v>
      </c>
    </row>
    <row r="24" spans="1:11" x14ac:dyDescent="0.25">
      <c r="C24" s="12" t="s">
        <v>94</v>
      </c>
      <c r="D24" s="12" t="s">
        <v>72</v>
      </c>
    </row>
    <row r="25" spans="1:11" x14ac:dyDescent="0.25">
      <c r="A25" t="s">
        <v>249</v>
      </c>
      <c r="C25" s="132">
        <f>F4</f>
        <v>221</v>
      </c>
      <c r="D25" s="131">
        <f>F5</f>
        <v>136</v>
      </c>
      <c r="G25" t="s">
        <v>329</v>
      </c>
      <c r="K25">
        <f>C27/D27</f>
        <v>4.4901315789473681</v>
      </c>
    </row>
    <row r="26" spans="1:11" x14ac:dyDescent="0.25">
      <c r="A26" t="s">
        <v>250</v>
      </c>
      <c r="C26" s="112">
        <f>F6</f>
        <v>38</v>
      </c>
      <c r="D26" s="11">
        <f>F7</f>
        <v>105</v>
      </c>
      <c r="G26" t="s">
        <v>328</v>
      </c>
      <c r="K26">
        <f>LN(K25)</f>
        <v>1.5018820062128384</v>
      </c>
    </row>
    <row r="27" spans="1:11" x14ac:dyDescent="0.25">
      <c r="A27" t="s">
        <v>93</v>
      </c>
      <c r="C27">
        <f>C25/C26</f>
        <v>5.8157894736842106</v>
      </c>
      <c r="D27">
        <f>D25/D26</f>
        <v>1.2952380952380953</v>
      </c>
    </row>
  </sheetData>
  <pageMargins left="0.7" right="0.7" top="0.75" bottom="0.75" header="0.3" footer="0.3"/>
  <ignoredErrors>
    <ignoredError sqref="C10:E1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Y341"/>
  <sheetViews>
    <sheetView workbookViewId="0"/>
  </sheetViews>
  <sheetFormatPr defaultRowHeight="15" x14ac:dyDescent="0.25"/>
  <cols>
    <col min="1" max="1" width="11.42578125" customWidth="1"/>
    <col min="3" max="3" width="9.28515625" customWidth="1"/>
    <col min="6" max="6" width="6" customWidth="1"/>
    <col min="13" max="13" width="9.140625" customWidth="1"/>
  </cols>
  <sheetData>
    <row r="1" spans="1:21" x14ac:dyDescent="0.25">
      <c r="A1" s="1" t="s">
        <v>246</v>
      </c>
    </row>
    <row r="3" spans="1:21" x14ac:dyDescent="0.25">
      <c r="A3" t="s">
        <v>55</v>
      </c>
    </row>
    <row r="5" spans="1:21" x14ac:dyDescent="0.25">
      <c r="A5" s="82" t="s">
        <v>248</v>
      </c>
      <c r="B5" s="82" t="s">
        <v>180</v>
      </c>
      <c r="C5" s="82" t="s">
        <v>229</v>
      </c>
      <c r="D5" s="83" t="s">
        <v>76</v>
      </c>
      <c r="G5" s="1" t="s">
        <v>251</v>
      </c>
    </row>
    <row r="6" spans="1:21" x14ac:dyDescent="0.25">
      <c r="A6" t="s">
        <v>249</v>
      </c>
      <c r="B6" t="s">
        <v>94</v>
      </c>
      <c r="C6" t="s">
        <v>79</v>
      </c>
      <c r="D6">
        <f>'Log Lin 2.1'!L4</f>
        <v>59</v>
      </c>
      <c r="J6" s="777" t="s">
        <v>132</v>
      </c>
      <c r="K6" s="778"/>
      <c r="L6" s="779"/>
      <c r="M6" s="777" t="s">
        <v>222</v>
      </c>
      <c r="N6" s="778"/>
      <c r="O6" s="779"/>
      <c r="P6" s="774" t="s">
        <v>133</v>
      </c>
      <c r="Q6" s="780"/>
    </row>
    <row r="7" spans="1:21" x14ac:dyDescent="0.25">
      <c r="A7" t="s">
        <v>249</v>
      </c>
      <c r="B7" t="s">
        <v>94</v>
      </c>
      <c r="C7" t="s">
        <v>80</v>
      </c>
      <c r="D7">
        <f>'Log Lin 2.1'!L5</f>
        <v>55</v>
      </c>
      <c r="G7" s="95" t="str">
        <f>$A$5</f>
        <v>Cure</v>
      </c>
      <c r="H7" s="82" t="str">
        <f>$B$5</f>
        <v>Gender</v>
      </c>
      <c r="I7" s="82" t="str">
        <f>$C$5</f>
        <v>Therapy</v>
      </c>
      <c r="J7" s="84" t="s">
        <v>220</v>
      </c>
      <c r="K7" s="85" t="s">
        <v>219</v>
      </c>
      <c r="L7" s="86" t="s">
        <v>137</v>
      </c>
      <c r="M7" s="84" t="s">
        <v>221</v>
      </c>
      <c r="N7" s="85" t="s">
        <v>219</v>
      </c>
      <c r="O7" s="86" t="s">
        <v>212</v>
      </c>
      <c r="P7" s="133" t="s">
        <v>118</v>
      </c>
      <c r="Q7" s="135" t="s">
        <v>231</v>
      </c>
      <c r="R7" s="89" t="s">
        <v>73</v>
      </c>
      <c r="T7" s="47" t="s">
        <v>73</v>
      </c>
      <c r="U7" s="94">
        <f>R20</f>
        <v>0</v>
      </c>
    </row>
    <row r="8" spans="1:21" x14ac:dyDescent="0.25">
      <c r="A8" t="s">
        <v>249</v>
      </c>
      <c r="B8" t="s">
        <v>94</v>
      </c>
      <c r="C8" t="s">
        <v>247</v>
      </c>
      <c r="D8">
        <f>'Log Lin 2.1'!L6</f>
        <v>107</v>
      </c>
      <c r="G8" s="6" t="str">
        <f>$A$6</f>
        <v>Positive</v>
      </c>
      <c r="H8" t="str">
        <f>$B$6</f>
        <v>Male</v>
      </c>
      <c r="I8" t="str">
        <f>$C$6</f>
        <v>Therapy 1</v>
      </c>
      <c r="J8" s="6">
        <f>$D$6</f>
        <v>59</v>
      </c>
      <c r="K8" s="87">
        <f>J8/$D$18</f>
        <v>0.11799999999999999</v>
      </c>
      <c r="L8" s="8">
        <f>LN(J8)</f>
        <v>4.0775374439057197</v>
      </c>
      <c r="M8" s="6">
        <f>J8</f>
        <v>59</v>
      </c>
      <c r="N8" s="87">
        <f>M8/$D$18</f>
        <v>0.11799999999999999</v>
      </c>
      <c r="O8" s="8">
        <f>LN(M8)</f>
        <v>4.0775374439057197</v>
      </c>
      <c r="P8" s="132">
        <f>J8-M8</f>
        <v>0</v>
      </c>
      <c r="Q8" s="131">
        <f>P8/SQRT(M8)</f>
        <v>0</v>
      </c>
      <c r="R8" s="58">
        <f>2*J8*(L8-O8)</f>
        <v>0</v>
      </c>
      <c r="T8" t="s">
        <v>41</v>
      </c>
      <c r="U8" s="58">
        <v>0</v>
      </c>
    </row>
    <row r="9" spans="1:21" x14ac:dyDescent="0.25">
      <c r="A9" t="s">
        <v>249</v>
      </c>
      <c r="B9" t="s">
        <v>72</v>
      </c>
      <c r="C9" t="s">
        <v>79</v>
      </c>
      <c r="D9">
        <f>'Log Lin 2.1'!L7</f>
        <v>32</v>
      </c>
      <c r="G9" s="6" t="str">
        <f>$A$7</f>
        <v>Positive</v>
      </c>
      <c r="H9" t="str">
        <f>$B$7</f>
        <v>Male</v>
      </c>
      <c r="I9" t="str">
        <f>$C$7</f>
        <v>Therapy 2</v>
      </c>
      <c r="J9" s="6">
        <f>$D$7</f>
        <v>55</v>
      </c>
      <c r="K9" s="87">
        <f t="shared" ref="K9:K19" si="0">J9/$D$18</f>
        <v>0.11</v>
      </c>
      <c r="L9" s="8">
        <f t="shared" ref="L9:L19" si="1">LN(J9)</f>
        <v>4.0073331852324712</v>
      </c>
      <c r="M9" s="6">
        <f t="shared" ref="M9:M19" si="2">J9</f>
        <v>55</v>
      </c>
      <c r="N9" s="87">
        <f t="shared" ref="N9:N19" si="3">M9/$D$18</f>
        <v>0.11</v>
      </c>
      <c r="O9" s="8">
        <f t="shared" ref="O9:O19" si="4">LN(M9)</f>
        <v>4.0073331852324712</v>
      </c>
      <c r="P9" s="6">
        <f t="shared" ref="P9:P19" si="5">J9-M9</f>
        <v>0</v>
      </c>
      <c r="Q9" s="8">
        <f t="shared" ref="Q9:Q19" si="6">P9/SQRT(M9)</f>
        <v>0</v>
      </c>
      <c r="R9" s="58">
        <f t="shared" ref="R9:R19" si="7">2*J9*(L9-O9)</f>
        <v>0</v>
      </c>
      <c r="T9" s="24" t="s">
        <v>32</v>
      </c>
      <c r="U9" s="58">
        <v>0.05</v>
      </c>
    </row>
    <row r="10" spans="1:21" x14ac:dyDescent="0.25">
      <c r="A10" t="s">
        <v>249</v>
      </c>
      <c r="B10" t="s">
        <v>72</v>
      </c>
      <c r="C10" t="s">
        <v>80</v>
      </c>
      <c r="D10">
        <f>'Log Lin 2.1'!L8</f>
        <v>24</v>
      </c>
      <c r="G10" s="6" t="str">
        <f>$A$8</f>
        <v>Positive</v>
      </c>
      <c r="H10" t="str">
        <f>$B$8</f>
        <v>Male</v>
      </c>
      <c r="I10" t="str">
        <f>$C$8</f>
        <v>Therapy 3</v>
      </c>
      <c r="J10" s="6">
        <f>$D$8</f>
        <v>107</v>
      </c>
      <c r="K10" s="87">
        <f t="shared" si="0"/>
        <v>0.214</v>
      </c>
      <c r="L10" s="8">
        <f t="shared" si="1"/>
        <v>4.6728288344619058</v>
      </c>
      <c r="M10" s="6">
        <f t="shared" si="2"/>
        <v>107</v>
      </c>
      <c r="N10" s="87">
        <f t="shared" si="3"/>
        <v>0.214</v>
      </c>
      <c r="O10" s="8">
        <f t="shared" si="4"/>
        <v>4.6728288344619058</v>
      </c>
      <c r="P10" s="6">
        <f t="shared" si="5"/>
        <v>0</v>
      </c>
      <c r="Q10" s="8">
        <f t="shared" si="6"/>
        <v>0</v>
      </c>
      <c r="R10" s="58">
        <f t="shared" si="7"/>
        <v>0</v>
      </c>
      <c r="T10" s="75" t="s">
        <v>48</v>
      </c>
      <c r="U10" s="58"/>
    </row>
    <row r="11" spans="1:21" x14ac:dyDescent="0.25">
      <c r="A11" t="s">
        <v>249</v>
      </c>
      <c r="B11" t="s">
        <v>72</v>
      </c>
      <c r="C11" t="s">
        <v>247</v>
      </c>
      <c r="D11">
        <f>'Log Lin 2.1'!L9</f>
        <v>80</v>
      </c>
      <c r="G11" s="6" t="str">
        <f>$A$9</f>
        <v>Positive</v>
      </c>
      <c r="H11" t="str">
        <f>$B$9</f>
        <v>Female</v>
      </c>
      <c r="I11" t="str">
        <f>$C$9</f>
        <v>Therapy 1</v>
      </c>
      <c r="J11" s="6">
        <f>$D$9</f>
        <v>32</v>
      </c>
      <c r="K11" s="87">
        <f t="shared" si="0"/>
        <v>6.4000000000000001E-2</v>
      </c>
      <c r="L11" s="8">
        <f t="shared" si="1"/>
        <v>3.4657359027997265</v>
      </c>
      <c r="M11" s="6">
        <f t="shared" si="2"/>
        <v>32</v>
      </c>
      <c r="N11" s="87">
        <f t="shared" si="3"/>
        <v>6.4000000000000001E-2</v>
      </c>
      <c r="O11" s="8">
        <f t="shared" si="4"/>
        <v>3.4657359027997265</v>
      </c>
      <c r="P11" s="6">
        <f t="shared" si="5"/>
        <v>0</v>
      </c>
      <c r="Q11" s="8">
        <f t="shared" si="6"/>
        <v>0</v>
      </c>
      <c r="R11" s="58">
        <f t="shared" si="7"/>
        <v>0</v>
      </c>
      <c r="T11" s="47" t="s">
        <v>74</v>
      </c>
      <c r="U11" s="58"/>
    </row>
    <row r="12" spans="1:21" x14ac:dyDescent="0.25">
      <c r="A12" t="s">
        <v>250</v>
      </c>
      <c r="B12" t="s">
        <v>94</v>
      </c>
      <c r="C12" t="s">
        <v>79</v>
      </c>
      <c r="D12">
        <f>'Log Lin 2.1'!L10</f>
        <v>9</v>
      </c>
      <c r="G12" s="6" t="str">
        <f>$A$10</f>
        <v>Positive</v>
      </c>
      <c r="H12" t="str">
        <f>$B$10</f>
        <v>Female</v>
      </c>
      <c r="I12" t="str">
        <f>$C$10</f>
        <v>Therapy 2</v>
      </c>
      <c r="J12" s="6">
        <f>$D$10</f>
        <v>24</v>
      </c>
      <c r="K12" s="87">
        <f t="shared" si="0"/>
        <v>4.8000000000000001E-2</v>
      </c>
      <c r="L12" s="8">
        <f t="shared" si="1"/>
        <v>3.1780538303479458</v>
      </c>
      <c r="M12" s="6">
        <f t="shared" si="2"/>
        <v>24</v>
      </c>
      <c r="N12" s="87">
        <f t="shared" si="3"/>
        <v>4.8000000000000001E-2</v>
      </c>
      <c r="O12" s="8">
        <f t="shared" si="4"/>
        <v>3.1780538303479458</v>
      </c>
      <c r="P12" s="6">
        <f t="shared" si="5"/>
        <v>0</v>
      </c>
      <c r="Q12" s="8">
        <f t="shared" si="6"/>
        <v>0</v>
      </c>
      <c r="R12" s="58">
        <f t="shared" si="7"/>
        <v>0</v>
      </c>
      <c r="T12" s="75" t="s">
        <v>164</v>
      </c>
      <c r="U12" s="53" t="s">
        <v>225</v>
      </c>
    </row>
    <row r="13" spans="1:21" x14ac:dyDescent="0.25">
      <c r="A13" t="s">
        <v>250</v>
      </c>
      <c r="B13" t="s">
        <v>94</v>
      </c>
      <c r="C13" t="s">
        <v>80</v>
      </c>
      <c r="D13">
        <f>'Log Lin 2.1'!L11</f>
        <v>12</v>
      </c>
      <c r="G13" s="6" t="str">
        <f>$A$11</f>
        <v>Positive</v>
      </c>
      <c r="H13" t="str">
        <f>$B$11</f>
        <v>Female</v>
      </c>
      <c r="I13" t="str">
        <f>$C$11</f>
        <v>Therapy 3</v>
      </c>
      <c r="J13" s="6">
        <f>$D$11</f>
        <v>80</v>
      </c>
      <c r="K13" s="87">
        <f t="shared" si="0"/>
        <v>0.16</v>
      </c>
      <c r="L13" s="8">
        <f t="shared" si="1"/>
        <v>4.3820266346738812</v>
      </c>
      <c r="M13" s="6">
        <f t="shared" si="2"/>
        <v>80</v>
      </c>
      <c r="N13" s="87">
        <f t="shared" si="3"/>
        <v>0.16</v>
      </c>
      <c r="O13" s="8">
        <f t="shared" si="4"/>
        <v>4.3820266346738812</v>
      </c>
      <c r="P13" s="6">
        <f t="shared" si="5"/>
        <v>0</v>
      </c>
      <c r="Q13" s="8">
        <f t="shared" si="6"/>
        <v>0</v>
      </c>
      <c r="R13" s="58">
        <f t="shared" si="7"/>
        <v>0</v>
      </c>
    </row>
    <row r="14" spans="1:21" x14ac:dyDescent="0.25">
      <c r="A14" t="s">
        <v>250</v>
      </c>
      <c r="B14" t="s">
        <v>94</v>
      </c>
      <c r="C14" t="s">
        <v>247</v>
      </c>
      <c r="D14">
        <f>'Log Lin 2.1'!L12</f>
        <v>17</v>
      </c>
      <c r="G14" s="6" t="str">
        <f>$A$12</f>
        <v>Negative</v>
      </c>
      <c r="H14" t="str">
        <f>$B$12</f>
        <v>Male</v>
      </c>
      <c r="I14" t="str">
        <f>$C$12</f>
        <v>Therapy 1</v>
      </c>
      <c r="J14" s="6">
        <f>$D$12</f>
        <v>9</v>
      </c>
      <c r="K14" s="87">
        <f t="shared" si="0"/>
        <v>1.7999999999999999E-2</v>
      </c>
      <c r="L14" s="8">
        <f t="shared" si="1"/>
        <v>2.1972245773362196</v>
      </c>
      <c r="M14" s="6">
        <f t="shared" si="2"/>
        <v>9</v>
      </c>
      <c r="N14" s="87">
        <f t="shared" si="3"/>
        <v>1.7999999999999999E-2</v>
      </c>
      <c r="O14" s="8">
        <f t="shared" si="4"/>
        <v>2.1972245773362196</v>
      </c>
      <c r="P14" s="6">
        <f t="shared" si="5"/>
        <v>0</v>
      </c>
      <c r="Q14" s="8">
        <f t="shared" si="6"/>
        <v>0</v>
      </c>
      <c r="R14" s="58">
        <f t="shared" si="7"/>
        <v>0</v>
      </c>
    </row>
    <row r="15" spans="1:21" x14ac:dyDescent="0.25">
      <c r="A15" t="s">
        <v>250</v>
      </c>
      <c r="B15" t="s">
        <v>72</v>
      </c>
      <c r="C15" t="s">
        <v>79</v>
      </c>
      <c r="D15">
        <f>'Log Lin 2.1'!L13</f>
        <v>16</v>
      </c>
      <c r="G15" s="6" t="str">
        <f>$A$13</f>
        <v>Negative</v>
      </c>
      <c r="H15" t="str">
        <f>$B$13</f>
        <v>Male</v>
      </c>
      <c r="I15" t="str">
        <f>$C$13</f>
        <v>Therapy 2</v>
      </c>
      <c r="J15" s="6">
        <f>$D$13</f>
        <v>12</v>
      </c>
      <c r="K15" s="87">
        <f t="shared" si="0"/>
        <v>2.4E-2</v>
      </c>
      <c r="L15" s="8">
        <f t="shared" si="1"/>
        <v>2.4849066497880004</v>
      </c>
      <c r="M15" s="6">
        <f t="shared" si="2"/>
        <v>12</v>
      </c>
      <c r="N15" s="87">
        <f t="shared" si="3"/>
        <v>2.4E-2</v>
      </c>
      <c r="O15" s="8">
        <f t="shared" si="4"/>
        <v>2.4849066497880004</v>
      </c>
      <c r="P15" s="6">
        <f t="shared" si="5"/>
        <v>0</v>
      </c>
      <c r="Q15" s="8">
        <f t="shared" si="6"/>
        <v>0</v>
      </c>
      <c r="R15" s="58">
        <f t="shared" si="7"/>
        <v>0</v>
      </c>
    </row>
    <row r="16" spans="1:21" x14ac:dyDescent="0.25">
      <c r="A16" t="s">
        <v>250</v>
      </c>
      <c r="B16" t="s">
        <v>72</v>
      </c>
      <c r="C16" t="s">
        <v>80</v>
      </c>
      <c r="D16">
        <f>'Log Lin 2.1'!L14</f>
        <v>33</v>
      </c>
      <c r="G16" s="6" t="str">
        <f>$A$14</f>
        <v>Negative</v>
      </c>
      <c r="H16" t="str">
        <f>$B$14</f>
        <v>Male</v>
      </c>
      <c r="I16" t="str">
        <f>$C$14</f>
        <v>Therapy 3</v>
      </c>
      <c r="J16" s="6">
        <f>$D$14</f>
        <v>17</v>
      </c>
      <c r="K16" s="87">
        <f t="shared" si="0"/>
        <v>3.4000000000000002E-2</v>
      </c>
      <c r="L16" s="8">
        <f t="shared" si="1"/>
        <v>2.8332133440562162</v>
      </c>
      <c r="M16" s="6">
        <f t="shared" si="2"/>
        <v>17</v>
      </c>
      <c r="N16" s="87">
        <f t="shared" si="3"/>
        <v>3.4000000000000002E-2</v>
      </c>
      <c r="O16" s="8">
        <f t="shared" si="4"/>
        <v>2.8332133440562162</v>
      </c>
      <c r="P16" s="6">
        <f t="shared" si="5"/>
        <v>0</v>
      </c>
      <c r="Q16" s="8">
        <f t="shared" si="6"/>
        <v>0</v>
      </c>
      <c r="R16" s="58">
        <f t="shared" si="7"/>
        <v>0</v>
      </c>
    </row>
    <row r="17" spans="1:21" x14ac:dyDescent="0.25">
      <c r="A17" s="10" t="s">
        <v>250</v>
      </c>
      <c r="B17" s="10" t="s">
        <v>72</v>
      </c>
      <c r="C17" s="10" t="s">
        <v>247</v>
      </c>
      <c r="D17" s="10">
        <f>'Log Lin 2.1'!L15</f>
        <v>56</v>
      </c>
      <c r="G17" s="6" t="str">
        <f>$A$15</f>
        <v>Negative</v>
      </c>
      <c r="H17" t="str">
        <f>$B$15</f>
        <v>Female</v>
      </c>
      <c r="I17" t="str">
        <f>$C$15</f>
        <v>Therapy 1</v>
      </c>
      <c r="J17" s="6">
        <f>$D$15</f>
        <v>16</v>
      </c>
      <c r="K17" s="87">
        <f t="shared" si="0"/>
        <v>3.2000000000000001E-2</v>
      </c>
      <c r="L17" s="8">
        <f t="shared" si="1"/>
        <v>2.7725887222397811</v>
      </c>
      <c r="M17" s="6">
        <f t="shared" si="2"/>
        <v>16</v>
      </c>
      <c r="N17" s="87">
        <f t="shared" si="3"/>
        <v>3.2000000000000001E-2</v>
      </c>
      <c r="O17" s="8">
        <f t="shared" si="4"/>
        <v>2.7725887222397811</v>
      </c>
      <c r="P17" s="6">
        <f t="shared" si="5"/>
        <v>0</v>
      </c>
      <c r="Q17" s="8">
        <f t="shared" si="6"/>
        <v>0</v>
      </c>
      <c r="R17" s="58">
        <f t="shared" si="7"/>
        <v>0</v>
      </c>
    </row>
    <row r="18" spans="1:21" x14ac:dyDescent="0.25">
      <c r="A18" s="7"/>
      <c r="B18" s="7"/>
      <c r="C18" s="7"/>
      <c r="D18" s="7">
        <f>SUM(D6:D17)</f>
        <v>500</v>
      </c>
      <c r="G18" s="6" t="str">
        <f>$A$16</f>
        <v>Negative</v>
      </c>
      <c r="H18" t="str">
        <f>$B$16</f>
        <v>Female</v>
      </c>
      <c r="I18" t="str">
        <f>$C$16</f>
        <v>Therapy 2</v>
      </c>
      <c r="J18" s="6">
        <f>$D$16</f>
        <v>33</v>
      </c>
      <c r="K18" s="87">
        <f t="shared" si="0"/>
        <v>6.6000000000000003E-2</v>
      </c>
      <c r="L18" s="8">
        <f t="shared" si="1"/>
        <v>3.4965075614664802</v>
      </c>
      <c r="M18" s="6">
        <f t="shared" si="2"/>
        <v>33</v>
      </c>
      <c r="N18" s="87">
        <f t="shared" si="3"/>
        <v>6.6000000000000003E-2</v>
      </c>
      <c r="O18" s="8">
        <f t="shared" si="4"/>
        <v>3.4965075614664802</v>
      </c>
      <c r="P18" s="6">
        <f t="shared" si="5"/>
        <v>0</v>
      </c>
      <c r="Q18" s="8">
        <f t="shared" si="6"/>
        <v>0</v>
      </c>
      <c r="R18" s="58">
        <f t="shared" si="7"/>
        <v>0</v>
      </c>
    </row>
    <row r="19" spans="1:21" x14ac:dyDescent="0.25">
      <c r="A19" t="s">
        <v>215</v>
      </c>
      <c r="G19" s="9" t="str">
        <f>$A$17</f>
        <v>Negative</v>
      </c>
      <c r="H19" s="10" t="str">
        <f>$B$17</f>
        <v>Female</v>
      </c>
      <c r="I19" s="10" t="str">
        <f>$C$17</f>
        <v>Therapy 3</v>
      </c>
      <c r="J19" s="9">
        <f>$D$17</f>
        <v>56</v>
      </c>
      <c r="K19" s="88">
        <f t="shared" si="0"/>
        <v>0.112</v>
      </c>
      <c r="L19" s="11">
        <f t="shared" si="1"/>
        <v>4.0253516907351496</v>
      </c>
      <c r="M19" s="9">
        <f t="shared" si="2"/>
        <v>56</v>
      </c>
      <c r="N19" s="88">
        <f t="shared" si="3"/>
        <v>0.112</v>
      </c>
      <c r="O19" s="11">
        <f t="shared" si="4"/>
        <v>4.0253516907351496</v>
      </c>
      <c r="P19" s="112">
        <f t="shared" si="5"/>
        <v>0</v>
      </c>
      <c r="Q19" s="11">
        <f t="shared" si="6"/>
        <v>0</v>
      </c>
      <c r="R19" s="54">
        <f t="shared" si="7"/>
        <v>0</v>
      </c>
    </row>
    <row r="20" spans="1:21" x14ac:dyDescent="0.25">
      <c r="A20" t="s">
        <v>216</v>
      </c>
      <c r="R20">
        <f>SUM(R8:R19)</f>
        <v>0</v>
      </c>
    </row>
    <row r="21" spans="1:21" x14ac:dyDescent="0.25">
      <c r="A21" t="s">
        <v>217</v>
      </c>
    </row>
    <row r="22" spans="1:21" x14ac:dyDescent="0.25">
      <c r="A22" t="s">
        <v>218</v>
      </c>
      <c r="G22" s="1" t="s">
        <v>282</v>
      </c>
    </row>
    <row r="23" spans="1:21" x14ac:dyDescent="0.25">
      <c r="J23" s="777" t="s">
        <v>132</v>
      </c>
      <c r="K23" s="778"/>
      <c r="L23" s="779"/>
      <c r="M23" s="777" t="s">
        <v>222</v>
      </c>
      <c r="N23" s="778"/>
      <c r="O23" s="779"/>
      <c r="P23" s="774" t="s">
        <v>133</v>
      </c>
      <c r="Q23" s="780"/>
    </row>
    <row r="24" spans="1:21" x14ac:dyDescent="0.25">
      <c r="A24" t="s">
        <v>188</v>
      </c>
      <c r="G24" s="95" t="str">
        <f>$A$5</f>
        <v>Cure</v>
      </c>
      <c r="H24" s="82" t="str">
        <f>$B$5</f>
        <v>Gender</v>
      </c>
      <c r="I24" s="82" t="str">
        <f>$C$5</f>
        <v>Therapy</v>
      </c>
      <c r="J24" s="84" t="s">
        <v>220</v>
      </c>
      <c r="K24" s="85" t="s">
        <v>219</v>
      </c>
      <c r="L24" s="86" t="s">
        <v>137</v>
      </c>
      <c r="M24" s="84" t="s">
        <v>221</v>
      </c>
      <c r="N24" s="85" t="s">
        <v>219</v>
      </c>
      <c r="O24" s="86" t="s">
        <v>212</v>
      </c>
      <c r="P24" s="133" t="s">
        <v>118</v>
      </c>
      <c r="Q24" s="135" t="s">
        <v>231</v>
      </c>
      <c r="R24" s="90" t="s">
        <v>73</v>
      </c>
      <c r="T24" s="47" t="s">
        <v>73</v>
      </c>
      <c r="U24" s="94">
        <f>R37</f>
        <v>58.032898940132199</v>
      </c>
    </row>
    <row r="25" spans="1:21" x14ac:dyDescent="0.25">
      <c r="G25" s="6" t="str">
        <f>$A$6</f>
        <v>Positive</v>
      </c>
      <c r="H25" t="str">
        <f>$B$6</f>
        <v>Male</v>
      </c>
      <c r="I25" t="str">
        <f>$C$6</f>
        <v>Therapy 1</v>
      </c>
      <c r="J25" s="6">
        <f>$D$6</f>
        <v>59</v>
      </c>
      <c r="K25" s="87">
        <f>J25/$D$18</f>
        <v>0.11799999999999999</v>
      </c>
      <c r="L25" s="8">
        <f>LN(J25)</f>
        <v>4.0775374439057197</v>
      </c>
      <c r="M25" s="96">
        <f>D54*D77/D18</f>
        <v>47.137999999999998</v>
      </c>
      <c r="N25" s="130">
        <f>M25/$D$18</f>
        <v>9.4275999999999999E-2</v>
      </c>
      <c r="O25" s="131">
        <f>LN(M25)</f>
        <v>3.8530794697941961</v>
      </c>
      <c r="P25" s="132">
        <f>J25-M25</f>
        <v>11.862000000000002</v>
      </c>
      <c r="Q25" s="131">
        <f>P25/SQRT(M25)</f>
        <v>1.7277159542097742</v>
      </c>
      <c r="R25" s="58">
        <f>2*J25*(L25-O25)</f>
        <v>26.486040945159782</v>
      </c>
      <c r="T25" t="s">
        <v>41</v>
      </c>
      <c r="U25" s="58">
        <f>(B27-1)*(A27*C27-1)</f>
        <v>5</v>
      </c>
    </row>
    <row r="26" spans="1:21" x14ac:dyDescent="0.25">
      <c r="A26" s="126" t="str">
        <f>A5</f>
        <v>Cure</v>
      </c>
      <c r="B26" s="126" t="str">
        <f>B5</f>
        <v>Gender</v>
      </c>
      <c r="C26" s="126" t="str">
        <f>C5</f>
        <v>Therapy</v>
      </c>
      <c r="G26" s="6" t="str">
        <f>$A$7</f>
        <v>Positive</v>
      </c>
      <c r="H26" t="str">
        <f>$B$7</f>
        <v>Male</v>
      </c>
      <c r="I26" t="str">
        <f>$C$7</f>
        <v>Therapy 2</v>
      </c>
      <c r="J26" s="6">
        <f>$D$7</f>
        <v>55</v>
      </c>
      <c r="K26" s="87">
        <f t="shared" ref="K26:K36" si="8">J26/$D$18</f>
        <v>0.11</v>
      </c>
      <c r="L26" s="8">
        <f t="shared" ref="L26:L36" si="9">LN(J26)</f>
        <v>4.0073331852324712</v>
      </c>
      <c r="M26" s="6">
        <f>D55*D77/D18</f>
        <v>40.921999999999997</v>
      </c>
      <c r="N26" s="87">
        <f t="shared" ref="N26:N36" si="10">M26/$D$18</f>
        <v>8.1844E-2</v>
      </c>
      <c r="O26" s="8">
        <f t="shared" ref="O26:O36" si="11">LN(M26)</f>
        <v>3.7116678157443674</v>
      </c>
      <c r="P26" s="6">
        <f t="shared" ref="P26:P36" si="12">J26-M26</f>
        <v>14.078000000000003</v>
      </c>
      <c r="Q26" s="8">
        <f t="shared" ref="Q26:Q36" si="13">P26/SQRT(M26)</f>
        <v>2.2007085733726068</v>
      </c>
      <c r="R26" s="58">
        <f t="shared" ref="R26:R36" si="14">2*J26*(L26-O26)</f>
        <v>32.523190643691407</v>
      </c>
      <c r="T26" s="24" t="s">
        <v>32</v>
      </c>
      <c r="U26" s="58">
        <v>0.05</v>
      </c>
    </row>
    <row r="27" spans="1:21" x14ac:dyDescent="0.25">
      <c r="A27" s="10">
        <v>2</v>
      </c>
      <c r="B27" s="10">
        <v>2</v>
      </c>
      <c r="C27" s="10">
        <v>3</v>
      </c>
      <c r="G27" s="6" t="str">
        <f>$A$8</f>
        <v>Positive</v>
      </c>
      <c r="H27" t="str">
        <f>$B$8</f>
        <v>Male</v>
      </c>
      <c r="I27" t="str">
        <f>$C$8</f>
        <v>Therapy 3</v>
      </c>
      <c r="J27" s="6">
        <f>$D$8</f>
        <v>107</v>
      </c>
      <c r="K27" s="87">
        <f t="shared" si="8"/>
        <v>0.214</v>
      </c>
      <c r="L27" s="8">
        <f t="shared" si="9"/>
        <v>4.6728288344619058</v>
      </c>
      <c r="M27" s="6">
        <f>D56*D77/D18</f>
        <v>96.866</v>
      </c>
      <c r="N27" s="87">
        <f t="shared" si="10"/>
        <v>0.19373199999999999</v>
      </c>
      <c r="O27" s="8">
        <f t="shared" si="11"/>
        <v>4.5733285801319328</v>
      </c>
      <c r="P27" s="6">
        <f t="shared" si="12"/>
        <v>10.134</v>
      </c>
      <c r="Q27" s="8">
        <f t="shared" si="13"/>
        <v>1.0296632602460609</v>
      </c>
      <c r="R27" s="58">
        <f t="shared" si="14"/>
        <v>21.293054426614223</v>
      </c>
      <c r="T27" s="75" t="s">
        <v>48</v>
      </c>
      <c r="U27" s="58">
        <f>CHIDIST(U24,U25)</f>
        <v>3.0966898390729441E-11</v>
      </c>
    </row>
    <row r="28" spans="1:21" x14ac:dyDescent="0.25">
      <c r="G28" s="6" t="str">
        <f>$A$9</f>
        <v>Positive</v>
      </c>
      <c r="H28" t="str">
        <f>$B$9</f>
        <v>Female</v>
      </c>
      <c r="I28" t="str">
        <f>$C$9</f>
        <v>Therapy 1</v>
      </c>
      <c r="J28" s="6">
        <f>$D$9</f>
        <v>32</v>
      </c>
      <c r="K28" s="87">
        <f t="shared" si="8"/>
        <v>6.4000000000000001E-2</v>
      </c>
      <c r="L28" s="8">
        <f t="shared" si="9"/>
        <v>3.4657359027997265</v>
      </c>
      <c r="M28" s="6">
        <f>D54*D78/D18</f>
        <v>43.862000000000002</v>
      </c>
      <c r="N28" s="87">
        <f t="shared" si="10"/>
        <v>8.772400000000001E-2</v>
      </c>
      <c r="O28" s="8">
        <f t="shared" si="11"/>
        <v>3.7810483415853136</v>
      </c>
      <c r="P28" s="6">
        <f t="shared" si="12"/>
        <v>-11.862000000000002</v>
      </c>
      <c r="Q28" s="8">
        <f t="shared" si="13"/>
        <v>-1.7910747212642966</v>
      </c>
      <c r="R28" s="58">
        <f t="shared" si="14"/>
        <v>-20.179996082277569</v>
      </c>
      <c r="T28" s="47" t="s">
        <v>74</v>
      </c>
      <c r="U28" s="58">
        <f>CHIINV(U26,U25)</f>
        <v>11.070497693516353</v>
      </c>
    </row>
    <row r="29" spans="1:21" x14ac:dyDescent="0.25">
      <c r="A29" t="s">
        <v>55</v>
      </c>
      <c r="G29" s="6" t="str">
        <f>$A$10</f>
        <v>Positive</v>
      </c>
      <c r="H29" t="str">
        <f>$B$10</f>
        <v>Female</v>
      </c>
      <c r="I29" t="str">
        <f>$C$10</f>
        <v>Therapy 2</v>
      </c>
      <c r="J29" s="6">
        <f>$D$10</f>
        <v>24</v>
      </c>
      <c r="K29" s="87">
        <f t="shared" si="8"/>
        <v>4.8000000000000001E-2</v>
      </c>
      <c r="L29" s="8">
        <f t="shared" si="9"/>
        <v>3.1780538303479458</v>
      </c>
      <c r="M29" s="6">
        <f>D55*D78/D18</f>
        <v>38.078000000000003</v>
      </c>
      <c r="N29" s="87">
        <f t="shared" si="10"/>
        <v>7.6156000000000001E-2</v>
      </c>
      <c r="O29" s="8">
        <f t="shared" si="11"/>
        <v>3.6396366875354849</v>
      </c>
      <c r="P29" s="6">
        <f t="shared" si="12"/>
        <v>-14.078000000000003</v>
      </c>
      <c r="Q29" s="8">
        <f t="shared" si="13"/>
        <v>-2.2814129168820001</v>
      </c>
      <c r="R29" s="58">
        <f t="shared" si="14"/>
        <v>-22.155977145001877</v>
      </c>
      <c r="T29" s="75" t="s">
        <v>164</v>
      </c>
      <c r="U29" s="53" t="str">
        <f>IF(U27&lt;U26,"yes","no")</f>
        <v>yes</v>
      </c>
    </row>
    <row r="30" spans="1:21" x14ac:dyDescent="0.25">
      <c r="G30" s="6" t="str">
        <f>$A$11</f>
        <v>Positive</v>
      </c>
      <c r="H30" t="str">
        <f>$B$11</f>
        <v>Female</v>
      </c>
      <c r="I30" t="str">
        <f>$C$11</f>
        <v>Therapy 3</v>
      </c>
      <c r="J30" s="6">
        <f>$D$11</f>
        <v>80</v>
      </c>
      <c r="K30" s="87">
        <f t="shared" si="8"/>
        <v>0.16</v>
      </c>
      <c r="L30" s="8">
        <f t="shared" si="9"/>
        <v>4.3820266346738812</v>
      </c>
      <c r="M30" s="6">
        <f>D56*D78/D18</f>
        <v>90.134</v>
      </c>
      <c r="N30" s="87">
        <f t="shared" si="10"/>
        <v>0.18026800000000001</v>
      </c>
      <c r="O30" s="8">
        <f t="shared" si="11"/>
        <v>4.5012974519230502</v>
      </c>
      <c r="P30" s="6">
        <f t="shared" si="12"/>
        <v>-10.134</v>
      </c>
      <c r="Q30" s="8">
        <f t="shared" si="13"/>
        <v>-1.0674230520055628</v>
      </c>
      <c r="R30" s="58">
        <f t="shared" si="14"/>
        <v>-19.083330759867039</v>
      </c>
    </row>
    <row r="31" spans="1:21" x14ac:dyDescent="0.25">
      <c r="A31" s="95" t="str">
        <f>$A$5</f>
        <v>Cure</v>
      </c>
      <c r="B31" s="82" t="str">
        <f>$B$5</f>
        <v>Gender</v>
      </c>
      <c r="C31" s="82" t="str">
        <f>$C$5</f>
        <v>Therapy</v>
      </c>
      <c r="D31" s="83" t="str">
        <f>$D$5</f>
        <v>Obs</v>
      </c>
      <c r="G31" s="6" t="str">
        <f>$A$12</f>
        <v>Negative</v>
      </c>
      <c r="H31" t="str">
        <f>$B$12</f>
        <v>Male</v>
      </c>
      <c r="I31" t="str">
        <f>$C$12</f>
        <v>Therapy 1</v>
      </c>
      <c r="J31" s="6">
        <f>$D$12</f>
        <v>9</v>
      </c>
      <c r="K31" s="87">
        <f t="shared" si="8"/>
        <v>1.7999999999999999E-2</v>
      </c>
      <c r="L31" s="8">
        <f t="shared" si="9"/>
        <v>2.1972245773362196</v>
      </c>
      <c r="M31" s="6">
        <f>D57*D77/D18</f>
        <v>12.95</v>
      </c>
      <c r="N31" s="87">
        <f t="shared" si="10"/>
        <v>2.5899999999999999E-2</v>
      </c>
      <c r="O31" s="8">
        <f t="shared" si="11"/>
        <v>2.5610957881455465</v>
      </c>
      <c r="P31" s="6">
        <f t="shared" si="12"/>
        <v>-3.9499999999999993</v>
      </c>
      <c r="Q31" s="8">
        <f t="shared" si="13"/>
        <v>-1.0976457783940385</v>
      </c>
      <c r="R31" s="58">
        <f t="shared" si="14"/>
        <v>-6.5496817945678849</v>
      </c>
    </row>
    <row r="32" spans="1:21" x14ac:dyDescent="0.25">
      <c r="A32" s="6" t="str">
        <f>$A$6</f>
        <v>Positive</v>
      </c>
      <c r="B32" t="str">
        <f>$B$6</f>
        <v>Male</v>
      </c>
      <c r="C32" t="str">
        <f>$C$6</f>
        <v>Therapy 1</v>
      </c>
      <c r="D32" s="127">
        <f>$D$6</f>
        <v>59</v>
      </c>
      <c r="G32" s="6" t="str">
        <f>$A$13</f>
        <v>Negative</v>
      </c>
      <c r="H32" t="str">
        <f>$B$13</f>
        <v>Male</v>
      </c>
      <c r="I32" t="str">
        <f>$C$13</f>
        <v>Therapy 2</v>
      </c>
      <c r="J32" s="6">
        <f>$D$13</f>
        <v>12</v>
      </c>
      <c r="K32" s="87">
        <f t="shared" si="8"/>
        <v>2.4E-2</v>
      </c>
      <c r="L32" s="8">
        <f t="shared" si="9"/>
        <v>2.4849066497880004</v>
      </c>
      <c r="M32" s="6">
        <f>D58*D77/D18</f>
        <v>23.31</v>
      </c>
      <c r="N32" s="87">
        <f t="shared" si="10"/>
        <v>4.6619999999999995E-2</v>
      </c>
      <c r="O32" s="8">
        <f t="shared" si="11"/>
        <v>3.1488824530476656</v>
      </c>
      <c r="P32" s="6">
        <f t="shared" si="12"/>
        <v>-11.309999999999999</v>
      </c>
      <c r="Q32" s="8">
        <f t="shared" si="13"/>
        <v>-2.3425640178245239</v>
      </c>
      <c r="R32" s="58">
        <f t="shared" si="14"/>
        <v>-15.935419278231965</v>
      </c>
    </row>
    <row r="33" spans="1:21" x14ac:dyDescent="0.25">
      <c r="A33" s="6" t="str">
        <f>$A$7</f>
        <v>Positive</v>
      </c>
      <c r="B33" t="str">
        <f>$B$7</f>
        <v>Male</v>
      </c>
      <c r="C33" t="str">
        <f>$C$7</f>
        <v>Therapy 2</v>
      </c>
      <c r="D33" s="7">
        <f>$D$7</f>
        <v>55</v>
      </c>
      <c r="G33" s="6" t="str">
        <f>$A$14</f>
        <v>Negative</v>
      </c>
      <c r="H33" t="str">
        <f>$B$14</f>
        <v>Male</v>
      </c>
      <c r="I33" t="str">
        <f>$C$14</f>
        <v>Therapy 3</v>
      </c>
      <c r="J33" s="6">
        <f>$D$14</f>
        <v>17</v>
      </c>
      <c r="K33" s="87">
        <f t="shared" si="8"/>
        <v>3.4000000000000002E-2</v>
      </c>
      <c r="L33" s="8">
        <f t="shared" si="9"/>
        <v>2.8332133440562162</v>
      </c>
      <c r="M33" s="6">
        <f>D59*D77/D18</f>
        <v>37.814</v>
      </c>
      <c r="N33" s="87">
        <f t="shared" si="10"/>
        <v>7.5628000000000001E-2</v>
      </c>
      <c r="O33" s="8">
        <f t="shared" si="11"/>
        <v>3.6326794044257373</v>
      </c>
      <c r="P33" s="6">
        <f t="shared" si="12"/>
        <v>-20.814</v>
      </c>
      <c r="Q33" s="8">
        <f t="shared" si="13"/>
        <v>-3.384770601714933</v>
      </c>
      <c r="R33" s="58">
        <f t="shared" si="14"/>
        <v>-27.181846052563721</v>
      </c>
    </row>
    <row r="34" spans="1:21" x14ac:dyDescent="0.25">
      <c r="A34" s="6" t="str">
        <f>$A$8</f>
        <v>Positive</v>
      </c>
      <c r="B34" t="str">
        <f>$B$8</f>
        <v>Male</v>
      </c>
      <c r="C34" t="str">
        <f>$C$8</f>
        <v>Therapy 3</v>
      </c>
      <c r="D34" s="7">
        <f>$D$8</f>
        <v>107</v>
      </c>
      <c r="G34" s="6" t="str">
        <f>$A$15</f>
        <v>Negative</v>
      </c>
      <c r="H34" t="str">
        <f>$B$15</f>
        <v>Female</v>
      </c>
      <c r="I34" t="str">
        <f>$C$15</f>
        <v>Therapy 1</v>
      </c>
      <c r="J34" s="6">
        <f>$D$15</f>
        <v>16</v>
      </c>
      <c r="K34" s="87">
        <f t="shared" si="8"/>
        <v>3.2000000000000001E-2</v>
      </c>
      <c r="L34" s="8">
        <f t="shared" si="9"/>
        <v>2.7725887222397811</v>
      </c>
      <c r="M34" s="6">
        <f>D57*D78/D18</f>
        <v>12.05</v>
      </c>
      <c r="N34" s="87">
        <f t="shared" si="10"/>
        <v>2.41E-2</v>
      </c>
      <c r="O34" s="8">
        <f t="shared" si="11"/>
        <v>2.4890646599366639</v>
      </c>
      <c r="P34" s="6">
        <f t="shared" si="12"/>
        <v>3.9499999999999993</v>
      </c>
      <c r="Q34" s="8">
        <f t="shared" si="13"/>
        <v>1.1378986237834625</v>
      </c>
      <c r="R34" s="58">
        <f t="shared" si="14"/>
        <v>9.072769993699751</v>
      </c>
    </row>
    <row r="35" spans="1:21" x14ac:dyDescent="0.25">
      <c r="A35" s="6" t="str">
        <f>$A$9</f>
        <v>Positive</v>
      </c>
      <c r="B35" t="str">
        <f>$B$9</f>
        <v>Female</v>
      </c>
      <c r="C35" t="str">
        <f>$C$9</f>
        <v>Therapy 1</v>
      </c>
      <c r="D35" s="7">
        <f>$D$9</f>
        <v>32</v>
      </c>
      <c r="G35" s="6" t="str">
        <f>$A$16</f>
        <v>Negative</v>
      </c>
      <c r="H35" t="str">
        <f>$B$16</f>
        <v>Female</v>
      </c>
      <c r="I35" t="str">
        <f>$C$16</f>
        <v>Therapy 2</v>
      </c>
      <c r="J35" s="6">
        <f>$D$16</f>
        <v>33</v>
      </c>
      <c r="K35" s="87">
        <f t="shared" si="8"/>
        <v>6.6000000000000003E-2</v>
      </c>
      <c r="L35" s="8">
        <f t="shared" si="9"/>
        <v>3.4965075614664802</v>
      </c>
      <c r="M35" s="6">
        <f>D58*D78/D18</f>
        <v>21.69</v>
      </c>
      <c r="N35" s="87">
        <f t="shared" si="10"/>
        <v>4.3380000000000002E-2</v>
      </c>
      <c r="O35" s="8">
        <f t="shared" si="11"/>
        <v>3.076851324838783</v>
      </c>
      <c r="P35" s="6">
        <f t="shared" si="12"/>
        <v>11.309999999999999</v>
      </c>
      <c r="Q35" s="8">
        <f t="shared" si="13"/>
        <v>2.4284704815311318</v>
      </c>
      <c r="R35" s="58">
        <f t="shared" si="14"/>
        <v>27.697311617428017</v>
      </c>
    </row>
    <row r="36" spans="1:21" x14ac:dyDescent="0.25">
      <c r="A36" s="6" t="str">
        <f>$A$10</f>
        <v>Positive</v>
      </c>
      <c r="B36" t="str">
        <f>$B$10</f>
        <v>Female</v>
      </c>
      <c r="C36" t="str">
        <f>$C$10</f>
        <v>Therapy 2</v>
      </c>
      <c r="D36" s="7">
        <f>$D$10</f>
        <v>24</v>
      </c>
      <c r="G36" s="9" t="str">
        <f>$A$17</f>
        <v>Negative</v>
      </c>
      <c r="H36" s="10" t="str">
        <f>$B$17</f>
        <v>Female</v>
      </c>
      <c r="I36" s="10" t="str">
        <f>$C$17</f>
        <v>Therapy 3</v>
      </c>
      <c r="J36" s="9">
        <f>$D$17</f>
        <v>56</v>
      </c>
      <c r="K36" s="88">
        <f t="shared" si="8"/>
        <v>0.112</v>
      </c>
      <c r="L36" s="11">
        <f t="shared" si="9"/>
        <v>4.0253516907351496</v>
      </c>
      <c r="M36" s="9">
        <f>D59*D78/D18</f>
        <v>35.186</v>
      </c>
      <c r="N36" s="88">
        <f t="shared" si="10"/>
        <v>7.0372000000000004E-2</v>
      </c>
      <c r="O36" s="11">
        <f t="shared" si="11"/>
        <v>3.5606482762168543</v>
      </c>
      <c r="P36" s="112">
        <f t="shared" si="12"/>
        <v>20.814</v>
      </c>
      <c r="Q36" s="11">
        <f t="shared" si="13"/>
        <v>3.5088968457103702</v>
      </c>
      <c r="R36" s="54">
        <f t="shared" si="14"/>
        <v>52.046782426049077</v>
      </c>
    </row>
    <row r="37" spans="1:21" x14ac:dyDescent="0.25">
      <c r="A37" s="6" t="str">
        <f>$A$11</f>
        <v>Positive</v>
      </c>
      <c r="B37" t="str">
        <f>$B$11</f>
        <v>Female</v>
      </c>
      <c r="C37" t="str">
        <f>$C$11</f>
        <v>Therapy 3</v>
      </c>
      <c r="D37" s="7">
        <f>$D$11</f>
        <v>80</v>
      </c>
      <c r="R37">
        <f>SUM(R25:R36)</f>
        <v>58.032898940132199</v>
      </c>
    </row>
    <row r="38" spans="1:21" x14ac:dyDescent="0.25">
      <c r="A38" s="6" t="str">
        <f>$A$12</f>
        <v>Negative</v>
      </c>
      <c r="B38" t="str">
        <f>$B$12</f>
        <v>Male</v>
      </c>
      <c r="C38" t="str">
        <f>$C$12</f>
        <v>Therapy 1</v>
      </c>
      <c r="D38" s="7">
        <f>$D$12</f>
        <v>9</v>
      </c>
    </row>
    <row r="39" spans="1:21" x14ac:dyDescent="0.25">
      <c r="A39" s="6" t="str">
        <f>$A$13</f>
        <v>Negative</v>
      </c>
      <c r="B39" t="str">
        <f>$B$13</f>
        <v>Male</v>
      </c>
      <c r="C39" t="str">
        <f>$C$13</f>
        <v>Therapy 2</v>
      </c>
      <c r="D39" s="7">
        <f>$D$13</f>
        <v>12</v>
      </c>
      <c r="G39" s="1" t="s">
        <v>283</v>
      </c>
    </row>
    <row r="40" spans="1:21" x14ac:dyDescent="0.25">
      <c r="A40" s="6" t="str">
        <f>$A$14</f>
        <v>Negative</v>
      </c>
      <c r="B40" t="str">
        <f>$B$14</f>
        <v>Male</v>
      </c>
      <c r="C40" t="str">
        <f>$C$14</f>
        <v>Therapy 3</v>
      </c>
      <c r="D40" s="7">
        <f>$D$14</f>
        <v>17</v>
      </c>
      <c r="J40" s="777" t="s">
        <v>132</v>
      </c>
      <c r="K40" s="778"/>
      <c r="L40" s="779"/>
      <c r="M40" s="777" t="s">
        <v>222</v>
      </c>
      <c r="N40" s="778"/>
      <c r="O40" s="779"/>
      <c r="P40" s="774" t="s">
        <v>133</v>
      </c>
      <c r="Q40" s="780"/>
    </row>
    <row r="41" spans="1:21" x14ac:dyDescent="0.25">
      <c r="A41" s="6" t="str">
        <f>$A$15</f>
        <v>Negative</v>
      </c>
      <c r="B41" t="str">
        <f>$B$15</f>
        <v>Female</v>
      </c>
      <c r="C41" t="str">
        <f>$C$15</f>
        <v>Therapy 1</v>
      </c>
      <c r="D41" s="7">
        <f>$D$15</f>
        <v>16</v>
      </c>
      <c r="G41" s="95" t="str">
        <f>$A$5</f>
        <v>Cure</v>
      </c>
      <c r="H41" s="82" t="str">
        <f>$B$5</f>
        <v>Gender</v>
      </c>
      <c r="I41" s="82" t="str">
        <f>$C$5</f>
        <v>Therapy</v>
      </c>
      <c r="J41" s="84" t="s">
        <v>220</v>
      </c>
      <c r="K41" s="85" t="s">
        <v>219</v>
      </c>
      <c r="L41" s="86" t="s">
        <v>137</v>
      </c>
      <c r="M41" s="84" t="s">
        <v>221</v>
      </c>
      <c r="N41" s="85" t="s">
        <v>219</v>
      </c>
      <c r="O41" s="86" t="s">
        <v>212</v>
      </c>
      <c r="P41" s="133" t="s">
        <v>118</v>
      </c>
      <c r="Q41" s="135" t="s">
        <v>231</v>
      </c>
      <c r="R41" s="90" t="s">
        <v>73</v>
      </c>
      <c r="T41" s="47" t="s">
        <v>73</v>
      </c>
      <c r="U41" s="94">
        <f>R54</f>
        <v>60.302394034976658</v>
      </c>
    </row>
    <row r="42" spans="1:21" x14ac:dyDescent="0.25">
      <c r="A42" s="6" t="str">
        <f>$A$16</f>
        <v>Negative</v>
      </c>
      <c r="B42" t="str">
        <f>$B$16</f>
        <v>Female</v>
      </c>
      <c r="C42" t="str">
        <f>$C$16</f>
        <v>Therapy 2</v>
      </c>
      <c r="D42" s="7">
        <f>$D$16</f>
        <v>33</v>
      </c>
      <c r="G42" s="6" t="str">
        <f>$A$6</f>
        <v>Positive</v>
      </c>
      <c r="H42" t="str">
        <f>$B$6</f>
        <v>Male</v>
      </c>
      <c r="I42" t="str">
        <f>$C$6</f>
        <v>Therapy 1</v>
      </c>
      <c r="J42" s="6">
        <f>$D$6</f>
        <v>59</v>
      </c>
      <c r="K42" s="87">
        <f>J42/$D$18</f>
        <v>0.11799999999999999</v>
      </c>
      <c r="L42" s="8">
        <f>LN(J42)</f>
        <v>4.0775374439057197</v>
      </c>
      <c r="M42" s="96">
        <f>D63*D72/$D$18</f>
        <v>48.552</v>
      </c>
      <c r="N42" s="130">
        <f>M42/$D$18</f>
        <v>9.7103999999999996E-2</v>
      </c>
      <c r="O42" s="131">
        <f>LN(M42)</f>
        <v>3.8826353885335538</v>
      </c>
      <c r="P42" s="132">
        <f>J42-M42</f>
        <v>10.448</v>
      </c>
      <c r="Q42" s="131">
        <f>P42/SQRT(M42)</f>
        <v>1.4994417591420992</v>
      </c>
      <c r="R42" s="58">
        <f>2*J42*(L42-O42)</f>
        <v>22.998442533915572</v>
      </c>
      <c r="T42" t="s">
        <v>41</v>
      </c>
      <c r="U42" s="58">
        <f>(A27-1)*(B27*C27-1)</f>
        <v>5</v>
      </c>
    </row>
    <row r="43" spans="1:21" x14ac:dyDescent="0.25">
      <c r="A43" s="9" t="str">
        <f>$A$17</f>
        <v>Negative</v>
      </c>
      <c r="B43" s="10" t="str">
        <f>$B$17</f>
        <v>Female</v>
      </c>
      <c r="C43" s="10" t="str">
        <f>$C$17</f>
        <v>Therapy 3</v>
      </c>
      <c r="D43" s="10">
        <f>$D$17</f>
        <v>56</v>
      </c>
      <c r="G43" s="6" t="str">
        <f>$A$7</f>
        <v>Positive</v>
      </c>
      <c r="H43" t="str">
        <f>$B$7</f>
        <v>Male</v>
      </c>
      <c r="I43" t="str">
        <f>$C$7</f>
        <v>Therapy 2</v>
      </c>
      <c r="J43" s="6">
        <f>$D$7</f>
        <v>55</v>
      </c>
      <c r="K43" s="87">
        <f t="shared" ref="K43:K53" si="15">J43/$D$18</f>
        <v>0.11</v>
      </c>
      <c r="L43" s="8">
        <f t="shared" ref="L43:L53" si="16">LN(J43)</f>
        <v>4.0073331852324712</v>
      </c>
      <c r="M43" s="6">
        <f>D64*D72/$D$18</f>
        <v>47.838000000000001</v>
      </c>
      <c r="N43" s="87">
        <f t="shared" ref="N43:N53" si="17">M43/$D$18</f>
        <v>9.5675999999999997E-2</v>
      </c>
      <c r="O43" s="8">
        <f t="shared" ref="O43:O53" si="18">LN(M43)</f>
        <v>3.8678203027484135</v>
      </c>
      <c r="P43" s="6">
        <f t="shared" ref="P43:P53" si="19">J43-M43</f>
        <v>7.161999999999999</v>
      </c>
      <c r="Q43" s="8">
        <f t="shared" ref="Q43:Q53" si="20">P43/SQRT(M43)</f>
        <v>1.0354945308643482</v>
      </c>
      <c r="R43" s="58">
        <f t="shared" ref="R43:R53" si="21">2*J43*(L43-O43)</f>
        <v>15.346417073246347</v>
      </c>
      <c r="T43" s="24" t="s">
        <v>32</v>
      </c>
      <c r="U43" s="58">
        <v>0.05</v>
      </c>
    </row>
    <row r="44" spans="1:21" x14ac:dyDescent="0.25">
      <c r="A44" s="7"/>
      <c r="B44" s="7"/>
      <c r="C44" s="7"/>
      <c r="D44" s="7">
        <f>SUM(D32:D43)</f>
        <v>500</v>
      </c>
      <c r="G44" s="6" t="str">
        <f>$A$8</f>
        <v>Positive</v>
      </c>
      <c r="H44" t="str">
        <f>$B$8</f>
        <v>Male</v>
      </c>
      <c r="I44" t="str">
        <f>$C$8</f>
        <v>Therapy 3</v>
      </c>
      <c r="J44" s="6">
        <f>$D$8</f>
        <v>107</v>
      </c>
      <c r="K44" s="87">
        <f t="shared" si="15"/>
        <v>0.214</v>
      </c>
      <c r="L44" s="8">
        <f t="shared" si="16"/>
        <v>4.6728288344619058</v>
      </c>
      <c r="M44" s="6">
        <f>D65*D72/$D$18</f>
        <v>88.536000000000001</v>
      </c>
      <c r="N44" s="87">
        <f t="shared" si="17"/>
        <v>0.17707200000000001</v>
      </c>
      <c r="O44" s="8">
        <f t="shared" si="18"/>
        <v>4.4834092489624844</v>
      </c>
      <c r="P44" s="6">
        <f t="shared" si="19"/>
        <v>18.463999999999999</v>
      </c>
      <c r="Q44" s="8">
        <f t="shared" si="20"/>
        <v>1.9623019842617053</v>
      </c>
      <c r="R44" s="58">
        <f t="shared" si="21"/>
        <v>40.535791296876177</v>
      </c>
      <c r="T44" s="75" t="s">
        <v>48</v>
      </c>
      <c r="U44" s="58">
        <f>CHIDIST(U41,U42)</f>
        <v>1.0525518854310249E-11</v>
      </c>
    </row>
    <row r="45" spans="1:21" x14ac:dyDescent="0.25">
      <c r="G45" s="6" t="str">
        <f>$A$9</f>
        <v>Positive</v>
      </c>
      <c r="H45" t="str">
        <f>$B$9</f>
        <v>Female</v>
      </c>
      <c r="I45" t="str">
        <f>$C$9</f>
        <v>Therapy 1</v>
      </c>
      <c r="J45" s="6">
        <f>$D$9</f>
        <v>32</v>
      </c>
      <c r="K45" s="87">
        <f t="shared" si="15"/>
        <v>6.4000000000000001E-2</v>
      </c>
      <c r="L45" s="8">
        <f t="shared" si="16"/>
        <v>3.4657359027997265</v>
      </c>
      <c r="M45" s="6">
        <f>D66*D72/$D$18</f>
        <v>34.271999999999998</v>
      </c>
      <c r="N45" s="87">
        <f t="shared" si="17"/>
        <v>6.8543999999999994E-2</v>
      </c>
      <c r="O45" s="8">
        <f t="shared" si="18"/>
        <v>3.534328694265338</v>
      </c>
      <c r="P45" s="6">
        <f t="shared" si="19"/>
        <v>-2.2719999999999985</v>
      </c>
      <c r="Q45" s="8">
        <f t="shared" si="20"/>
        <v>-0.38809549586697262</v>
      </c>
      <c r="R45" s="58">
        <f t="shared" si="21"/>
        <v>-4.3899386537991347</v>
      </c>
      <c r="T45" s="47" t="s">
        <v>74</v>
      </c>
      <c r="U45" s="58">
        <f>CHIINV(U43,U42)</f>
        <v>11.070497693516353</v>
      </c>
    </row>
    <row r="46" spans="1:21" x14ac:dyDescent="0.25">
      <c r="A46" s="95" t="str">
        <f>$A$5</f>
        <v>Cure</v>
      </c>
      <c r="B46" s="82" t="str">
        <f>$B$5</f>
        <v>Gender</v>
      </c>
      <c r="C46" s="82" t="str">
        <f>$C$5</f>
        <v>Therapy</v>
      </c>
      <c r="D46" s="83" t="str">
        <f>$D$5</f>
        <v>Obs</v>
      </c>
      <c r="E46" s="83" t="s">
        <v>223</v>
      </c>
      <c r="G46" s="6" t="str">
        <f>$A$10</f>
        <v>Positive</v>
      </c>
      <c r="H46" t="str">
        <f>$B$10</f>
        <v>Female</v>
      </c>
      <c r="I46" t="str">
        <f>$C$10</f>
        <v>Therapy 2</v>
      </c>
      <c r="J46" s="6">
        <f>$D$10</f>
        <v>24</v>
      </c>
      <c r="K46" s="87">
        <f t="shared" si="15"/>
        <v>4.8000000000000001E-2</v>
      </c>
      <c r="L46" s="8">
        <f t="shared" si="16"/>
        <v>3.1780538303479458</v>
      </c>
      <c r="M46" s="6">
        <f>D67*D72/$D$18</f>
        <v>40.698</v>
      </c>
      <c r="N46" s="87">
        <f t="shared" si="17"/>
        <v>8.1395999999999996E-2</v>
      </c>
      <c r="O46" s="8">
        <f t="shared" si="18"/>
        <v>3.7061789511919976</v>
      </c>
      <c r="P46" s="6">
        <f t="shared" si="19"/>
        <v>-16.698</v>
      </c>
      <c r="Q46" s="8">
        <f t="shared" si="20"/>
        <v>-2.6174471595250579</v>
      </c>
      <c r="R46" s="58">
        <f t="shared" si="21"/>
        <v>-25.350005800514488</v>
      </c>
      <c r="T46" s="75" t="s">
        <v>164</v>
      </c>
      <c r="U46" s="53" t="str">
        <f>IF(U44&lt;U43,"yes","no")</f>
        <v>yes</v>
      </c>
    </row>
    <row r="47" spans="1:21" x14ac:dyDescent="0.25">
      <c r="A47" t="str">
        <f>A6</f>
        <v>Positive</v>
      </c>
      <c r="B47" t="str">
        <f>B6</f>
        <v>Male</v>
      </c>
      <c r="D47">
        <f>SUMIFS($D$32:$D$43,$A$32:$A$43,A47,$B$32:$B$43,B47)</f>
        <v>221</v>
      </c>
      <c r="E47" s="40">
        <f>D47/$D$51</f>
        <v>0.442</v>
      </c>
      <c r="G47" s="6" t="str">
        <f>$A$11</f>
        <v>Positive</v>
      </c>
      <c r="H47" t="str">
        <f>$B$11</f>
        <v>Female</v>
      </c>
      <c r="I47" t="str">
        <f>$C$11</f>
        <v>Therapy 3</v>
      </c>
      <c r="J47" s="6">
        <f>$D$11</f>
        <v>80</v>
      </c>
      <c r="K47" s="87">
        <f t="shared" si="15"/>
        <v>0.16</v>
      </c>
      <c r="L47" s="8">
        <f t="shared" si="16"/>
        <v>4.3820266346738812</v>
      </c>
      <c r="M47" s="6">
        <f>D68*D72/$D$18</f>
        <v>97.103999999999999</v>
      </c>
      <c r="N47" s="87">
        <f t="shared" si="17"/>
        <v>0.19420799999999999</v>
      </c>
      <c r="O47" s="8">
        <f t="shared" si="18"/>
        <v>4.5757825690934997</v>
      </c>
      <c r="P47" s="6">
        <f t="shared" si="19"/>
        <v>-17.103999999999999</v>
      </c>
      <c r="Q47" s="8">
        <f t="shared" si="20"/>
        <v>-1.7357178422046509</v>
      </c>
      <c r="R47" s="58">
        <f t="shared" si="21"/>
        <v>-31.000949507138955</v>
      </c>
    </row>
    <row r="48" spans="1:21" x14ac:dyDescent="0.25">
      <c r="A48" t="str">
        <f>A47</f>
        <v>Positive</v>
      </c>
      <c r="B48" t="str">
        <f>B9</f>
        <v>Female</v>
      </c>
      <c r="D48">
        <f>SUMIFS($D$32:$D$43,$A$32:$A$43,A48,$B$32:$B$43,B48)</f>
        <v>136</v>
      </c>
      <c r="E48" s="40">
        <f>D48/$D$51</f>
        <v>0.27200000000000002</v>
      </c>
      <c r="G48" s="6" t="str">
        <f>$A$12</f>
        <v>Negative</v>
      </c>
      <c r="H48" t="str">
        <f>$B$12</f>
        <v>Male</v>
      </c>
      <c r="I48" t="str">
        <f>$C$12</f>
        <v>Therapy 1</v>
      </c>
      <c r="J48" s="6">
        <f>$D$12</f>
        <v>9</v>
      </c>
      <c r="K48" s="87">
        <f t="shared" si="15"/>
        <v>1.7999999999999999E-2</v>
      </c>
      <c r="L48" s="8">
        <f t="shared" si="16"/>
        <v>2.1972245773362196</v>
      </c>
      <c r="M48" s="6">
        <f>D63*D73/$D$18</f>
        <v>19.448</v>
      </c>
      <c r="N48" s="87">
        <f t="shared" si="17"/>
        <v>3.8896E-2</v>
      </c>
      <c r="O48" s="8">
        <f t="shared" si="18"/>
        <v>2.9677442370138221</v>
      </c>
      <c r="P48" s="6">
        <f t="shared" si="19"/>
        <v>-10.448</v>
      </c>
      <c r="Q48" s="8">
        <f t="shared" si="20"/>
        <v>-2.3691670887390908</v>
      </c>
      <c r="R48" s="58">
        <f t="shared" si="21"/>
        <v>-13.869353874196845</v>
      </c>
    </row>
    <row r="49" spans="1:21" x14ac:dyDescent="0.25">
      <c r="A49" t="str">
        <f>A12</f>
        <v>Negative</v>
      </c>
      <c r="B49" t="str">
        <f>B47</f>
        <v>Male</v>
      </c>
      <c r="D49">
        <f>SUMIFS($D$32:$D$43,$A$32:$A$43,A49,$B$32:$B$43,B49)</f>
        <v>38</v>
      </c>
      <c r="E49" s="40">
        <f>D49/$D$51</f>
        <v>7.5999999999999998E-2</v>
      </c>
      <c r="G49" s="6" t="str">
        <f>$A$13</f>
        <v>Negative</v>
      </c>
      <c r="H49" t="str">
        <f>$B$13</f>
        <v>Male</v>
      </c>
      <c r="I49" t="str">
        <f>$C$13</f>
        <v>Therapy 2</v>
      </c>
      <c r="J49" s="6">
        <f>$D$13</f>
        <v>12</v>
      </c>
      <c r="K49" s="87">
        <f t="shared" si="15"/>
        <v>2.4E-2</v>
      </c>
      <c r="L49" s="8">
        <f t="shared" si="16"/>
        <v>2.4849066497880004</v>
      </c>
      <c r="M49" s="6">
        <f>D64*D73/$D$18</f>
        <v>19.161999999999999</v>
      </c>
      <c r="N49" s="87">
        <f t="shared" si="17"/>
        <v>3.8323999999999997E-2</v>
      </c>
      <c r="O49" s="8">
        <f t="shared" si="18"/>
        <v>2.9529291512286817</v>
      </c>
      <c r="P49" s="6">
        <f t="shared" si="19"/>
        <v>-7.161999999999999</v>
      </c>
      <c r="Q49" s="8">
        <f t="shared" si="20"/>
        <v>-1.6361152729911719</v>
      </c>
      <c r="R49" s="58">
        <f t="shared" si="21"/>
        <v>-11.232540034576353</v>
      </c>
    </row>
    <row r="50" spans="1:21" x14ac:dyDescent="0.25">
      <c r="A50" s="10" t="str">
        <f>A49</f>
        <v>Negative</v>
      </c>
      <c r="B50" s="10" t="str">
        <f>B48</f>
        <v>Female</v>
      </c>
      <c r="C50" s="10"/>
      <c r="D50" s="10">
        <f>SUMIFS($D$32:$D$43,$A$32:$A$43,A50,$B$32:$B$43,B50)</f>
        <v>105</v>
      </c>
      <c r="E50" s="88">
        <f>D50/$D$51</f>
        <v>0.21</v>
      </c>
      <c r="G50" s="6" t="str">
        <f>$A$14</f>
        <v>Negative</v>
      </c>
      <c r="H50" t="str">
        <f>$B$14</f>
        <v>Male</v>
      </c>
      <c r="I50" t="str">
        <f>$C$14</f>
        <v>Therapy 3</v>
      </c>
      <c r="J50" s="6">
        <f>$D$14</f>
        <v>17</v>
      </c>
      <c r="K50" s="87">
        <f t="shared" si="15"/>
        <v>3.4000000000000002E-2</v>
      </c>
      <c r="L50" s="8">
        <f t="shared" si="16"/>
        <v>2.8332133440562162</v>
      </c>
      <c r="M50" s="6">
        <f>D65*D73/$D$18</f>
        <v>35.463999999999999</v>
      </c>
      <c r="N50" s="87">
        <f t="shared" si="17"/>
        <v>7.0927999999999991E-2</v>
      </c>
      <c r="O50" s="8">
        <f t="shared" si="18"/>
        <v>3.5685180974427522</v>
      </c>
      <c r="P50" s="6">
        <f t="shared" si="19"/>
        <v>-18.463999999999999</v>
      </c>
      <c r="Q50" s="8">
        <f t="shared" si="20"/>
        <v>-3.1005014038959193</v>
      </c>
      <c r="R50" s="58">
        <f t="shared" si="21"/>
        <v>-25.000361615142225</v>
      </c>
    </row>
    <row r="51" spans="1:21" x14ac:dyDescent="0.25">
      <c r="A51" s="7"/>
      <c r="B51" s="7"/>
      <c r="C51" s="7"/>
      <c r="D51" s="7">
        <f>SUM(D47:D50)</f>
        <v>500</v>
      </c>
      <c r="G51" s="6" t="str">
        <f>$A$15</f>
        <v>Negative</v>
      </c>
      <c r="H51" t="str">
        <f>$B$15</f>
        <v>Female</v>
      </c>
      <c r="I51" t="str">
        <f>$C$15</f>
        <v>Therapy 1</v>
      </c>
      <c r="J51" s="6">
        <f>$D$15</f>
        <v>16</v>
      </c>
      <c r="K51" s="87">
        <f t="shared" si="15"/>
        <v>3.2000000000000001E-2</v>
      </c>
      <c r="L51" s="8">
        <f t="shared" si="16"/>
        <v>2.7725887222397811</v>
      </c>
      <c r="M51" s="6">
        <f>D66*D73/$D$18</f>
        <v>13.728</v>
      </c>
      <c r="N51" s="87">
        <f t="shared" si="17"/>
        <v>2.7456000000000001E-2</v>
      </c>
      <c r="O51" s="8">
        <f t="shared" si="18"/>
        <v>2.6194375427456063</v>
      </c>
      <c r="P51" s="6">
        <f t="shared" si="19"/>
        <v>2.2720000000000002</v>
      </c>
      <c r="Q51" s="8">
        <f t="shared" si="20"/>
        <v>0.61320359426429338</v>
      </c>
      <c r="R51" s="58">
        <f t="shared" si="21"/>
        <v>4.9008377438135966</v>
      </c>
    </row>
    <row r="52" spans="1:21" x14ac:dyDescent="0.25">
      <c r="G52" s="6" t="str">
        <f>$A$16</f>
        <v>Negative</v>
      </c>
      <c r="H52" t="str">
        <f>$B$16</f>
        <v>Female</v>
      </c>
      <c r="I52" t="str">
        <f>$C$16</f>
        <v>Therapy 2</v>
      </c>
      <c r="J52" s="6">
        <f>$D$16</f>
        <v>33</v>
      </c>
      <c r="K52" s="87">
        <f t="shared" si="15"/>
        <v>6.6000000000000003E-2</v>
      </c>
      <c r="L52" s="8">
        <f t="shared" si="16"/>
        <v>3.4965075614664802</v>
      </c>
      <c r="M52" s="6">
        <f>D67*D73/$D$18</f>
        <v>16.302</v>
      </c>
      <c r="N52" s="87">
        <f t="shared" si="17"/>
        <v>3.2604000000000001E-2</v>
      </c>
      <c r="O52" s="8">
        <f t="shared" si="18"/>
        <v>2.7912877996722658</v>
      </c>
      <c r="P52" s="6">
        <f t="shared" si="19"/>
        <v>16.698</v>
      </c>
      <c r="Q52" s="8">
        <f t="shared" si="20"/>
        <v>4.1356522379424483</v>
      </c>
      <c r="R52" s="58">
        <f t="shared" si="21"/>
        <v>46.544504278418152</v>
      </c>
    </row>
    <row r="53" spans="1:21" x14ac:dyDescent="0.25">
      <c r="A53" s="95" t="str">
        <f>$A$5</f>
        <v>Cure</v>
      </c>
      <c r="B53" s="82" t="str">
        <f>$B$5</f>
        <v>Gender</v>
      </c>
      <c r="C53" s="82" t="str">
        <f>$C$5</f>
        <v>Therapy</v>
      </c>
      <c r="D53" s="83" t="str">
        <f>$D$5</f>
        <v>Obs</v>
      </c>
      <c r="E53" s="83" t="str">
        <f>$E$46</f>
        <v>Prob</v>
      </c>
      <c r="G53" s="9" t="str">
        <f>$A$17</f>
        <v>Negative</v>
      </c>
      <c r="H53" s="10" t="str">
        <f>$B$17</f>
        <v>Female</v>
      </c>
      <c r="I53" s="10" t="str">
        <f>$C$17</f>
        <v>Therapy 3</v>
      </c>
      <c r="J53" s="9">
        <f>$D$17</f>
        <v>56</v>
      </c>
      <c r="K53" s="88">
        <f t="shared" si="15"/>
        <v>0.112</v>
      </c>
      <c r="L53" s="11">
        <f t="shared" si="16"/>
        <v>4.0253516907351496</v>
      </c>
      <c r="M53" s="9">
        <f>D68*D73/$D$18</f>
        <v>38.896000000000001</v>
      </c>
      <c r="N53" s="88">
        <f t="shared" si="17"/>
        <v>7.7792E-2</v>
      </c>
      <c r="O53" s="11">
        <f t="shared" si="18"/>
        <v>3.6608914175737675</v>
      </c>
      <c r="P53" s="112">
        <f t="shared" si="19"/>
        <v>17.103999999999999</v>
      </c>
      <c r="Q53" s="11">
        <f t="shared" si="20"/>
        <v>2.7424910384257104</v>
      </c>
      <c r="R53" s="54">
        <f t="shared" si="21"/>
        <v>40.819550594074805</v>
      </c>
    </row>
    <row r="54" spans="1:21" x14ac:dyDescent="0.25">
      <c r="A54" t="str">
        <f>A6</f>
        <v>Positive</v>
      </c>
      <c r="C54" t="str">
        <f>C6</f>
        <v>Therapy 1</v>
      </c>
      <c r="D54">
        <f t="shared" ref="D54:D59" si="22">SUMIFS($D$32:$D$43,$A$32:$A$43,A54,$C$32:$C$43,C54)</f>
        <v>91</v>
      </c>
      <c r="E54" s="40">
        <f t="shared" ref="E54:E59" si="23">D54/$D$60</f>
        <v>0.182</v>
      </c>
      <c r="R54">
        <f>SUM(R42:R53)</f>
        <v>60.302394034976658</v>
      </c>
    </row>
    <row r="55" spans="1:21" x14ac:dyDescent="0.25">
      <c r="A55" t="str">
        <f>A54</f>
        <v>Positive</v>
      </c>
      <c r="C55" t="str">
        <f>C7</f>
        <v>Therapy 2</v>
      </c>
      <c r="D55">
        <f t="shared" si="22"/>
        <v>79</v>
      </c>
      <c r="E55" s="40">
        <f t="shared" si="23"/>
        <v>0.158</v>
      </c>
    </row>
    <row r="56" spans="1:21" x14ac:dyDescent="0.25">
      <c r="A56" t="str">
        <f>A55</f>
        <v>Positive</v>
      </c>
      <c r="C56" t="str">
        <f>C8</f>
        <v>Therapy 3</v>
      </c>
      <c r="D56">
        <f t="shared" si="22"/>
        <v>187</v>
      </c>
      <c r="E56" s="40">
        <f t="shared" si="23"/>
        <v>0.374</v>
      </c>
      <c r="G56" s="1" t="s">
        <v>284</v>
      </c>
    </row>
    <row r="57" spans="1:21" x14ac:dyDescent="0.25">
      <c r="A57" t="str">
        <f>A12</f>
        <v>Negative</v>
      </c>
      <c r="C57" t="str">
        <f>C54</f>
        <v>Therapy 1</v>
      </c>
      <c r="D57">
        <f t="shared" si="22"/>
        <v>25</v>
      </c>
      <c r="E57" s="40">
        <f t="shared" si="23"/>
        <v>0.05</v>
      </c>
      <c r="J57" s="777" t="s">
        <v>132</v>
      </c>
      <c r="K57" s="778"/>
      <c r="L57" s="779"/>
      <c r="M57" s="777" t="s">
        <v>222</v>
      </c>
      <c r="N57" s="778"/>
      <c r="O57" s="779"/>
      <c r="P57" s="774" t="s">
        <v>133</v>
      </c>
      <c r="Q57" s="780"/>
    </row>
    <row r="58" spans="1:21" x14ac:dyDescent="0.25">
      <c r="A58" t="str">
        <f>A57</f>
        <v>Negative</v>
      </c>
      <c r="C58" t="str">
        <f>C55</f>
        <v>Therapy 2</v>
      </c>
      <c r="D58">
        <f t="shared" si="22"/>
        <v>45</v>
      </c>
      <c r="E58" s="40">
        <f t="shared" si="23"/>
        <v>0.09</v>
      </c>
      <c r="G58" s="95" t="str">
        <f>$A$5</f>
        <v>Cure</v>
      </c>
      <c r="H58" s="82" t="str">
        <f>$B$5</f>
        <v>Gender</v>
      </c>
      <c r="I58" s="82" t="str">
        <f>$C$5</f>
        <v>Therapy</v>
      </c>
      <c r="J58" s="84" t="s">
        <v>220</v>
      </c>
      <c r="K58" s="85" t="s">
        <v>219</v>
      </c>
      <c r="L58" s="86" t="s">
        <v>137</v>
      </c>
      <c r="M58" s="84" t="s">
        <v>221</v>
      </c>
      <c r="N58" s="85" t="s">
        <v>219</v>
      </c>
      <c r="O58" s="86" t="s">
        <v>212</v>
      </c>
      <c r="P58" s="133" t="s">
        <v>118</v>
      </c>
      <c r="Q58" s="135" t="s">
        <v>231</v>
      </c>
      <c r="R58" s="90" t="s">
        <v>73</v>
      </c>
      <c r="T58" s="47" t="s">
        <v>73</v>
      </c>
      <c r="U58" s="94">
        <f>R71</f>
        <v>12.040798754725822</v>
      </c>
    </row>
    <row r="59" spans="1:21" x14ac:dyDescent="0.25">
      <c r="A59" s="10" t="str">
        <f>A58</f>
        <v>Negative</v>
      </c>
      <c r="B59" s="10"/>
      <c r="C59" s="10" t="str">
        <f>C56</f>
        <v>Therapy 3</v>
      </c>
      <c r="D59" s="10">
        <f t="shared" si="22"/>
        <v>73</v>
      </c>
      <c r="E59" s="88">
        <f t="shared" si="23"/>
        <v>0.14599999999999999</v>
      </c>
      <c r="G59" s="6" t="str">
        <f>$A$6</f>
        <v>Positive</v>
      </c>
      <c r="H59" t="str">
        <f>$B$6</f>
        <v>Male</v>
      </c>
      <c r="I59" t="str">
        <f>$C$6</f>
        <v>Therapy 1</v>
      </c>
      <c r="J59" s="6">
        <f>$D$6</f>
        <v>59</v>
      </c>
      <c r="K59" s="87">
        <f>J59/$D$18</f>
        <v>0.11799999999999999</v>
      </c>
      <c r="L59" s="8">
        <f>LN(J59)</f>
        <v>4.0775374439057197</v>
      </c>
      <c r="M59" s="96">
        <f>D47*D82/$D$18</f>
        <v>51.271999999999998</v>
      </c>
      <c r="N59" s="130">
        <f>M59/$D$18</f>
        <v>0.102544</v>
      </c>
      <c r="O59" s="131">
        <f>LN(M59)</f>
        <v>3.9371447942019255</v>
      </c>
      <c r="P59" s="132">
        <f>J59-M59</f>
        <v>7.7280000000000015</v>
      </c>
      <c r="Q59" s="131">
        <f>P59/SQRT(M59)</f>
        <v>1.0792622434654489</v>
      </c>
      <c r="R59" s="58">
        <f>2*J59*(L59-O59)</f>
        <v>16.56633266504771</v>
      </c>
      <c r="T59" t="s">
        <v>41</v>
      </c>
      <c r="U59" s="58">
        <f>(C27-1)*(A27*B27-1)</f>
        <v>6</v>
      </c>
    </row>
    <row r="60" spans="1:21" x14ac:dyDescent="0.25">
      <c r="A60" s="7"/>
      <c r="B60" s="7"/>
      <c r="C60" s="7"/>
      <c r="D60" s="7">
        <f>SUM(D54:D59)</f>
        <v>500</v>
      </c>
      <c r="G60" s="6" t="str">
        <f>$A$7</f>
        <v>Positive</v>
      </c>
      <c r="H60" t="str">
        <f>$B$7</f>
        <v>Male</v>
      </c>
      <c r="I60" t="str">
        <f>$C$7</f>
        <v>Therapy 2</v>
      </c>
      <c r="J60" s="6">
        <f>$D$7</f>
        <v>55</v>
      </c>
      <c r="K60" s="87">
        <f t="shared" ref="K60:K70" si="24">J60/$D$18</f>
        <v>0.11</v>
      </c>
      <c r="L60" s="8">
        <f t="shared" ref="L60:L70" si="25">LN(J60)</f>
        <v>4.0073331852324712</v>
      </c>
      <c r="M60" s="6">
        <f>D47*D83/$D$18</f>
        <v>54.808</v>
      </c>
      <c r="N60" s="87">
        <f t="shared" ref="N60:N70" si="26">M60/$D$18</f>
        <v>0.10961600000000001</v>
      </c>
      <c r="O60" s="8">
        <f t="shared" ref="O60:O70" si="27">LN(M60)</f>
        <v>4.0038361687005981</v>
      </c>
      <c r="P60" s="6">
        <f t="shared" ref="P60:P70" si="28">J60-M60</f>
        <v>0.19200000000000017</v>
      </c>
      <c r="Q60" s="8">
        <f t="shared" ref="Q60:Q70" si="29">P60/SQRT(M60)</f>
        <v>2.5934581927904998E-2</v>
      </c>
      <c r="R60" s="58">
        <f t="shared" ref="R60:R70" si="30">2*J60*(L60-O60)</f>
        <v>0.38467181850603716</v>
      </c>
      <c r="T60" s="24" t="s">
        <v>32</v>
      </c>
      <c r="U60" s="58">
        <v>0.05</v>
      </c>
    </row>
    <row r="61" spans="1:21" x14ac:dyDescent="0.25">
      <c r="G61" s="6" t="str">
        <f>$A$8</f>
        <v>Positive</v>
      </c>
      <c r="H61" t="str">
        <f>$B$8</f>
        <v>Male</v>
      </c>
      <c r="I61" t="str">
        <f>$C$8</f>
        <v>Therapy 3</v>
      </c>
      <c r="J61" s="6">
        <f>$D$8</f>
        <v>107</v>
      </c>
      <c r="K61" s="87">
        <f t="shared" si="24"/>
        <v>0.214</v>
      </c>
      <c r="L61" s="8">
        <f t="shared" si="25"/>
        <v>4.6728288344619058</v>
      </c>
      <c r="M61" s="6">
        <f>D47*D84/$D$18</f>
        <v>114.92</v>
      </c>
      <c r="N61" s="87">
        <f t="shared" si="26"/>
        <v>0.22984000000000002</v>
      </c>
      <c r="O61" s="8">
        <f t="shared" si="27"/>
        <v>4.7442362341110886</v>
      </c>
      <c r="P61" s="6">
        <f t="shared" si="28"/>
        <v>-7.9200000000000017</v>
      </c>
      <c r="Q61" s="8">
        <f t="shared" si="29"/>
        <v>-0.73880082703375294</v>
      </c>
      <c r="R61" s="58">
        <f t="shared" si="30"/>
        <v>-15.281183524925131</v>
      </c>
      <c r="T61" s="75" t="s">
        <v>48</v>
      </c>
      <c r="U61" s="58">
        <f>CHIDIST(U58,U59)</f>
        <v>6.1064798869981202E-2</v>
      </c>
    </row>
    <row r="62" spans="1:21" x14ac:dyDescent="0.25">
      <c r="A62" s="95" t="str">
        <f>$A$5</f>
        <v>Cure</v>
      </c>
      <c r="B62" s="82" t="str">
        <f>$B$5</f>
        <v>Gender</v>
      </c>
      <c r="C62" s="82" t="str">
        <f>$C$5</f>
        <v>Therapy</v>
      </c>
      <c r="D62" s="83" t="str">
        <f>$D$5</f>
        <v>Obs</v>
      </c>
      <c r="E62" s="83" t="str">
        <f>$E$46</f>
        <v>Prob</v>
      </c>
      <c r="G62" s="6" t="str">
        <f>$A$9</f>
        <v>Positive</v>
      </c>
      <c r="H62" t="str">
        <f>$B$9</f>
        <v>Female</v>
      </c>
      <c r="I62" t="str">
        <f>$C$9</f>
        <v>Therapy 1</v>
      </c>
      <c r="J62" s="6">
        <f>$D$9</f>
        <v>32</v>
      </c>
      <c r="K62" s="87">
        <f t="shared" si="24"/>
        <v>6.4000000000000001E-2</v>
      </c>
      <c r="L62" s="8">
        <f t="shared" si="25"/>
        <v>3.4657359027997265</v>
      </c>
      <c r="M62" s="6">
        <f>D48*D82/$D$18</f>
        <v>31.552</v>
      </c>
      <c r="N62" s="87">
        <f t="shared" si="26"/>
        <v>6.3103999999999993E-2</v>
      </c>
      <c r="O62" s="8">
        <f t="shared" si="27"/>
        <v>3.451636978420225</v>
      </c>
      <c r="P62" s="6">
        <f t="shared" si="28"/>
        <v>0.4480000000000004</v>
      </c>
      <c r="Q62" s="8">
        <f t="shared" si="29"/>
        <v>7.9756220865423971E-2</v>
      </c>
      <c r="R62" s="58">
        <f t="shared" si="30"/>
        <v>0.90233116028809945</v>
      </c>
      <c r="T62" s="47" t="s">
        <v>74</v>
      </c>
      <c r="U62" s="58">
        <f>CHIINV(U60,U59)</f>
        <v>12.591587243743978</v>
      </c>
    </row>
    <row r="63" spans="1:21" x14ac:dyDescent="0.25">
      <c r="B63" t="str">
        <f t="shared" ref="B63:C68" si="31">B6</f>
        <v>Male</v>
      </c>
      <c r="C63" t="str">
        <f t="shared" si="31"/>
        <v>Therapy 1</v>
      </c>
      <c r="D63">
        <f t="shared" ref="D63:D68" si="32">SUMIFS($D$32:$D$43,$B$32:$B$43,B63,$C$32:$C$43,C63)</f>
        <v>68</v>
      </c>
      <c r="E63" s="40">
        <f t="shared" ref="E63:E68" si="33">D63/$D$60</f>
        <v>0.13600000000000001</v>
      </c>
      <c r="G63" s="6" t="str">
        <f>$A$10</f>
        <v>Positive</v>
      </c>
      <c r="H63" t="str">
        <f>$B$10</f>
        <v>Female</v>
      </c>
      <c r="I63" t="str">
        <f>$C$10</f>
        <v>Therapy 2</v>
      </c>
      <c r="J63" s="6">
        <f>$D$10</f>
        <v>24</v>
      </c>
      <c r="K63" s="87">
        <f t="shared" si="24"/>
        <v>4.8000000000000001E-2</v>
      </c>
      <c r="L63" s="8">
        <f t="shared" si="25"/>
        <v>3.1780538303479458</v>
      </c>
      <c r="M63" s="6">
        <f>D48*D83/$D$18</f>
        <v>33.728000000000002</v>
      </c>
      <c r="N63" s="87">
        <f t="shared" si="26"/>
        <v>6.7456000000000002E-2</v>
      </c>
      <c r="O63" s="8">
        <f t="shared" si="27"/>
        <v>3.5183283529188971</v>
      </c>
      <c r="P63" s="6">
        <f t="shared" si="28"/>
        <v>-9.7280000000000015</v>
      </c>
      <c r="Q63" s="8">
        <f t="shared" si="29"/>
        <v>-1.6750518981452713</v>
      </c>
      <c r="R63" s="58">
        <f t="shared" si="30"/>
        <v>-16.333177083405666</v>
      </c>
      <c r="T63" s="75" t="s">
        <v>164</v>
      </c>
      <c r="U63" s="53" t="str">
        <f>IF(U61&lt;U60,"yes","no")</f>
        <v>no</v>
      </c>
    </row>
    <row r="64" spans="1:21" x14ac:dyDescent="0.25">
      <c r="B64" t="str">
        <f t="shared" si="31"/>
        <v>Male</v>
      </c>
      <c r="C64" t="str">
        <f t="shared" si="31"/>
        <v>Therapy 2</v>
      </c>
      <c r="D64">
        <f t="shared" si="32"/>
        <v>67</v>
      </c>
      <c r="E64" s="40">
        <f t="shared" si="33"/>
        <v>0.13400000000000001</v>
      </c>
      <c r="G64" s="6" t="str">
        <f>$A$11</f>
        <v>Positive</v>
      </c>
      <c r="H64" t="str">
        <f>$B$11</f>
        <v>Female</v>
      </c>
      <c r="I64" t="str">
        <f>$C$11</f>
        <v>Therapy 3</v>
      </c>
      <c r="J64" s="6">
        <f>$D$11</f>
        <v>80</v>
      </c>
      <c r="K64" s="87">
        <f t="shared" si="24"/>
        <v>0.16</v>
      </c>
      <c r="L64" s="8">
        <f t="shared" si="25"/>
        <v>4.3820266346738812</v>
      </c>
      <c r="M64" s="6">
        <f>D48*D84/$D$18</f>
        <v>70.72</v>
      </c>
      <c r="N64" s="87">
        <f t="shared" si="26"/>
        <v>0.14144000000000001</v>
      </c>
      <c r="O64" s="8">
        <f t="shared" si="27"/>
        <v>4.2587284183293876</v>
      </c>
      <c r="P64" s="6">
        <f t="shared" si="28"/>
        <v>9.2800000000000011</v>
      </c>
      <c r="Q64" s="8">
        <f t="shared" si="29"/>
        <v>1.1035114664384265</v>
      </c>
      <c r="R64" s="58">
        <f t="shared" si="30"/>
        <v>19.72771461511897</v>
      </c>
    </row>
    <row r="65" spans="1:21" x14ac:dyDescent="0.25">
      <c r="B65" t="str">
        <f t="shared" si="31"/>
        <v>Male</v>
      </c>
      <c r="C65" t="str">
        <f t="shared" si="31"/>
        <v>Therapy 3</v>
      </c>
      <c r="D65">
        <f t="shared" si="32"/>
        <v>124</v>
      </c>
      <c r="E65" s="40">
        <f t="shared" si="33"/>
        <v>0.248</v>
      </c>
      <c r="G65" s="6" t="str">
        <f>$A$12</f>
        <v>Negative</v>
      </c>
      <c r="H65" t="str">
        <f>$B$12</f>
        <v>Male</v>
      </c>
      <c r="I65" t="str">
        <f>$C$12</f>
        <v>Therapy 1</v>
      </c>
      <c r="J65" s="6">
        <f>$D$12</f>
        <v>9</v>
      </c>
      <c r="K65" s="87">
        <f t="shared" si="24"/>
        <v>1.7999999999999999E-2</v>
      </c>
      <c r="L65" s="8">
        <f t="shared" si="25"/>
        <v>2.1972245773362196</v>
      </c>
      <c r="M65" s="6">
        <f>D49*D82/$D$18</f>
        <v>8.8160000000000007</v>
      </c>
      <c r="N65" s="87">
        <f t="shared" si="26"/>
        <v>1.7632000000000002E-2</v>
      </c>
      <c r="O65" s="8">
        <f t="shared" si="27"/>
        <v>2.1765682524105587</v>
      </c>
      <c r="P65" s="6">
        <f t="shared" si="28"/>
        <v>0.18399999999999928</v>
      </c>
      <c r="Q65" s="8">
        <f t="shared" si="29"/>
        <v>6.1970076497654868E-2</v>
      </c>
      <c r="R65" s="58">
        <f t="shared" si="30"/>
        <v>0.37181384866189493</v>
      </c>
    </row>
    <row r="66" spans="1:21" x14ac:dyDescent="0.25">
      <c r="B66" t="str">
        <f t="shared" si="31"/>
        <v>Female</v>
      </c>
      <c r="C66" t="str">
        <f t="shared" si="31"/>
        <v>Therapy 1</v>
      </c>
      <c r="D66">
        <f t="shared" si="32"/>
        <v>48</v>
      </c>
      <c r="E66" s="40">
        <f t="shared" si="33"/>
        <v>9.6000000000000002E-2</v>
      </c>
      <c r="G66" s="6" t="str">
        <f>$A$13</f>
        <v>Negative</v>
      </c>
      <c r="H66" t="str">
        <f>$B$13</f>
        <v>Male</v>
      </c>
      <c r="I66" t="str">
        <f>$C$13</f>
        <v>Therapy 2</v>
      </c>
      <c r="J66" s="6">
        <f>$D$13</f>
        <v>12</v>
      </c>
      <c r="K66" s="87">
        <f t="shared" si="24"/>
        <v>2.4E-2</v>
      </c>
      <c r="L66" s="8">
        <f t="shared" si="25"/>
        <v>2.4849066497880004</v>
      </c>
      <c r="M66" s="6">
        <f>D49*D83/$D$18</f>
        <v>9.4239999999999995</v>
      </c>
      <c r="N66" s="87">
        <f t="shared" si="26"/>
        <v>1.8848E-2</v>
      </c>
      <c r="O66" s="8">
        <f t="shared" si="27"/>
        <v>2.2432596269092309</v>
      </c>
      <c r="P66" s="6">
        <f t="shared" si="28"/>
        <v>2.5760000000000005</v>
      </c>
      <c r="Q66" s="8">
        <f t="shared" si="29"/>
        <v>0.83912801373183932</v>
      </c>
      <c r="R66" s="58">
        <f t="shared" si="30"/>
        <v>5.7995285490904678</v>
      </c>
    </row>
    <row r="67" spans="1:21" x14ac:dyDescent="0.25">
      <c r="B67" t="str">
        <f t="shared" si="31"/>
        <v>Female</v>
      </c>
      <c r="C67" t="str">
        <f t="shared" si="31"/>
        <v>Therapy 2</v>
      </c>
      <c r="D67">
        <f t="shared" si="32"/>
        <v>57</v>
      </c>
      <c r="E67" s="40">
        <f t="shared" si="33"/>
        <v>0.114</v>
      </c>
      <c r="G67" s="6" t="str">
        <f>$A$14</f>
        <v>Negative</v>
      </c>
      <c r="H67" t="str">
        <f>$B$14</f>
        <v>Male</v>
      </c>
      <c r="I67" t="str">
        <f>$C$14</f>
        <v>Therapy 3</v>
      </c>
      <c r="J67" s="6">
        <f>$D$14</f>
        <v>17</v>
      </c>
      <c r="K67" s="87">
        <f t="shared" si="24"/>
        <v>3.4000000000000002E-2</v>
      </c>
      <c r="L67" s="8">
        <f t="shared" si="25"/>
        <v>2.8332133440562162</v>
      </c>
      <c r="M67" s="6">
        <f>D49*D84/$D$18</f>
        <v>19.760000000000002</v>
      </c>
      <c r="N67" s="87">
        <f t="shared" si="26"/>
        <v>3.9520000000000007E-2</v>
      </c>
      <c r="O67" s="8">
        <f t="shared" si="27"/>
        <v>2.9836596923197218</v>
      </c>
      <c r="P67" s="6">
        <f t="shared" si="28"/>
        <v>-2.7600000000000016</v>
      </c>
      <c r="Q67" s="8">
        <f t="shared" si="29"/>
        <v>-0.62089135351886993</v>
      </c>
      <c r="R67" s="58">
        <f t="shared" si="30"/>
        <v>-5.1151758409591928</v>
      </c>
    </row>
    <row r="68" spans="1:21" x14ac:dyDescent="0.25">
      <c r="A68" s="10"/>
      <c r="B68" s="10" t="str">
        <f t="shared" si="31"/>
        <v>Female</v>
      </c>
      <c r="C68" s="10" t="str">
        <f t="shared" si="31"/>
        <v>Therapy 3</v>
      </c>
      <c r="D68" s="10">
        <f t="shared" si="32"/>
        <v>136</v>
      </c>
      <c r="E68" s="88">
        <f t="shared" si="33"/>
        <v>0.27200000000000002</v>
      </c>
      <c r="G68" s="6" t="str">
        <f>$A$15</f>
        <v>Negative</v>
      </c>
      <c r="H68" t="str">
        <f>$B$15</f>
        <v>Female</v>
      </c>
      <c r="I68" t="str">
        <f>$C$15</f>
        <v>Therapy 1</v>
      </c>
      <c r="J68" s="6">
        <f>$D$15</f>
        <v>16</v>
      </c>
      <c r="K68" s="87">
        <f t="shared" si="24"/>
        <v>3.2000000000000001E-2</v>
      </c>
      <c r="L68" s="8">
        <f t="shared" si="25"/>
        <v>2.7725887222397811</v>
      </c>
      <c r="M68" s="6">
        <f>D50*D82/$D$18</f>
        <v>24.36</v>
      </c>
      <c r="N68" s="87">
        <f t="shared" si="26"/>
        <v>4.8719999999999999E-2</v>
      </c>
      <c r="O68" s="8">
        <f t="shared" si="27"/>
        <v>3.1929424428416961</v>
      </c>
      <c r="P68" s="6">
        <f t="shared" si="28"/>
        <v>-8.36</v>
      </c>
      <c r="Q68" s="8">
        <f t="shared" si="29"/>
        <v>-1.6938214778087952</v>
      </c>
      <c r="R68" s="58">
        <f t="shared" si="30"/>
        <v>-13.45131905926128</v>
      </c>
    </row>
    <row r="69" spans="1:21" x14ac:dyDescent="0.25">
      <c r="A69" s="7"/>
      <c r="B69" s="7"/>
      <c r="C69" s="7"/>
      <c r="D69" s="7">
        <f>SUM(D63:D68)</f>
        <v>500</v>
      </c>
      <c r="G69" s="6" t="str">
        <f>$A$16</f>
        <v>Negative</v>
      </c>
      <c r="H69" t="str">
        <f>$B$16</f>
        <v>Female</v>
      </c>
      <c r="I69" t="str">
        <f>$C$16</f>
        <v>Therapy 2</v>
      </c>
      <c r="J69" s="6">
        <f>$D$16</f>
        <v>33</v>
      </c>
      <c r="K69" s="87">
        <f t="shared" si="24"/>
        <v>6.6000000000000003E-2</v>
      </c>
      <c r="L69" s="8">
        <f t="shared" si="25"/>
        <v>3.4965075614664802</v>
      </c>
      <c r="M69" s="6">
        <f>D50*D83/$D$18</f>
        <v>26.04</v>
      </c>
      <c r="N69" s="87">
        <f t="shared" si="26"/>
        <v>5.2080000000000001E-2</v>
      </c>
      <c r="O69" s="8">
        <f t="shared" si="27"/>
        <v>3.2596338173403683</v>
      </c>
      <c r="P69" s="6">
        <f t="shared" si="28"/>
        <v>6.9600000000000009</v>
      </c>
      <c r="Q69" s="8">
        <f t="shared" si="29"/>
        <v>1.3639195349051401</v>
      </c>
      <c r="R69" s="58">
        <f t="shared" si="30"/>
        <v>15.633667112323389</v>
      </c>
    </row>
    <row r="70" spans="1:21" x14ac:dyDescent="0.25">
      <c r="G70" s="9" t="str">
        <f>$A$17</f>
        <v>Negative</v>
      </c>
      <c r="H70" s="10" t="str">
        <f>$B$17</f>
        <v>Female</v>
      </c>
      <c r="I70" s="10" t="str">
        <f>$C$17</f>
        <v>Therapy 3</v>
      </c>
      <c r="J70" s="9">
        <f>$D$17</f>
        <v>56</v>
      </c>
      <c r="K70" s="88">
        <f t="shared" si="24"/>
        <v>0.112</v>
      </c>
      <c r="L70" s="11">
        <f t="shared" si="25"/>
        <v>4.0253516907351496</v>
      </c>
      <c r="M70" s="9">
        <f>D50*D84/$D$18</f>
        <v>54.6</v>
      </c>
      <c r="N70" s="88">
        <f t="shared" si="26"/>
        <v>0.10920000000000001</v>
      </c>
      <c r="O70" s="11">
        <f t="shared" si="27"/>
        <v>4.0000338827508592</v>
      </c>
      <c r="P70" s="112">
        <f t="shared" si="28"/>
        <v>1.3999999999999986</v>
      </c>
      <c r="Q70" s="11">
        <f t="shared" si="29"/>
        <v>0.18946618668626816</v>
      </c>
      <c r="R70" s="54">
        <f t="shared" si="30"/>
        <v>2.8355944942405245</v>
      </c>
    </row>
    <row r="71" spans="1:21" x14ac:dyDescent="0.25">
      <c r="A71" s="95" t="str">
        <f>$A$5</f>
        <v>Cure</v>
      </c>
      <c r="B71" s="82" t="str">
        <f>$B$5</f>
        <v>Gender</v>
      </c>
      <c r="C71" s="82" t="str">
        <f>$C$5</f>
        <v>Therapy</v>
      </c>
      <c r="D71" s="83" t="str">
        <f>$D$5</f>
        <v>Obs</v>
      </c>
      <c r="E71" s="83" t="str">
        <f>$E$46</f>
        <v>Prob</v>
      </c>
      <c r="R71">
        <f>SUM(R59:R70)</f>
        <v>12.040798754725822</v>
      </c>
    </row>
    <row r="72" spans="1:21" x14ac:dyDescent="0.25">
      <c r="A72" t="str">
        <f>A6</f>
        <v>Positive</v>
      </c>
      <c r="D72">
        <f>SUMIF($A$32:$A$43,A72,$D$32:$D$43)</f>
        <v>357</v>
      </c>
      <c r="E72" s="40">
        <f>D72/$D$60</f>
        <v>0.71399999999999997</v>
      </c>
    </row>
    <row r="73" spans="1:21" x14ac:dyDescent="0.25">
      <c r="A73" s="10" t="str">
        <f>A12</f>
        <v>Negative</v>
      </c>
      <c r="B73" s="10"/>
      <c r="C73" s="10"/>
      <c r="D73" s="10">
        <f>SUMIF($A$32:$A$43,A73,$D$32:$D$43)</f>
        <v>143</v>
      </c>
      <c r="E73" s="88">
        <f>D73/$D$60</f>
        <v>0.28599999999999998</v>
      </c>
      <c r="G73" s="1" t="s">
        <v>285</v>
      </c>
    </row>
    <row r="74" spans="1:21" x14ac:dyDescent="0.25">
      <c r="D74">
        <f>SUM(D72:D73)</f>
        <v>500</v>
      </c>
    </row>
    <row r="75" spans="1:21" x14ac:dyDescent="0.25">
      <c r="J75" s="777" t="s">
        <v>132</v>
      </c>
      <c r="K75" s="778"/>
      <c r="L75" s="779"/>
      <c r="M75" s="777" t="s">
        <v>222</v>
      </c>
      <c r="N75" s="778"/>
      <c r="O75" s="779"/>
      <c r="P75" s="774" t="s">
        <v>133</v>
      </c>
      <c r="Q75" s="780"/>
    </row>
    <row r="76" spans="1:21" x14ac:dyDescent="0.25">
      <c r="A76" s="95" t="str">
        <f>$A$5</f>
        <v>Cure</v>
      </c>
      <c r="B76" s="82" t="str">
        <f>$B$5</f>
        <v>Gender</v>
      </c>
      <c r="C76" s="82" t="str">
        <f>$C$5</f>
        <v>Therapy</v>
      </c>
      <c r="D76" s="83" t="str">
        <f>$D$5</f>
        <v>Obs</v>
      </c>
      <c r="E76" s="83" t="str">
        <f>$E$46</f>
        <v>Prob</v>
      </c>
      <c r="G76" s="95" t="str">
        <f>$A$5</f>
        <v>Cure</v>
      </c>
      <c r="H76" s="82" t="str">
        <f>$B$5</f>
        <v>Gender</v>
      </c>
      <c r="I76" s="82" t="str">
        <f>$C$5</f>
        <v>Therapy</v>
      </c>
      <c r="J76" s="84" t="s">
        <v>220</v>
      </c>
      <c r="K76" s="85" t="s">
        <v>219</v>
      </c>
      <c r="L76" s="86" t="s">
        <v>137</v>
      </c>
      <c r="M76" s="84" t="s">
        <v>221</v>
      </c>
      <c r="N76" s="85" t="s">
        <v>219</v>
      </c>
      <c r="O76" s="86" t="s">
        <v>212</v>
      </c>
      <c r="P76" s="133" t="s">
        <v>118</v>
      </c>
      <c r="Q76" s="135" t="s">
        <v>231</v>
      </c>
      <c r="R76" s="90" t="s">
        <v>73</v>
      </c>
      <c r="T76" s="47" t="s">
        <v>73</v>
      </c>
      <c r="U76" s="94">
        <f>R89</f>
        <v>7.8620012972988071</v>
      </c>
    </row>
    <row r="77" spans="1:21" x14ac:dyDescent="0.25">
      <c r="B77" t="str">
        <f>B6</f>
        <v>Male</v>
      </c>
      <c r="D77">
        <f>SUMIF($B$32:$B$43,B77,$D$32:$D$43)</f>
        <v>259</v>
      </c>
      <c r="E77" s="40">
        <f>D77/$D$60</f>
        <v>0.51800000000000002</v>
      </c>
      <c r="G77" s="6" t="str">
        <f>$A$6</f>
        <v>Positive</v>
      </c>
      <c r="H77" t="str">
        <f>$B$6</f>
        <v>Male</v>
      </c>
      <c r="I77" t="str">
        <f>$C$6</f>
        <v>Therapy 1</v>
      </c>
      <c r="J77" s="6">
        <f>$D$6</f>
        <v>59</v>
      </c>
      <c r="K77" s="87">
        <f>J77/$D$18</f>
        <v>0.11799999999999999</v>
      </c>
      <c r="L77" s="8">
        <f>LN(J77)</f>
        <v>4.0775374439057197</v>
      </c>
      <c r="M77" s="6">
        <f>(D47*D63)/D77</f>
        <v>58.02316602316602</v>
      </c>
      <c r="N77" s="87">
        <f t="shared" ref="N77:N88" si="34">M77/D$44</f>
        <v>0.11604633204633204</v>
      </c>
      <c r="O77" s="8">
        <f>LN(M77)</f>
        <v>4.0608423449943221</v>
      </c>
      <c r="P77" s="132">
        <f>J77-M77</f>
        <v>0.97683397683397999</v>
      </c>
      <c r="Q77" s="131">
        <f>P77/SQRT(M77)</f>
        <v>0.1282389773172217</v>
      </c>
      <c r="R77" s="58">
        <f>2*J77*(L77-O77)</f>
        <v>1.9700216715449219</v>
      </c>
      <c r="T77" t="s">
        <v>41</v>
      </c>
      <c r="U77" s="58">
        <f>(A27-1)*B27*(C27-1)</f>
        <v>4</v>
      </c>
    </row>
    <row r="78" spans="1:21" x14ac:dyDescent="0.25">
      <c r="A78" s="10"/>
      <c r="B78" s="10" t="str">
        <f>B9</f>
        <v>Female</v>
      </c>
      <c r="C78" s="10"/>
      <c r="D78" s="10">
        <f>SUMIF($B$32:$B$43,B78,$D$32:$D$43)</f>
        <v>241</v>
      </c>
      <c r="E78" s="88">
        <f>D78/$D$60</f>
        <v>0.48199999999999998</v>
      </c>
      <c r="G78" s="6" t="str">
        <f>$A$7</f>
        <v>Positive</v>
      </c>
      <c r="H78" t="str">
        <f>$B$7</f>
        <v>Male</v>
      </c>
      <c r="I78" t="str">
        <f>$C$7</f>
        <v>Therapy 2</v>
      </c>
      <c r="J78" s="6">
        <f>$D$7</f>
        <v>55</v>
      </c>
      <c r="K78" s="87">
        <f t="shared" ref="K78:K88" si="35">J78/$D$18</f>
        <v>0.11</v>
      </c>
      <c r="L78" s="8">
        <f t="shared" ref="L78:L88" si="36">LN(J78)</f>
        <v>4.0073331852324712</v>
      </c>
      <c r="M78" s="6">
        <f>(D47*D64)/D77</f>
        <v>57.16988416988417</v>
      </c>
      <c r="N78" s="87">
        <f t="shared" si="34"/>
        <v>0.11433976833976835</v>
      </c>
      <c r="O78" s="8">
        <f t="shared" ref="O78:O88" si="37">LN(M78)</f>
        <v>4.0460272592091808</v>
      </c>
      <c r="P78" s="6">
        <f t="shared" ref="P78:P88" si="38">J78-M78</f>
        <v>-2.1698841698841704</v>
      </c>
      <c r="Q78" s="8">
        <f t="shared" ref="Q78:Q88" si="39">P78/SQRT(M78)</f>
        <v>-0.28698083529996576</v>
      </c>
      <c r="R78" s="58">
        <f t="shared" ref="R78:R88" si="40">2*J78*(L78-O78)</f>
        <v>-4.2563481374380618</v>
      </c>
      <c r="T78" s="24" t="s">
        <v>32</v>
      </c>
      <c r="U78" s="58">
        <v>0.05</v>
      </c>
    </row>
    <row r="79" spans="1:21" x14ac:dyDescent="0.25">
      <c r="D79">
        <f>SUM(D77:D78)</f>
        <v>500</v>
      </c>
      <c r="G79" s="6" t="str">
        <f>$A$8</f>
        <v>Positive</v>
      </c>
      <c r="H79" t="str">
        <f>$B$8</f>
        <v>Male</v>
      </c>
      <c r="I79" t="str">
        <f>$C$8</f>
        <v>Therapy 3</v>
      </c>
      <c r="J79" s="6">
        <f>$D$8</f>
        <v>107</v>
      </c>
      <c r="K79" s="87">
        <f t="shared" si="35"/>
        <v>0.214</v>
      </c>
      <c r="L79" s="8">
        <f t="shared" si="36"/>
        <v>4.6728288344619058</v>
      </c>
      <c r="M79" s="6">
        <f>(D47*D65)/D77</f>
        <v>105.8069498069498</v>
      </c>
      <c r="N79" s="87">
        <f t="shared" si="34"/>
        <v>0.21161389961389959</v>
      </c>
      <c r="O79" s="8">
        <f t="shared" si="37"/>
        <v>4.6616162054232522</v>
      </c>
      <c r="P79" s="6">
        <f t="shared" si="38"/>
        <v>1.1930501930501975</v>
      </c>
      <c r="Q79" s="8">
        <f t="shared" si="39"/>
        <v>0.1159849442191721</v>
      </c>
      <c r="R79" s="58">
        <f t="shared" si="40"/>
        <v>2.3995026142718725</v>
      </c>
      <c r="T79" s="75" t="s">
        <v>48</v>
      </c>
      <c r="U79" s="58">
        <f>CHIDIST(U76,U77)</f>
        <v>9.6766084786978152E-2</v>
      </c>
    </row>
    <row r="80" spans="1:21" x14ac:dyDescent="0.25">
      <c r="G80" s="6" t="str">
        <f>$A$9</f>
        <v>Positive</v>
      </c>
      <c r="H80" t="str">
        <f>$B$9</f>
        <v>Female</v>
      </c>
      <c r="I80" t="str">
        <f>$C$9</f>
        <v>Therapy 1</v>
      </c>
      <c r="J80" s="6">
        <f>$D$9</f>
        <v>32</v>
      </c>
      <c r="K80" s="87">
        <f t="shared" si="35"/>
        <v>6.4000000000000001E-2</v>
      </c>
      <c r="L80" s="8">
        <f t="shared" si="36"/>
        <v>3.4657359027997265</v>
      </c>
      <c r="M80" s="6">
        <f>(D48*D66)/D78</f>
        <v>27.087136929460581</v>
      </c>
      <c r="N80" s="87">
        <f t="shared" si="34"/>
        <v>5.4174273858921158E-2</v>
      </c>
      <c r="O80" s="8">
        <f t="shared" si="37"/>
        <v>3.2990589631532878</v>
      </c>
      <c r="P80" s="6">
        <f t="shared" si="38"/>
        <v>4.9128630705394194</v>
      </c>
      <c r="Q80" s="8">
        <f t="shared" si="39"/>
        <v>0.94395894936593083</v>
      </c>
      <c r="R80" s="58">
        <f t="shared" si="40"/>
        <v>10.667324137372077</v>
      </c>
      <c r="T80" s="47" t="s">
        <v>74</v>
      </c>
      <c r="U80" s="58">
        <f>CHIINV(U78,U77)</f>
        <v>9.4877290367811575</v>
      </c>
    </row>
    <row r="81" spans="1:21" x14ac:dyDescent="0.25">
      <c r="A81" s="95" t="str">
        <f>$A$5</f>
        <v>Cure</v>
      </c>
      <c r="B81" s="82" t="str">
        <f>$B$5</f>
        <v>Gender</v>
      </c>
      <c r="C81" s="82" t="str">
        <f>$C$5</f>
        <v>Therapy</v>
      </c>
      <c r="D81" s="83" t="str">
        <f>$D$5</f>
        <v>Obs</v>
      </c>
      <c r="E81" s="83" t="str">
        <f>$E$46</f>
        <v>Prob</v>
      </c>
      <c r="G81" s="6" t="str">
        <f>$A$10</f>
        <v>Positive</v>
      </c>
      <c r="H81" t="str">
        <f>$B$10</f>
        <v>Female</v>
      </c>
      <c r="I81" t="str">
        <f>$C$10</f>
        <v>Therapy 2</v>
      </c>
      <c r="J81" s="6">
        <f>$D$10</f>
        <v>24</v>
      </c>
      <c r="K81" s="87">
        <f t="shared" si="35"/>
        <v>4.8000000000000001E-2</v>
      </c>
      <c r="L81" s="8">
        <f t="shared" si="36"/>
        <v>3.1780538303479458</v>
      </c>
      <c r="M81" s="6">
        <f>(D48*D67)/D78</f>
        <v>32.165975103734439</v>
      </c>
      <c r="N81" s="87">
        <f t="shared" si="34"/>
        <v>6.4331950207468874E-2</v>
      </c>
      <c r="O81" s="8">
        <f t="shared" si="37"/>
        <v>3.470909220079947</v>
      </c>
      <c r="P81" s="6">
        <f t="shared" si="38"/>
        <v>-8.1659751037344392</v>
      </c>
      <c r="Q81" s="8">
        <f t="shared" si="39"/>
        <v>-1.4398249361531752</v>
      </c>
      <c r="R81" s="58">
        <f t="shared" si="40"/>
        <v>-14.057058707136058</v>
      </c>
      <c r="T81" s="75" t="s">
        <v>164</v>
      </c>
      <c r="U81" s="53" t="str">
        <f>IF(U79&lt;U78,"yes","no")</f>
        <v>no</v>
      </c>
    </row>
    <row r="82" spans="1:21" x14ac:dyDescent="0.25">
      <c r="C82" t="str">
        <f>C6</f>
        <v>Therapy 1</v>
      </c>
      <c r="D82">
        <f>SUMIF($C$32:$C$43,C82,$D$32:$D$43)</f>
        <v>116</v>
      </c>
      <c r="E82" s="40">
        <f>D82/$D$60</f>
        <v>0.23200000000000001</v>
      </c>
      <c r="G82" s="6" t="str">
        <f>$A$11</f>
        <v>Positive</v>
      </c>
      <c r="H82" t="str">
        <f>$B$11</f>
        <v>Female</v>
      </c>
      <c r="I82" t="str">
        <f>$C$11</f>
        <v>Therapy 3</v>
      </c>
      <c r="J82" s="6">
        <f>$D$11</f>
        <v>80</v>
      </c>
      <c r="K82" s="87">
        <f t="shared" si="35"/>
        <v>0.16</v>
      </c>
      <c r="L82" s="8">
        <f t="shared" si="36"/>
        <v>4.3820266346738812</v>
      </c>
      <c r="M82" s="6">
        <f>(D48*D68)/D78</f>
        <v>76.746887966804977</v>
      </c>
      <c r="N82" s="87">
        <f t="shared" si="34"/>
        <v>0.15349377593360997</v>
      </c>
      <c r="O82" s="8">
        <f t="shared" si="37"/>
        <v>4.340512837981449</v>
      </c>
      <c r="P82" s="6">
        <f t="shared" si="38"/>
        <v>3.2531120331950234</v>
      </c>
      <c r="Q82" s="8">
        <f t="shared" si="39"/>
        <v>0.37133734933694984</v>
      </c>
      <c r="R82" s="58">
        <f t="shared" si="40"/>
        <v>6.6422074707891454</v>
      </c>
    </row>
    <row r="83" spans="1:21" x14ac:dyDescent="0.25">
      <c r="C83" t="str">
        <f>C7</f>
        <v>Therapy 2</v>
      </c>
      <c r="D83">
        <f>SUMIF($C$32:$C$43,C83,$D$32:$D$43)</f>
        <v>124</v>
      </c>
      <c r="E83" s="40">
        <f>D83/$D$60</f>
        <v>0.248</v>
      </c>
      <c r="G83" s="6" t="str">
        <f>$A$12</f>
        <v>Negative</v>
      </c>
      <c r="H83" t="str">
        <f>$B$12</f>
        <v>Male</v>
      </c>
      <c r="I83" t="str">
        <f>$C$12</f>
        <v>Therapy 1</v>
      </c>
      <c r="J83" s="6">
        <f>$D$12</f>
        <v>9</v>
      </c>
      <c r="K83" s="87">
        <f t="shared" si="35"/>
        <v>1.7999999999999999E-2</v>
      </c>
      <c r="L83" s="8">
        <f t="shared" si="36"/>
        <v>2.1972245773362196</v>
      </c>
      <c r="M83" s="6">
        <f>(D49*D63)/D77</f>
        <v>9.9768339768339764</v>
      </c>
      <c r="N83" s="87">
        <f t="shared" si="34"/>
        <v>1.9953667953667951E-2</v>
      </c>
      <c r="O83" s="8">
        <f t="shared" si="37"/>
        <v>2.3002658032029548</v>
      </c>
      <c r="P83" s="6">
        <f t="shared" si="38"/>
        <v>-0.97683397683397644</v>
      </c>
      <c r="Q83" s="8">
        <f t="shared" si="39"/>
        <v>-0.30926045070390179</v>
      </c>
      <c r="R83" s="58">
        <f t="shared" si="40"/>
        <v>-1.8547420656012346</v>
      </c>
    </row>
    <row r="84" spans="1:21" x14ac:dyDescent="0.25">
      <c r="A84" s="10"/>
      <c r="B84" s="10"/>
      <c r="C84" s="10" t="str">
        <f>C8</f>
        <v>Therapy 3</v>
      </c>
      <c r="D84" s="10">
        <f>SUMIF($C$32:$C$43,C84,$D$32:$D$43)</f>
        <v>260</v>
      </c>
      <c r="E84" s="88">
        <f>D84/$D$60</f>
        <v>0.52</v>
      </c>
      <c r="G84" s="6" t="str">
        <f>$A$13</f>
        <v>Negative</v>
      </c>
      <c r="H84" t="str">
        <f>$B$13</f>
        <v>Male</v>
      </c>
      <c r="I84" t="str">
        <f>$C$13</f>
        <v>Therapy 2</v>
      </c>
      <c r="J84" s="6">
        <f>$D$13</f>
        <v>12</v>
      </c>
      <c r="K84" s="87">
        <f t="shared" si="35"/>
        <v>2.4E-2</v>
      </c>
      <c r="L84" s="8">
        <f t="shared" si="36"/>
        <v>2.4849066497880004</v>
      </c>
      <c r="M84" s="6">
        <f>(D49*D64)/D77</f>
        <v>9.8301158301158296</v>
      </c>
      <c r="N84" s="87">
        <f t="shared" si="34"/>
        <v>1.9660231660231658E-2</v>
      </c>
      <c r="O84" s="8">
        <f t="shared" si="37"/>
        <v>2.285450717417814</v>
      </c>
      <c r="P84" s="6">
        <f t="shared" si="38"/>
        <v>2.1698841698841704</v>
      </c>
      <c r="Q84" s="8">
        <f t="shared" si="39"/>
        <v>0.69208148976973427</v>
      </c>
      <c r="R84" s="58">
        <f t="shared" si="40"/>
        <v>4.7869423768844719</v>
      </c>
    </row>
    <row r="85" spans="1:21" x14ac:dyDescent="0.25">
      <c r="D85">
        <f>SUM(D82:D84)</f>
        <v>500</v>
      </c>
      <c r="G85" s="6" t="str">
        <f>$A$14</f>
        <v>Negative</v>
      </c>
      <c r="H85" t="str">
        <f>$B$14</f>
        <v>Male</v>
      </c>
      <c r="I85" t="str">
        <f>$C$14</f>
        <v>Therapy 3</v>
      </c>
      <c r="J85" s="6">
        <f>$D$14</f>
        <v>17</v>
      </c>
      <c r="K85" s="87">
        <f t="shared" si="35"/>
        <v>3.4000000000000002E-2</v>
      </c>
      <c r="L85" s="8">
        <f t="shared" si="36"/>
        <v>2.8332133440562162</v>
      </c>
      <c r="M85" s="6">
        <f>(D49*D65)/D77</f>
        <v>18.193050193050194</v>
      </c>
      <c r="N85" s="87">
        <f t="shared" si="34"/>
        <v>3.6386100386100385E-2</v>
      </c>
      <c r="O85" s="8">
        <f t="shared" si="37"/>
        <v>2.9010396636318849</v>
      </c>
      <c r="P85" s="6">
        <f t="shared" si="38"/>
        <v>-1.193050193050194</v>
      </c>
      <c r="Q85" s="8">
        <f t="shared" si="39"/>
        <v>-0.27970868822010669</v>
      </c>
      <c r="R85" s="58">
        <f t="shared" si="40"/>
        <v>-2.3060948655727378</v>
      </c>
    </row>
    <row r="86" spans="1:21" x14ac:dyDescent="0.25">
      <c r="G86" s="6" t="str">
        <f>$A$15</f>
        <v>Negative</v>
      </c>
      <c r="H86" t="str">
        <f>$B$15</f>
        <v>Female</v>
      </c>
      <c r="I86" t="str">
        <f>$C$15</f>
        <v>Therapy 1</v>
      </c>
      <c r="J86" s="6">
        <f>$D$15</f>
        <v>16</v>
      </c>
      <c r="K86" s="87">
        <f t="shared" si="35"/>
        <v>3.2000000000000001E-2</v>
      </c>
      <c r="L86" s="8">
        <f t="shared" si="36"/>
        <v>2.7725887222397811</v>
      </c>
      <c r="M86" s="6">
        <f>(D50*D66)/D78</f>
        <v>20.912863070539419</v>
      </c>
      <c r="N86" s="87">
        <f t="shared" si="34"/>
        <v>4.1825726141078837E-2</v>
      </c>
      <c r="O86" s="8">
        <f t="shared" si="37"/>
        <v>3.0403644275747594</v>
      </c>
      <c r="P86" s="6">
        <f t="shared" si="38"/>
        <v>-4.9128630705394194</v>
      </c>
      <c r="Q86" s="8">
        <f t="shared" si="39"/>
        <v>-1.0743057813347467</v>
      </c>
      <c r="R86" s="58">
        <f t="shared" si="40"/>
        <v>-8.5688225707193055</v>
      </c>
    </row>
    <row r="87" spans="1:21" x14ac:dyDescent="0.25">
      <c r="A87" s="1" t="s">
        <v>191</v>
      </c>
      <c r="G87" s="6" t="str">
        <f>$A$16</f>
        <v>Negative</v>
      </c>
      <c r="H87" t="str">
        <f>$B$16</f>
        <v>Female</v>
      </c>
      <c r="I87" t="str">
        <f>$C$16</f>
        <v>Therapy 2</v>
      </c>
      <c r="J87" s="6">
        <f>$D$16</f>
        <v>33</v>
      </c>
      <c r="K87" s="87">
        <f t="shared" si="35"/>
        <v>6.6000000000000003E-2</v>
      </c>
      <c r="L87" s="8">
        <f t="shared" si="36"/>
        <v>3.4965075614664802</v>
      </c>
      <c r="M87" s="6">
        <f>(D50*D67)/D78</f>
        <v>24.834024896265561</v>
      </c>
      <c r="N87" s="87">
        <f t="shared" si="34"/>
        <v>4.9668049792531123E-2</v>
      </c>
      <c r="O87" s="8">
        <f t="shared" si="37"/>
        <v>3.2122146845014186</v>
      </c>
      <c r="P87" s="6">
        <f t="shared" si="38"/>
        <v>8.1659751037344392</v>
      </c>
      <c r="Q87" s="8">
        <f t="shared" si="39"/>
        <v>1.6386435597207929</v>
      </c>
      <c r="R87" s="58">
        <f t="shared" si="40"/>
        <v>18.763329879694069</v>
      </c>
    </row>
    <row r="88" spans="1:21" x14ac:dyDescent="0.25">
      <c r="B88" s="44" t="s">
        <v>73</v>
      </c>
      <c r="C88" s="110" t="s">
        <v>41</v>
      </c>
      <c r="D88" s="110" t="s">
        <v>48</v>
      </c>
      <c r="E88" s="110" t="s">
        <v>164</v>
      </c>
      <c r="G88" s="9" t="str">
        <f>$A$17</f>
        <v>Negative</v>
      </c>
      <c r="H88" s="10" t="str">
        <f>$B$17</f>
        <v>Female</v>
      </c>
      <c r="I88" s="10" t="str">
        <f>$C$17</f>
        <v>Therapy 3</v>
      </c>
      <c r="J88" s="9">
        <f>$D$17</f>
        <v>56</v>
      </c>
      <c r="K88" s="88">
        <f t="shared" si="35"/>
        <v>0.112</v>
      </c>
      <c r="L88" s="11">
        <f t="shared" si="36"/>
        <v>4.0253516907351496</v>
      </c>
      <c r="M88" s="9">
        <f>(D50*D68)/D78</f>
        <v>59.253112033195023</v>
      </c>
      <c r="N88" s="88">
        <f t="shared" si="34"/>
        <v>0.11850622406639005</v>
      </c>
      <c r="O88" s="11">
        <f t="shared" si="37"/>
        <v>4.0818183024029207</v>
      </c>
      <c r="P88" s="112">
        <f t="shared" si="38"/>
        <v>-3.2531120331950234</v>
      </c>
      <c r="Q88" s="11">
        <f t="shared" si="39"/>
        <v>-0.42261356967500746</v>
      </c>
      <c r="R88" s="54">
        <f t="shared" si="40"/>
        <v>-6.3242605067903526</v>
      </c>
    </row>
    <row r="89" spans="1:21" x14ac:dyDescent="0.25">
      <c r="A89" t="s">
        <v>213</v>
      </c>
      <c r="B89" s="80">
        <f>U310</f>
        <v>233.56671709648069</v>
      </c>
      <c r="C89" s="125">
        <f>U311</f>
        <v>11</v>
      </c>
      <c r="D89" s="81">
        <f>U313</f>
        <v>7.6366473422312161E-44</v>
      </c>
      <c r="E89" s="124" t="str">
        <f>U315</f>
        <v>yes</v>
      </c>
      <c r="R89">
        <f>SUM(R77:R88)</f>
        <v>7.8620012972988071</v>
      </c>
    </row>
    <row r="90" spans="1:21" x14ac:dyDescent="0.25">
      <c r="A90" t="s">
        <v>96</v>
      </c>
      <c r="B90" s="6">
        <f>U148</f>
        <v>138.95072251373131</v>
      </c>
      <c r="C90" s="38">
        <f>U149</f>
        <v>10</v>
      </c>
      <c r="D90" s="7">
        <f>U151</f>
        <v>6.9136338267619402E-25</v>
      </c>
      <c r="E90" s="30" t="str">
        <f>U153</f>
        <v>yes</v>
      </c>
    </row>
    <row r="91" spans="1:21" x14ac:dyDescent="0.25">
      <c r="A91" t="s">
        <v>255</v>
      </c>
      <c r="B91" s="6">
        <f>U166</f>
        <v>232.91857705587103</v>
      </c>
      <c r="C91" s="38">
        <f>U167</f>
        <v>10</v>
      </c>
      <c r="D91" s="7">
        <f>U169</f>
        <v>2.0984703602669198E-44</v>
      </c>
      <c r="E91" s="30" t="str">
        <f>U171</f>
        <v>yes</v>
      </c>
      <c r="G91" s="1" t="s">
        <v>286</v>
      </c>
    </row>
    <row r="92" spans="1:21" x14ac:dyDescent="0.25">
      <c r="A92" t="s">
        <v>116</v>
      </c>
      <c r="B92" s="6">
        <f>U184</f>
        <v>159.74532611576285</v>
      </c>
      <c r="C92" s="38">
        <f>U185</f>
        <v>9</v>
      </c>
      <c r="D92" s="7">
        <f>U187</f>
        <v>8.3887848704672969E-30</v>
      </c>
      <c r="E92" s="30" t="str">
        <f>U189</f>
        <v>yes</v>
      </c>
    </row>
    <row r="93" spans="1:21" x14ac:dyDescent="0.25">
      <c r="A93" t="s">
        <v>256</v>
      </c>
      <c r="B93" s="6">
        <f>U256</f>
        <v>138.30258247312145</v>
      </c>
      <c r="C93" s="38">
        <f>U257</f>
        <v>9</v>
      </c>
      <c r="D93" s="7">
        <f>U259</f>
        <v>2.3112549398295275E-25</v>
      </c>
      <c r="E93" s="30" t="str">
        <f>U261</f>
        <v>yes</v>
      </c>
      <c r="J93" s="777" t="s">
        <v>132</v>
      </c>
      <c r="K93" s="778"/>
      <c r="L93" s="779"/>
      <c r="M93" s="777" t="s">
        <v>222</v>
      </c>
      <c r="N93" s="778"/>
      <c r="O93" s="779"/>
      <c r="P93" s="774" t="s">
        <v>133</v>
      </c>
      <c r="Q93" s="780"/>
    </row>
    <row r="94" spans="1:21" x14ac:dyDescent="0.25">
      <c r="A94" t="s">
        <v>257</v>
      </c>
      <c r="B94" s="6">
        <f>U274</f>
        <v>159.09718607515288</v>
      </c>
      <c r="C94" s="38">
        <f>U275</f>
        <v>8</v>
      </c>
      <c r="D94" s="7">
        <f>U277</f>
        <v>2.4700745086544901E-30</v>
      </c>
      <c r="E94" s="30" t="str">
        <f>U279</f>
        <v>yes</v>
      </c>
      <c r="G94" s="95" t="str">
        <f>$A$5</f>
        <v>Cure</v>
      </c>
      <c r="H94" s="82" t="str">
        <f>$B$5</f>
        <v>Gender</v>
      </c>
      <c r="I94" s="82" t="str">
        <f>$C$5</f>
        <v>Therapy</v>
      </c>
      <c r="J94" s="84" t="s">
        <v>220</v>
      </c>
      <c r="K94" s="85" t="s">
        <v>219</v>
      </c>
      <c r="L94" s="86" t="s">
        <v>137</v>
      </c>
      <c r="M94" s="84" t="s">
        <v>221</v>
      </c>
      <c r="N94" s="85" t="s">
        <v>219</v>
      </c>
      <c r="O94" s="86" t="s">
        <v>212</v>
      </c>
      <c r="P94" s="133" t="s">
        <v>118</v>
      </c>
      <c r="Q94" s="135" t="s">
        <v>231</v>
      </c>
      <c r="R94" s="90" t="s">
        <v>73</v>
      </c>
      <c r="T94" s="47" t="s">
        <v>73</v>
      </c>
      <c r="U94" s="94">
        <f>R107</f>
        <v>5.5925062024545165</v>
      </c>
    </row>
    <row r="95" spans="1:21" x14ac:dyDescent="0.25">
      <c r="A95" t="s">
        <v>258</v>
      </c>
      <c r="B95" s="6">
        <f>U292</f>
        <v>65.129331533013399</v>
      </c>
      <c r="C95" s="38">
        <f>U293</f>
        <v>8</v>
      </c>
      <c r="D95" s="7">
        <f>U295</f>
        <v>4.5500790504720033E-11</v>
      </c>
      <c r="E95" s="30" t="str">
        <f>U297</f>
        <v>yes</v>
      </c>
      <c r="G95" s="6" t="str">
        <f>$A$6</f>
        <v>Positive</v>
      </c>
      <c r="H95" t="str">
        <f>$B$6</f>
        <v>Male</v>
      </c>
      <c r="I95" t="str">
        <f>$C$6</f>
        <v>Therapy 1</v>
      </c>
      <c r="J95" s="6">
        <f>$D$6</f>
        <v>59</v>
      </c>
      <c r="K95" s="87">
        <f>J95/$D$18</f>
        <v>0.11799999999999999</v>
      </c>
      <c r="L95" s="8">
        <f>LN(J95)</f>
        <v>4.0775374439057197</v>
      </c>
      <c r="M95" s="6">
        <f>(D47*D54)/D72</f>
        <v>56.333333333333336</v>
      </c>
      <c r="N95" s="87">
        <f t="shared" ref="N95:N106" si="41">M95/D$44</f>
        <v>0.11266666666666666</v>
      </c>
      <c r="O95" s="8">
        <f>LN(M95)</f>
        <v>4.0312864262549635</v>
      </c>
      <c r="P95" s="132">
        <f>J95-M95</f>
        <v>2.6666666666666643</v>
      </c>
      <c r="Q95" s="131">
        <f>P95/SQRT(M95)</f>
        <v>0.35529247334746167</v>
      </c>
      <c r="R95" s="58">
        <f>2*J95*(L95-O95)</f>
        <v>5.4576200827892354</v>
      </c>
      <c r="T95" t="s">
        <v>41</v>
      </c>
      <c r="U95" s="58">
        <f>(B27-1)*A27*(C27-1)</f>
        <v>4</v>
      </c>
    </row>
    <row r="96" spans="1:21" x14ac:dyDescent="0.25">
      <c r="A96" t="s">
        <v>259</v>
      </c>
      <c r="B96" s="6">
        <f>U130</f>
        <v>64.481191492403582</v>
      </c>
      <c r="C96" s="38">
        <f>U131</f>
        <v>7</v>
      </c>
      <c r="D96" s="7">
        <f>U133</f>
        <v>1.9117300324482149E-11</v>
      </c>
      <c r="E96" s="30" t="str">
        <f>U135</f>
        <v>yes</v>
      </c>
      <c r="G96" s="6" t="str">
        <f>$A$7</f>
        <v>Positive</v>
      </c>
      <c r="H96" t="str">
        <f>$B$7</f>
        <v>Male</v>
      </c>
      <c r="I96" t="str">
        <f>$C$7</f>
        <v>Therapy 2</v>
      </c>
      <c r="J96" s="6">
        <f>$D$7</f>
        <v>55</v>
      </c>
      <c r="K96" s="87">
        <f t="shared" ref="K96:K106" si="42">J96/$D$18</f>
        <v>0.11</v>
      </c>
      <c r="L96" s="8">
        <f t="shared" ref="L96:L106" si="43">LN(J96)</f>
        <v>4.0073331852324712</v>
      </c>
      <c r="M96" s="6">
        <f>D47*D55/D72</f>
        <v>48.904761904761905</v>
      </c>
      <c r="N96" s="87">
        <f t="shared" si="41"/>
        <v>9.7809523809523805E-2</v>
      </c>
      <c r="O96" s="8">
        <f t="shared" ref="O96:O106" si="44">LN(M96)</f>
        <v>3.8898747722051352</v>
      </c>
      <c r="P96" s="6">
        <f t="shared" ref="P96:P106" si="45">J96-M96</f>
        <v>6.0952380952380949</v>
      </c>
      <c r="Q96" s="8">
        <f t="shared" ref="Q96:Q106" si="46">P96/SQRT(M96)</f>
        <v>0.87159574312061372</v>
      </c>
      <c r="R96" s="58">
        <f t="shared" ref="R96:R106" si="47">2*J96*(L96-O96)</f>
        <v>12.920425433006955</v>
      </c>
      <c r="T96" s="24" t="s">
        <v>32</v>
      </c>
      <c r="U96" s="58">
        <v>0.05</v>
      </c>
    </row>
    <row r="97" spans="1:21" x14ac:dyDescent="0.25">
      <c r="A97" t="s">
        <v>260</v>
      </c>
      <c r="B97" s="6">
        <f>U202</f>
        <v>85.862189735443735</v>
      </c>
      <c r="C97" s="38">
        <f>U203</f>
        <v>8</v>
      </c>
      <c r="D97" s="7">
        <f>U205</f>
        <v>3.2070964562435109E-15</v>
      </c>
      <c r="E97" s="30" t="str">
        <f>U207</f>
        <v>yes</v>
      </c>
      <c r="G97" s="6" t="str">
        <f>$A$8</f>
        <v>Positive</v>
      </c>
      <c r="H97" t="str">
        <f>$B$8</f>
        <v>Male</v>
      </c>
      <c r="I97" t="str">
        <f>$C$8</f>
        <v>Therapy 3</v>
      </c>
      <c r="J97" s="6">
        <f>$D$8</f>
        <v>107</v>
      </c>
      <c r="K97" s="87">
        <f t="shared" si="42"/>
        <v>0.214</v>
      </c>
      <c r="L97" s="8">
        <f t="shared" si="43"/>
        <v>4.6728288344619058</v>
      </c>
      <c r="M97" s="6">
        <f>(D47*D56)/D72</f>
        <v>115.76190476190476</v>
      </c>
      <c r="N97" s="87">
        <f t="shared" si="41"/>
        <v>0.23152380952380952</v>
      </c>
      <c r="O97" s="8">
        <f t="shared" si="44"/>
        <v>4.7515355365927006</v>
      </c>
      <c r="P97" s="6">
        <f t="shared" si="45"/>
        <v>-8.7619047619047592</v>
      </c>
      <c r="Q97" s="8">
        <f t="shared" si="46"/>
        <v>-0.81435861713228275</v>
      </c>
      <c r="R97" s="58">
        <f t="shared" si="47"/>
        <v>-16.843234255990083</v>
      </c>
      <c r="T97" s="75" t="s">
        <v>48</v>
      </c>
      <c r="U97" s="58">
        <f>CHIDIST(U94,U95)</f>
        <v>0.23171698437442412</v>
      </c>
    </row>
    <row r="98" spans="1:21" x14ac:dyDescent="0.25">
      <c r="A98" t="s">
        <v>261</v>
      </c>
      <c r="B98" s="6">
        <f>U220</f>
        <v>154.9183886177259</v>
      </c>
      <c r="C98" s="38">
        <f>U221</f>
        <v>6</v>
      </c>
      <c r="D98" s="7">
        <f>U223</f>
        <v>7.0506243364130613E-31</v>
      </c>
      <c r="E98" s="30" t="str">
        <f>U225</f>
        <v>yes</v>
      </c>
      <c r="G98" s="6" t="str">
        <f>$A$9</f>
        <v>Positive</v>
      </c>
      <c r="H98" t="str">
        <f>$B$9</f>
        <v>Female</v>
      </c>
      <c r="I98" t="str">
        <f>$C$9</f>
        <v>Therapy 1</v>
      </c>
      <c r="J98" s="6">
        <f>$D$9</f>
        <v>32</v>
      </c>
      <c r="K98" s="87">
        <f t="shared" si="42"/>
        <v>6.4000000000000001E-2</v>
      </c>
      <c r="L98" s="8">
        <f t="shared" si="43"/>
        <v>3.4657359027997265</v>
      </c>
      <c r="M98" s="6">
        <f>(D48*D54)/D72</f>
        <v>34.666666666666664</v>
      </c>
      <c r="N98" s="87">
        <f t="shared" si="41"/>
        <v>6.933333333333333E-2</v>
      </c>
      <c r="O98" s="8">
        <f t="shared" si="44"/>
        <v>3.5457786104732629</v>
      </c>
      <c r="P98" s="6">
        <f t="shared" si="45"/>
        <v>-2.6666666666666643</v>
      </c>
      <c r="Q98" s="8">
        <f t="shared" si="46"/>
        <v>-0.45291081365783792</v>
      </c>
      <c r="R98" s="58">
        <f t="shared" si="47"/>
        <v>-5.1227332911063286</v>
      </c>
      <c r="T98" s="47" t="s">
        <v>74</v>
      </c>
      <c r="U98" s="58">
        <f>CHIINV(U96,U95)</f>
        <v>9.4877290367811575</v>
      </c>
    </row>
    <row r="99" spans="1:21" x14ac:dyDescent="0.25">
      <c r="A99" t="s">
        <v>262</v>
      </c>
      <c r="B99" s="6">
        <f>U238</f>
        <v>58.681038980742066</v>
      </c>
      <c r="C99" s="38">
        <f>U239</f>
        <v>6</v>
      </c>
      <c r="D99" s="7">
        <f>U241</f>
        <v>8.3379990458365484E-11</v>
      </c>
      <c r="E99" s="30" t="str">
        <f>U243</f>
        <v>yes</v>
      </c>
      <c r="G99" s="6" t="str">
        <f>$A$10</f>
        <v>Positive</v>
      </c>
      <c r="H99" t="str">
        <f>$B$10</f>
        <v>Female</v>
      </c>
      <c r="I99" t="str">
        <f>$C$10</f>
        <v>Therapy 2</v>
      </c>
      <c r="J99" s="6">
        <f>$D$10</f>
        <v>24</v>
      </c>
      <c r="K99" s="87">
        <f t="shared" si="42"/>
        <v>4.8000000000000001E-2</v>
      </c>
      <c r="L99" s="8">
        <f t="shared" si="43"/>
        <v>3.1780538303479458</v>
      </c>
      <c r="M99" s="6">
        <f>(D48*D55)/D72</f>
        <v>30.095238095238095</v>
      </c>
      <c r="N99" s="87">
        <f t="shared" si="41"/>
        <v>6.019047619047619E-2</v>
      </c>
      <c r="O99" s="8">
        <f t="shared" si="44"/>
        <v>3.4043669564234342</v>
      </c>
      <c r="P99" s="6">
        <f t="shared" si="45"/>
        <v>-6.0952380952380949</v>
      </c>
      <c r="Q99" s="8">
        <f t="shared" si="46"/>
        <v>-1.1110709255341034</v>
      </c>
      <c r="R99" s="58">
        <f t="shared" si="47"/>
        <v>-10.863030051623447</v>
      </c>
      <c r="T99" s="75" t="s">
        <v>164</v>
      </c>
      <c r="U99" s="53" t="str">
        <f>IF(U97&lt;U96,"yes","no")</f>
        <v>no</v>
      </c>
    </row>
    <row r="100" spans="1:21" x14ac:dyDescent="0.25">
      <c r="A100" t="s">
        <v>263</v>
      </c>
      <c r="B100" s="6">
        <f>U41</f>
        <v>60.302394034976658</v>
      </c>
      <c r="C100" s="38">
        <f>U42</f>
        <v>5</v>
      </c>
      <c r="D100" s="7">
        <f>U44</f>
        <v>1.0525518854310249E-11</v>
      </c>
      <c r="E100" s="30" t="str">
        <f>U46</f>
        <v>yes</v>
      </c>
      <c r="G100" s="6" t="str">
        <f>$A$11</f>
        <v>Positive</v>
      </c>
      <c r="H100" t="str">
        <f>$B$11</f>
        <v>Female</v>
      </c>
      <c r="I100" t="str">
        <f>$C$11</f>
        <v>Therapy 3</v>
      </c>
      <c r="J100" s="6">
        <f>$D$11</f>
        <v>80</v>
      </c>
      <c r="K100" s="87">
        <f t="shared" si="42"/>
        <v>0.16</v>
      </c>
      <c r="L100" s="8">
        <f t="shared" si="43"/>
        <v>4.3820266346738812</v>
      </c>
      <c r="M100" s="6">
        <f>(D48*D56)/D72</f>
        <v>71.238095238095241</v>
      </c>
      <c r="N100" s="87">
        <f t="shared" si="41"/>
        <v>0.14247619047619048</v>
      </c>
      <c r="O100" s="8">
        <f t="shared" si="44"/>
        <v>4.2660277208109996</v>
      </c>
      <c r="P100" s="6">
        <f t="shared" si="45"/>
        <v>8.7619047619047592</v>
      </c>
      <c r="Q100" s="8">
        <f t="shared" si="46"/>
        <v>1.0381076199549863</v>
      </c>
      <c r="R100" s="58">
        <f t="shared" si="47"/>
        <v>18.559826218061062</v>
      </c>
    </row>
    <row r="101" spans="1:21" x14ac:dyDescent="0.25">
      <c r="A101" t="s">
        <v>264</v>
      </c>
      <c r="B101" s="6">
        <f>U24</f>
        <v>58.032898940132199</v>
      </c>
      <c r="C101" s="38">
        <f>U25</f>
        <v>5</v>
      </c>
      <c r="D101" s="7">
        <f>U27</f>
        <v>3.0966898390729441E-11</v>
      </c>
      <c r="E101" s="30" t="str">
        <f>U29</f>
        <v>yes</v>
      </c>
      <c r="G101" s="6" t="str">
        <f>$A$12</f>
        <v>Negative</v>
      </c>
      <c r="H101" t="str">
        <f>$B$12</f>
        <v>Male</v>
      </c>
      <c r="I101" t="str">
        <f>$C$12</f>
        <v>Therapy 1</v>
      </c>
      <c r="J101" s="6">
        <f>$D$12</f>
        <v>9</v>
      </c>
      <c r="K101" s="87">
        <f t="shared" si="42"/>
        <v>1.7999999999999999E-2</v>
      </c>
      <c r="L101" s="8">
        <f t="shared" si="43"/>
        <v>2.1972245773362196</v>
      </c>
      <c r="M101" s="6">
        <f>(D49*D57)/D73</f>
        <v>6.6433566433566433</v>
      </c>
      <c r="N101" s="87">
        <f t="shared" si="41"/>
        <v>1.3286713286713287E-2</v>
      </c>
      <c r="O101" s="8">
        <f t="shared" si="44"/>
        <v>1.8936173543346793</v>
      </c>
      <c r="P101" s="6">
        <f t="shared" si="45"/>
        <v>2.3566433566433567</v>
      </c>
      <c r="Q101" s="8">
        <f t="shared" si="46"/>
        <v>0.91432391541729441</v>
      </c>
      <c r="R101" s="58">
        <f t="shared" si="47"/>
        <v>5.4649300140277255</v>
      </c>
    </row>
    <row r="102" spans="1:21" x14ac:dyDescent="0.25">
      <c r="A102" t="s">
        <v>265</v>
      </c>
      <c r="B102" s="6">
        <f>U58</f>
        <v>12.040798754725822</v>
      </c>
      <c r="C102" s="38">
        <f>U59</f>
        <v>6</v>
      </c>
      <c r="D102" s="7">
        <f>U61</f>
        <v>6.1064798869981202E-2</v>
      </c>
      <c r="E102" s="30" t="str">
        <f>U63</f>
        <v>no</v>
      </c>
      <c r="G102" s="6" t="str">
        <f>$A$13</f>
        <v>Negative</v>
      </c>
      <c r="H102" t="str">
        <f>$B$13</f>
        <v>Male</v>
      </c>
      <c r="I102" t="str">
        <f>$C$13</f>
        <v>Therapy 2</v>
      </c>
      <c r="J102" s="6">
        <f>$D$13</f>
        <v>12</v>
      </c>
      <c r="K102" s="87">
        <f t="shared" si="42"/>
        <v>2.4E-2</v>
      </c>
      <c r="L102" s="8">
        <f t="shared" si="43"/>
        <v>2.4849066497880004</v>
      </c>
      <c r="M102" s="6">
        <f>(D49*D58)/D73</f>
        <v>11.958041958041958</v>
      </c>
      <c r="N102" s="87">
        <f t="shared" si="41"/>
        <v>2.3916083916083918E-2</v>
      </c>
      <c r="O102" s="8">
        <f t="shared" si="44"/>
        <v>2.4814040192367983</v>
      </c>
      <c r="P102" s="6">
        <f t="shared" si="45"/>
        <v>4.1958041958041647E-2</v>
      </c>
      <c r="Q102" s="8">
        <f t="shared" si="46"/>
        <v>1.2133474352087972E-2</v>
      </c>
      <c r="R102" s="58">
        <f t="shared" si="47"/>
        <v>8.4063133228848841E-2</v>
      </c>
    </row>
    <row r="103" spans="1:21" x14ac:dyDescent="0.25">
      <c r="A103" t="s">
        <v>266</v>
      </c>
      <c r="B103" s="6">
        <f>U94</f>
        <v>5.5925062024545165</v>
      </c>
      <c r="C103" s="38">
        <f>U95</f>
        <v>4</v>
      </c>
      <c r="D103" s="7">
        <f>U97</f>
        <v>0.23171698437442412</v>
      </c>
      <c r="E103" s="30" t="str">
        <f>U99</f>
        <v>no</v>
      </c>
      <c r="G103" s="6" t="str">
        <f>$A$14</f>
        <v>Negative</v>
      </c>
      <c r="H103" t="str">
        <f>$B$14</f>
        <v>Male</v>
      </c>
      <c r="I103" t="str">
        <f>$C$14</f>
        <v>Therapy 3</v>
      </c>
      <c r="J103" s="6">
        <f>$D$14</f>
        <v>17</v>
      </c>
      <c r="K103" s="87">
        <f t="shared" si="42"/>
        <v>3.4000000000000002E-2</v>
      </c>
      <c r="L103" s="8">
        <f t="shared" si="43"/>
        <v>2.8332133440562162</v>
      </c>
      <c r="M103" s="6">
        <f>(D49*D59)/D73</f>
        <v>19.3986013986014</v>
      </c>
      <c r="N103" s="87">
        <f t="shared" si="41"/>
        <v>3.87972027972028E-2</v>
      </c>
      <c r="O103" s="8">
        <f t="shared" si="44"/>
        <v>2.9652009706148696</v>
      </c>
      <c r="P103" s="6">
        <f t="shared" si="45"/>
        <v>-2.3986013986014001</v>
      </c>
      <c r="Q103" s="8">
        <f t="shared" si="46"/>
        <v>-0.54459402595651674</v>
      </c>
      <c r="R103" s="58">
        <f t="shared" si="47"/>
        <v>-4.4875793029942184</v>
      </c>
    </row>
    <row r="104" spans="1:21" x14ac:dyDescent="0.25">
      <c r="A104" t="s">
        <v>267</v>
      </c>
      <c r="B104" s="6">
        <f>U76</f>
        <v>7.8620012972988071</v>
      </c>
      <c r="C104" s="38">
        <f>U77</f>
        <v>4</v>
      </c>
      <c r="D104" s="7">
        <f>U79</f>
        <v>9.6766084786978152E-2</v>
      </c>
      <c r="E104" s="30" t="str">
        <f>U81</f>
        <v>no</v>
      </c>
      <c r="G104" s="6" t="str">
        <f>$A$15</f>
        <v>Negative</v>
      </c>
      <c r="H104" t="str">
        <f>$B$15</f>
        <v>Female</v>
      </c>
      <c r="I104" t="str">
        <f>$C$15</f>
        <v>Therapy 1</v>
      </c>
      <c r="J104" s="6">
        <f>$D$15</f>
        <v>16</v>
      </c>
      <c r="K104" s="87">
        <f t="shared" si="42"/>
        <v>3.2000000000000001E-2</v>
      </c>
      <c r="L104" s="8">
        <f t="shared" si="43"/>
        <v>2.7725887222397811</v>
      </c>
      <c r="M104" s="6">
        <f>(D50*D57)/D73</f>
        <v>18.356643356643357</v>
      </c>
      <c r="N104" s="87">
        <f t="shared" si="41"/>
        <v>3.6713286713286712E-2</v>
      </c>
      <c r="O104" s="8">
        <f t="shared" si="44"/>
        <v>2.9099915447658167</v>
      </c>
      <c r="P104" s="6">
        <f t="shared" si="45"/>
        <v>-2.3566433566433567</v>
      </c>
      <c r="Q104" s="8">
        <f t="shared" si="46"/>
        <v>-0.55004374239520126</v>
      </c>
      <c r="R104" s="58">
        <f t="shared" si="47"/>
        <v>-4.3968903208331369</v>
      </c>
    </row>
    <row r="105" spans="1:21" x14ac:dyDescent="0.25">
      <c r="A105" t="s">
        <v>268</v>
      </c>
      <c r="B105" s="6">
        <f>U112</f>
        <v>53.854101482705588</v>
      </c>
      <c r="C105" s="38">
        <f>U113</f>
        <v>3</v>
      </c>
      <c r="D105" s="7">
        <f>U115</f>
        <v>1.2053986552579523E-11</v>
      </c>
      <c r="E105" s="30" t="str">
        <f>U117</f>
        <v>yes</v>
      </c>
      <c r="G105" s="6" t="str">
        <f>$A$16</f>
        <v>Negative</v>
      </c>
      <c r="H105" t="str">
        <f>$B$16</f>
        <v>Female</v>
      </c>
      <c r="I105" t="str">
        <f>$C$16</f>
        <v>Therapy 2</v>
      </c>
      <c r="J105" s="6">
        <f>$D$16</f>
        <v>33</v>
      </c>
      <c r="K105" s="87">
        <f t="shared" si="42"/>
        <v>6.6000000000000003E-2</v>
      </c>
      <c r="L105" s="8">
        <f t="shared" si="43"/>
        <v>3.4965075614664802</v>
      </c>
      <c r="M105" s="6">
        <f>(D50*D58)/D73</f>
        <v>33.04195804195804</v>
      </c>
      <c r="N105" s="87">
        <f t="shared" si="41"/>
        <v>6.6083916083916075E-2</v>
      </c>
      <c r="O105" s="8">
        <f t="shared" si="44"/>
        <v>3.4977782096679357</v>
      </c>
      <c r="P105" s="6">
        <f t="shared" si="45"/>
        <v>-4.1958041958039871E-2</v>
      </c>
      <c r="Q105" s="8">
        <f t="shared" si="46"/>
        <v>-7.2993186860177564E-3</v>
      </c>
      <c r="R105" s="58">
        <f t="shared" si="47"/>
        <v>-8.3862781296063282E-2</v>
      </c>
    </row>
    <row r="106" spans="1:21" x14ac:dyDescent="0.25">
      <c r="A106" t="s">
        <v>269</v>
      </c>
      <c r="B106" s="6">
        <f>U328</f>
        <v>1.1104339218748036</v>
      </c>
      <c r="C106" s="38">
        <f>U329</f>
        <v>2</v>
      </c>
      <c r="D106" s="7">
        <f>U331</f>
        <v>0.57394772345091205</v>
      </c>
      <c r="E106" s="30" t="str">
        <f>U333</f>
        <v>no</v>
      </c>
      <c r="G106" s="9" t="str">
        <f>$A$17</f>
        <v>Negative</v>
      </c>
      <c r="H106" s="10" t="str">
        <f>$B$17</f>
        <v>Female</v>
      </c>
      <c r="I106" s="10" t="str">
        <f>$C$17</f>
        <v>Therapy 3</v>
      </c>
      <c r="J106" s="9">
        <f>$D$17</f>
        <v>56</v>
      </c>
      <c r="K106" s="88">
        <f t="shared" si="42"/>
        <v>0.112</v>
      </c>
      <c r="L106" s="11">
        <f t="shared" si="43"/>
        <v>4.0253516907351496</v>
      </c>
      <c r="M106" s="9">
        <f>(D50*D59)/D73</f>
        <v>53.6013986013986</v>
      </c>
      <c r="N106" s="88">
        <f t="shared" si="41"/>
        <v>0.1072027972027972</v>
      </c>
      <c r="O106" s="11">
        <f t="shared" si="44"/>
        <v>3.9815751610460071</v>
      </c>
      <c r="P106" s="112">
        <f t="shared" si="45"/>
        <v>2.3986013986014001</v>
      </c>
      <c r="Q106" s="11">
        <f t="shared" si="46"/>
        <v>0.32761971011824409</v>
      </c>
      <c r="R106" s="54">
        <f t="shared" si="47"/>
        <v>4.9029713251839695</v>
      </c>
    </row>
    <row r="107" spans="1:21" x14ac:dyDescent="0.25">
      <c r="A107" t="s">
        <v>270</v>
      </c>
      <c r="B107" s="9">
        <f>U7</f>
        <v>0</v>
      </c>
      <c r="C107" s="111">
        <f>U8</f>
        <v>0</v>
      </c>
      <c r="D107" s="10"/>
      <c r="E107" s="32" t="str">
        <f>U12</f>
        <v>no</v>
      </c>
      <c r="R107">
        <f>SUM(R95:R106)</f>
        <v>5.5925062024545165</v>
      </c>
    </row>
    <row r="109" spans="1:21" x14ac:dyDescent="0.25">
      <c r="G109" s="1" t="s">
        <v>287</v>
      </c>
    </row>
    <row r="111" spans="1:21" x14ac:dyDescent="0.25">
      <c r="A111" t="s">
        <v>320</v>
      </c>
      <c r="J111" s="777" t="s">
        <v>132</v>
      </c>
      <c r="K111" s="778"/>
      <c r="L111" s="779"/>
      <c r="M111" s="777" t="s">
        <v>222</v>
      </c>
      <c r="N111" s="778"/>
      <c r="O111" s="779"/>
      <c r="P111" s="774" t="s">
        <v>133</v>
      </c>
      <c r="Q111" s="780"/>
    </row>
    <row r="112" spans="1:21" x14ac:dyDescent="0.25">
      <c r="G112" s="95" t="str">
        <f>$A$5</f>
        <v>Cure</v>
      </c>
      <c r="H112" s="82" t="str">
        <f>$B$5</f>
        <v>Gender</v>
      </c>
      <c r="I112" s="82" t="str">
        <f>$C$5</f>
        <v>Therapy</v>
      </c>
      <c r="J112" s="84" t="s">
        <v>220</v>
      </c>
      <c r="K112" s="85" t="s">
        <v>219</v>
      </c>
      <c r="L112" s="86" t="s">
        <v>137</v>
      </c>
      <c r="M112" s="84" t="s">
        <v>221</v>
      </c>
      <c r="N112" s="85" t="s">
        <v>219</v>
      </c>
      <c r="O112" s="86" t="s">
        <v>212</v>
      </c>
      <c r="P112" s="133" t="s">
        <v>118</v>
      </c>
      <c r="Q112" s="135" t="s">
        <v>231</v>
      </c>
      <c r="R112" s="90" t="s">
        <v>73</v>
      </c>
      <c r="T112" s="47" t="s">
        <v>73</v>
      </c>
      <c r="U112" s="94">
        <f>R125</f>
        <v>53.854101482705588</v>
      </c>
    </row>
    <row r="113" spans="1:21" x14ac:dyDescent="0.25">
      <c r="B113" t="s">
        <v>321</v>
      </c>
      <c r="C113" t="s">
        <v>322</v>
      </c>
      <c r="D113" t="s">
        <v>197</v>
      </c>
      <c r="G113" s="6" t="str">
        <f>$A$6</f>
        <v>Positive</v>
      </c>
      <c r="H113" t="str">
        <f>$B$6</f>
        <v>Male</v>
      </c>
      <c r="I113" t="str">
        <f>$C$6</f>
        <v>Therapy 1</v>
      </c>
      <c r="J113" s="6">
        <f>$D$6</f>
        <v>59</v>
      </c>
      <c r="K113" s="87">
        <f>J113/$D$18</f>
        <v>0.11799999999999999</v>
      </c>
      <c r="L113" s="8">
        <f>LN(J113)</f>
        <v>4.0775374439057197</v>
      </c>
      <c r="M113" s="6">
        <f>(D54*D63)/D82</f>
        <v>53.344827586206897</v>
      </c>
      <c r="N113" s="87">
        <f t="shared" ref="N113:N124" si="48">M113/D$44</f>
        <v>0.1066896551724138</v>
      </c>
      <c r="O113" s="8">
        <f>LN(M113)</f>
        <v>3.9767770205865922</v>
      </c>
      <c r="P113" s="132">
        <f>J113-M113</f>
        <v>5.6551724137931032</v>
      </c>
      <c r="Q113" s="8">
        <f>P113/SQRT(M113)</f>
        <v>0.77428294323684033</v>
      </c>
      <c r="R113" s="58">
        <f>2*J113*(L113-O113)</f>
        <v>11.889729951657044</v>
      </c>
      <c r="T113" t="s">
        <v>41</v>
      </c>
      <c r="U113" s="58">
        <f>(A27-1)*C27*(B27-1)</f>
        <v>3</v>
      </c>
    </row>
    <row r="114" spans="1:21" x14ac:dyDescent="0.25">
      <c r="A114" s="47" t="s">
        <v>323</v>
      </c>
      <c r="B114" s="132">
        <f>B106</f>
        <v>1.1104339218748036</v>
      </c>
      <c r="C114" s="136">
        <f>B104</f>
        <v>7.8620012972988071</v>
      </c>
      <c r="D114" s="121">
        <f>C114-B114</f>
        <v>6.7515673754240035</v>
      </c>
      <c r="G114" s="6" t="str">
        <f>$A$7</f>
        <v>Positive</v>
      </c>
      <c r="H114" t="str">
        <f>$B$7</f>
        <v>Male</v>
      </c>
      <c r="I114" t="str">
        <f>$C$7</f>
        <v>Therapy 2</v>
      </c>
      <c r="J114" s="6">
        <f>$D$7</f>
        <v>55</v>
      </c>
      <c r="K114" s="87">
        <f t="shared" ref="K114:K124" si="49">J114/$D$18</f>
        <v>0.11</v>
      </c>
      <c r="L114" s="8">
        <f t="shared" ref="L114:L124" si="50">LN(J114)</f>
        <v>4.0073331852324712</v>
      </c>
      <c r="M114" s="6">
        <f>(D55*D64)/D83</f>
        <v>42.685483870967744</v>
      </c>
      <c r="N114" s="87">
        <f t="shared" si="48"/>
        <v>8.5370967741935491E-2</v>
      </c>
      <c r="O114" s="8">
        <f t="shared" ref="O114:O124" si="51">LN(M114)</f>
        <v>3.7538589062529506</v>
      </c>
      <c r="P114" s="6">
        <f t="shared" ref="P114:P124" si="52">J114-M114</f>
        <v>12.314516129032256</v>
      </c>
      <c r="Q114" s="8">
        <f t="shared" ref="Q114:Q124" si="53">P114/SQRT(M114)</f>
        <v>1.8848519684446319</v>
      </c>
      <c r="R114" s="58">
        <f t="shared" ref="R114:R124" si="54">2*J114*(L114-O114)</f>
        <v>27.882170687747262</v>
      </c>
      <c r="T114" s="24" t="s">
        <v>32</v>
      </c>
      <c r="U114" s="58">
        <v>0.05</v>
      </c>
    </row>
    <row r="115" spans="1:21" x14ac:dyDescent="0.25">
      <c r="A115" t="s">
        <v>41</v>
      </c>
      <c r="B115" s="112">
        <f>C106</f>
        <v>2</v>
      </c>
      <c r="C115" s="10">
        <f>C104</f>
        <v>4</v>
      </c>
      <c r="D115" s="123">
        <f>C115-B115</f>
        <v>2</v>
      </c>
      <c r="G115" s="6" t="str">
        <f>$A$8</f>
        <v>Positive</v>
      </c>
      <c r="H115" t="str">
        <f>$B$8</f>
        <v>Male</v>
      </c>
      <c r="I115" t="str">
        <f>$C$8</f>
        <v>Therapy 3</v>
      </c>
      <c r="J115" s="6">
        <f>$D$8</f>
        <v>107</v>
      </c>
      <c r="K115" s="87">
        <f t="shared" si="49"/>
        <v>0.214</v>
      </c>
      <c r="L115" s="8">
        <f t="shared" si="50"/>
        <v>4.6728288344619058</v>
      </c>
      <c r="M115" s="6">
        <f>(D56*D65)/D84</f>
        <v>89.184615384615384</v>
      </c>
      <c r="N115" s="87">
        <f t="shared" si="48"/>
        <v>0.17836923076923078</v>
      </c>
      <c r="O115" s="8">
        <f t="shared" si="51"/>
        <v>4.4907085514440954</v>
      </c>
      <c r="P115" s="6">
        <f t="shared" si="52"/>
        <v>17.815384615384616</v>
      </c>
      <c r="Q115" s="8">
        <f t="shared" si="53"/>
        <v>1.8864714236899325</v>
      </c>
      <c r="R115" s="58">
        <f t="shared" si="54"/>
        <v>38.973740565811418</v>
      </c>
      <c r="T115" s="75" t="s">
        <v>48</v>
      </c>
      <c r="U115" s="58">
        <f>CHIDIST(U112,U113)</f>
        <v>1.2053986552579523E-11</v>
      </c>
    </row>
    <row r="116" spans="1:21" x14ac:dyDescent="0.25">
      <c r="A116" s="24" t="s">
        <v>32</v>
      </c>
      <c r="D116" s="58">
        <v>0.05</v>
      </c>
      <c r="G116" s="6" t="str">
        <f>$A$9</f>
        <v>Positive</v>
      </c>
      <c r="H116" t="str">
        <f>$B$9</f>
        <v>Female</v>
      </c>
      <c r="I116" t="str">
        <f>$C$9</f>
        <v>Therapy 1</v>
      </c>
      <c r="J116" s="6">
        <f>$D$9</f>
        <v>32</v>
      </c>
      <c r="K116" s="87">
        <f t="shared" si="49"/>
        <v>6.4000000000000001E-2</v>
      </c>
      <c r="L116" s="8">
        <f t="shared" si="50"/>
        <v>3.4657359027997265</v>
      </c>
      <c r="M116" s="6">
        <f>(D54*D66)/D82</f>
        <v>37.655172413793103</v>
      </c>
      <c r="N116" s="87">
        <f t="shared" si="48"/>
        <v>7.5310344827586209E-2</v>
      </c>
      <c r="O116" s="8">
        <f t="shared" si="51"/>
        <v>3.6284703263183764</v>
      </c>
      <c r="P116" s="6">
        <f t="shared" si="52"/>
        <v>-5.6551724137931032</v>
      </c>
      <c r="Q116" s="8">
        <f t="shared" si="53"/>
        <v>-0.92158103709456685</v>
      </c>
      <c r="R116" s="58">
        <f t="shared" si="54"/>
        <v>-10.415003105193591</v>
      </c>
      <c r="T116" s="47" t="s">
        <v>74</v>
      </c>
      <c r="U116" s="58">
        <f>CHIINV(U114,U113)</f>
        <v>7.8147279032511792</v>
      </c>
    </row>
    <row r="117" spans="1:21" x14ac:dyDescent="0.25">
      <c r="A117" t="s">
        <v>48</v>
      </c>
      <c r="D117" s="58">
        <f>CHIDIST(D114,D115)</f>
        <v>3.419131249788273E-2</v>
      </c>
      <c r="G117" s="6" t="str">
        <f>$A$10</f>
        <v>Positive</v>
      </c>
      <c r="H117" t="str">
        <f>$B$10</f>
        <v>Female</v>
      </c>
      <c r="I117" t="str">
        <f>$C$10</f>
        <v>Therapy 2</v>
      </c>
      <c r="J117" s="6">
        <f>$D$10</f>
        <v>24</v>
      </c>
      <c r="K117" s="87">
        <f t="shared" si="49"/>
        <v>4.8000000000000001E-2</v>
      </c>
      <c r="L117" s="8">
        <f t="shared" si="50"/>
        <v>3.1780538303479458</v>
      </c>
      <c r="M117" s="6">
        <f>(D55*D67)/D83</f>
        <v>36.314516129032256</v>
      </c>
      <c r="N117" s="87">
        <f t="shared" si="48"/>
        <v>7.262903225806451E-2</v>
      </c>
      <c r="O117" s="8">
        <f t="shared" si="51"/>
        <v>3.5922175546965347</v>
      </c>
      <c r="P117" s="6">
        <f t="shared" si="52"/>
        <v>-12.314516129032256</v>
      </c>
      <c r="Q117" s="8">
        <f t="shared" si="53"/>
        <v>-2.043512134835872</v>
      </c>
      <c r="R117" s="58">
        <f t="shared" si="54"/>
        <v>-19.879858768732269</v>
      </c>
      <c r="T117" s="75" t="s">
        <v>164</v>
      </c>
      <c r="U117" s="53" t="str">
        <f>IF(U115&lt;U114,"yes","no")</f>
        <v>yes</v>
      </c>
    </row>
    <row r="118" spans="1:21" x14ac:dyDescent="0.25">
      <c r="A118" t="s">
        <v>164</v>
      </c>
      <c r="D118" s="117" t="str">
        <f>IF(D116&lt;D115,"yes","no")</f>
        <v>yes</v>
      </c>
      <c r="G118" s="6" t="str">
        <f>$A$11</f>
        <v>Positive</v>
      </c>
      <c r="H118" t="str">
        <f>$B$11</f>
        <v>Female</v>
      </c>
      <c r="I118" t="str">
        <f>$C$11</f>
        <v>Therapy 3</v>
      </c>
      <c r="J118" s="6">
        <f>$D$11</f>
        <v>80</v>
      </c>
      <c r="K118" s="87">
        <f t="shared" si="49"/>
        <v>0.16</v>
      </c>
      <c r="L118" s="8">
        <f t="shared" si="50"/>
        <v>4.3820266346738812</v>
      </c>
      <c r="M118" s="6">
        <f>(D56*D68)/D84</f>
        <v>97.815384615384616</v>
      </c>
      <c r="N118" s="87">
        <f t="shared" si="48"/>
        <v>0.19563076923076922</v>
      </c>
      <c r="O118" s="8">
        <f t="shared" si="51"/>
        <v>4.5830818715751107</v>
      </c>
      <c r="P118" s="6">
        <f t="shared" si="52"/>
        <v>-17.815384615384616</v>
      </c>
      <c r="Q118" s="8">
        <f t="shared" si="53"/>
        <v>-1.8013231036262367</v>
      </c>
      <c r="R118" s="58">
        <f t="shared" si="54"/>
        <v>-32.168837904196721</v>
      </c>
    </row>
    <row r="119" spans="1:21" x14ac:dyDescent="0.25">
      <c r="G119" s="6" t="str">
        <f>$A$12</f>
        <v>Negative</v>
      </c>
      <c r="H119" t="str">
        <f>$B$12</f>
        <v>Male</v>
      </c>
      <c r="I119" t="str">
        <f>$C$12</f>
        <v>Therapy 1</v>
      </c>
      <c r="J119" s="6">
        <f>$D$12</f>
        <v>9</v>
      </c>
      <c r="K119" s="87">
        <f t="shared" si="49"/>
        <v>1.7999999999999999E-2</v>
      </c>
      <c r="L119" s="8">
        <f t="shared" si="50"/>
        <v>2.1972245773362196</v>
      </c>
      <c r="M119" s="6">
        <f>(D57*D63)/D82</f>
        <v>14.655172413793103</v>
      </c>
      <c r="N119" s="87">
        <f t="shared" si="48"/>
        <v>2.9310344827586206E-2</v>
      </c>
      <c r="O119" s="8">
        <f t="shared" si="51"/>
        <v>2.6847933389379426</v>
      </c>
      <c r="P119" s="6">
        <f t="shared" si="52"/>
        <v>-5.6551724137931032</v>
      </c>
      <c r="Q119" s="8">
        <f t="shared" si="53"/>
        <v>-1.4772377050842276</v>
      </c>
      <c r="R119" s="58">
        <f t="shared" si="54"/>
        <v>-8.7762377088310153</v>
      </c>
    </row>
    <row r="120" spans="1:21" x14ac:dyDescent="0.25">
      <c r="A120" t="s">
        <v>324</v>
      </c>
      <c r="G120" s="6" t="str">
        <f>$A$13</f>
        <v>Negative</v>
      </c>
      <c r="H120" t="str">
        <f>$B$13</f>
        <v>Male</v>
      </c>
      <c r="I120" t="str">
        <f>$C$13</f>
        <v>Therapy 2</v>
      </c>
      <c r="J120" s="6">
        <f>$D$13</f>
        <v>12</v>
      </c>
      <c r="K120" s="87">
        <f t="shared" si="49"/>
        <v>2.4E-2</v>
      </c>
      <c r="L120" s="8">
        <f t="shared" si="50"/>
        <v>2.4849066497880004</v>
      </c>
      <c r="M120" s="6">
        <f>(D58*D64)/D83</f>
        <v>24.31451612903226</v>
      </c>
      <c r="N120" s="87">
        <f t="shared" si="48"/>
        <v>4.8629032258064517E-2</v>
      </c>
      <c r="O120" s="8">
        <f t="shared" si="51"/>
        <v>3.1910735435562492</v>
      </c>
      <c r="P120" s="6">
        <f t="shared" si="52"/>
        <v>-12.31451612903226</v>
      </c>
      <c r="Q120" s="8">
        <f t="shared" si="53"/>
        <v>-2.4973794643052849</v>
      </c>
      <c r="R120" s="58">
        <f t="shared" si="54"/>
        <v>-16.948005450437972</v>
      </c>
    </row>
    <row r="121" spans="1:21" x14ac:dyDescent="0.25">
      <c r="G121" s="6" t="str">
        <f>$A$14</f>
        <v>Negative</v>
      </c>
      <c r="H121" t="str">
        <f>$B$14</f>
        <v>Male</v>
      </c>
      <c r="I121" t="str">
        <f>$C$14</f>
        <v>Therapy 3</v>
      </c>
      <c r="J121" s="6">
        <f>$D$14</f>
        <v>17</v>
      </c>
      <c r="K121" s="87">
        <f t="shared" si="49"/>
        <v>3.4000000000000002E-2</v>
      </c>
      <c r="L121" s="8">
        <f t="shared" si="50"/>
        <v>2.8332133440562162</v>
      </c>
      <c r="M121" s="6">
        <f>(D59*D65)/D84</f>
        <v>34.815384615384616</v>
      </c>
      <c r="N121" s="87">
        <f t="shared" si="48"/>
        <v>6.9630769230769232E-2</v>
      </c>
      <c r="O121" s="8">
        <f t="shared" si="51"/>
        <v>3.5500593757379004</v>
      </c>
      <c r="P121" s="6">
        <f t="shared" si="52"/>
        <v>-17.815384615384616</v>
      </c>
      <c r="Q121" s="8">
        <f t="shared" si="53"/>
        <v>-3.0193232001731074</v>
      </c>
      <c r="R121" s="58">
        <f t="shared" si="54"/>
        <v>-24.372765077177263</v>
      </c>
    </row>
    <row r="122" spans="1:21" x14ac:dyDescent="0.25">
      <c r="B122" t="s">
        <v>321</v>
      </c>
      <c r="C122" t="s">
        <v>322</v>
      </c>
      <c r="D122" t="s">
        <v>197</v>
      </c>
      <c r="G122" s="6" t="str">
        <f>$A$15</f>
        <v>Negative</v>
      </c>
      <c r="H122" t="str">
        <f>$B$15</f>
        <v>Female</v>
      </c>
      <c r="I122" t="str">
        <f>$C$15</f>
        <v>Therapy 1</v>
      </c>
      <c r="J122" s="6">
        <f>$D$15</f>
        <v>16</v>
      </c>
      <c r="K122" s="87">
        <f t="shared" si="49"/>
        <v>3.2000000000000001E-2</v>
      </c>
      <c r="L122" s="8">
        <f t="shared" si="50"/>
        <v>2.7725887222397811</v>
      </c>
      <c r="M122" s="6">
        <f>(D57*D66)/D82</f>
        <v>10.344827586206897</v>
      </c>
      <c r="N122" s="87">
        <f t="shared" si="48"/>
        <v>2.0689655172413793E-2</v>
      </c>
      <c r="O122" s="8">
        <f t="shared" si="51"/>
        <v>2.3364866446697272</v>
      </c>
      <c r="P122" s="6">
        <f t="shared" si="52"/>
        <v>5.6551724137931032</v>
      </c>
      <c r="Q122" s="8">
        <f t="shared" si="53"/>
        <v>1.7582645571339834</v>
      </c>
      <c r="R122" s="58">
        <f t="shared" si="54"/>
        <v>13.955266482241726</v>
      </c>
    </row>
    <row r="123" spans="1:21" x14ac:dyDescent="0.25">
      <c r="A123" s="47" t="s">
        <v>323</v>
      </c>
      <c r="B123" s="132">
        <f>B106</f>
        <v>1.1104339218748036</v>
      </c>
      <c r="C123" s="136">
        <f>B103</f>
        <v>5.5925062024545165</v>
      </c>
      <c r="D123" s="121">
        <f>C123-B123</f>
        <v>4.4820722805797129</v>
      </c>
      <c r="G123" s="6" t="str">
        <f>$A$16</f>
        <v>Negative</v>
      </c>
      <c r="H123" t="str">
        <f>$B$16</f>
        <v>Female</v>
      </c>
      <c r="I123" t="str">
        <f>$C$16</f>
        <v>Therapy 2</v>
      </c>
      <c r="J123" s="6">
        <f>$D$16</f>
        <v>33</v>
      </c>
      <c r="K123" s="87">
        <f t="shared" si="49"/>
        <v>6.6000000000000003E-2</v>
      </c>
      <c r="L123" s="8">
        <f t="shared" si="50"/>
        <v>3.4965075614664802</v>
      </c>
      <c r="M123" s="6">
        <f>(D58*D67)/D83</f>
        <v>20.68548387096774</v>
      </c>
      <c r="N123" s="87">
        <f t="shared" si="48"/>
        <v>4.137096774193548E-2</v>
      </c>
      <c r="O123" s="8">
        <f t="shared" si="51"/>
        <v>3.0294321919998328</v>
      </c>
      <c r="P123" s="6">
        <f t="shared" si="52"/>
        <v>12.31451612903226</v>
      </c>
      <c r="Q123" s="8">
        <f t="shared" si="53"/>
        <v>2.7076000269713885</v>
      </c>
      <c r="R123" s="58">
        <f t="shared" si="54"/>
        <v>30.826974384798728</v>
      </c>
    </row>
    <row r="124" spans="1:21" x14ac:dyDescent="0.25">
      <c r="A124" t="s">
        <v>41</v>
      </c>
      <c r="B124" s="112">
        <f>C106</f>
        <v>2</v>
      </c>
      <c r="C124" s="10">
        <f>C104</f>
        <v>4</v>
      </c>
      <c r="D124" s="123">
        <f>C124-B124</f>
        <v>2</v>
      </c>
      <c r="G124" s="9" t="str">
        <f>$A$17</f>
        <v>Negative</v>
      </c>
      <c r="H124" s="10" t="str">
        <f>$B$17</f>
        <v>Female</v>
      </c>
      <c r="I124" s="10" t="str">
        <f>$C$17</f>
        <v>Therapy 3</v>
      </c>
      <c r="J124" s="9">
        <f>$D$17</f>
        <v>56</v>
      </c>
      <c r="K124" s="88">
        <f t="shared" si="49"/>
        <v>0.112</v>
      </c>
      <c r="L124" s="11">
        <f t="shared" si="50"/>
        <v>4.0253516907351496</v>
      </c>
      <c r="M124" s="9">
        <f>(D59*D68)/D84</f>
        <v>38.184615384615384</v>
      </c>
      <c r="N124" s="9">
        <f t="shared" si="48"/>
        <v>7.6369230769230773E-2</v>
      </c>
      <c r="O124" s="11">
        <f t="shared" si="51"/>
        <v>3.6424326958689153</v>
      </c>
      <c r="P124" s="112">
        <f t="shared" si="52"/>
        <v>17.815384615384616</v>
      </c>
      <c r="Q124" s="11">
        <f t="shared" si="53"/>
        <v>2.8830421545152753</v>
      </c>
      <c r="R124" s="54">
        <f t="shared" si="54"/>
        <v>42.88692742501825</v>
      </c>
    </row>
    <row r="125" spans="1:21" x14ac:dyDescent="0.25">
      <c r="A125" s="24" t="s">
        <v>32</v>
      </c>
      <c r="D125" s="58">
        <v>0.05</v>
      </c>
      <c r="R125">
        <f>SUM(R113:R124)</f>
        <v>53.854101482705588</v>
      </c>
    </row>
    <row r="126" spans="1:21" x14ac:dyDescent="0.25">
      <c r="A126" t="s">
        <v>48</v>
      </c>
      <c r="D126" s="58">
        <f>CHIDIST(D123,D124)</f>
        <v>0.10634825556015279</v>
      </c>
    </row>
    <row r="127" spans="1:21" x14ac:dyDescent="0.25">
      <c r="A127" t="s">
        <v>164</v>
      </c>
      <c r="D127" s="117" t="str">
        <f>IF(D125&lt;D124,"yes","no")</f>
        <v>yes</v>
      </c>
      <c r="G127" s="1" t="s">
        <v>281</v>
      </c>
    </row>
    <row r="129" spans="1:21" x14ac:dyDescent="0.25">
      <c r="A129" t="s">
        <v>325</v>
      </c>
      <c r="J129" s="777" t="s">
        <v>132</v>
      </c>
      <c r="K129" s="778"/>
      <c r="L129" s="779"/>
      <c r="M129" s="777" t="s">
        <v>222</v>
      </c>
      <c r="N129" s="778"/>
      <c r="O129" s="779"/>
      <c r="P129" s="774" t="s">
        <v>133</v>
      </c>
      <c r="Q129" s="780"/>
    </row>
    <row r="130" spans="1:21" x14ac:dyDescent="0.25">
      <c r="G130" s="95" t="str">
        <f>$A$5</f>
        <v>Cure</v>
      </c>
      <c r="H130" s="82" t="str">
        <f>$B$5</f>
        <v>Gender</v>
      </c>
      <c r="I130" s="82" t="str">
        <f>$C$5</f>
        <v>Therapy</v>
      </c>
      <c r="J130" s="84" t="s">
        <v>220</v>
      </c>
      <c r="K130" s="85" t="s">
        <v>219</v>
      </c>
      <c r="L130" s="86" t="s">
        <v>137</v>
      </c>
      <c r="M130" s="84" t="s">
        <v>221</v>
      </c>
      <c r="N130" s="85" t="s">
        <v>219</v>
      </c>
      <c r="O130" s="86" t="s">
        <v>212</v>
      </c>
      <c r="P130" s="133" t="s">
        <v>118</v>
      </c>
      <c r="Q130" s="135" t="s">
        <v>231</v>
      </c>
      <c r="R130" s="90" t="s">
        <v>73</v>
      </c>
      <c r="T130" s="47" t="s">
        <v>73</v>
      </c>
      <c r="U130" s="94">
        <f>R143</f>
        <v>64.481191492403582</v>
      </c>
    </row>
    <row r="131" spans="1:21" x14ac:dyDescent="0.25">
      <c r="B131" t="s">
        <v>321</v>
      </c>
      <c r="C131" t="s">
        <v>322</v>
      </c>
      <c r="D131" t="s">
        <v>197</v>
      </c>
      <c r="G131" s="6" t="str">
        <f>$A$6</f>
        <v>Positive</v>
      </c>
      <c r="H131" t="str">
        <f>$B$6</f>
        <v>Male</v>
      </c>
      <c r="I131" t="str">
        <f>$C$6</f>
        <v>Therapy 1</v>
      </c>
      <c r="J131" s="6">
        <f>$D$6</f>
        <v>59</v>
      </c>
      <c r="K131" s="87">
        <f>J131/$D$18</f>
        <v>0.11799999999999999</v>
      </c>
      <c r="L131" s="8">
        <f>LN(J131)</f>
        <v>4.0775374439057197</v>
      </c>
      <c r="M131" s="6">
        <f>D72*D77*D82/$D$44^2</f>
        <v>42.902831999999997</v>
      </c>
      <c r="N131" s="87">
        <f t="shared" ref="N131:N142" si="55">M131/D$44</f>
        <v>8.580566399999999E-2</v>
      </c>
      <c r="O131" s="8">
        <f>LN(M131)</f>
        <v>3.7589378377411578</v>
      </c>
      <c r="P131" s="132">
        <f>J131-M131</f>
        <v>16.097168000000003</v>
      </c>
      <c r="Q131" s="131">
        <f>P131/SQRT(M131)</f>
        <v>2.4575733918444431</v>
      </c>
      <c r="R131" s="58">
        <f>2*J131*(L131-O131)</f>
        <v>37.594753527418312</v>
      </c>
      <c r="T131" t="s">
        <v>41</v>
      </c>
      <c r="U131" s="58">
        <f>PRODUCT(A27:C27)-SUM(A27:C27)+2</f>
        <v>7</v>
      </c>
    </row>
    <row r="132" spans="1:21" x14ac:dyDescent="0.25">
      <c r="A132" s="47" t="s">
        <v>323</v>
      </c>
      <c r="B132" s="132">
        <f>B103</f>
        <v>5.5925062024545165</v>
      </c>
      <c r="C132" s="136">
        <f>B102</f>
        <v>12.040798754725822</v>
      </c>
      <c r="D132" s="121">
        <f>C132-B132</f>
        <v>6.4482925522713055</v>
      </c>
      <c r="G132" s="6" t="str">
        <f>$A$7</f>
        <v>Positive</v>
      </c>
      <c r="H132" t="str">
        <f>$B$7</f>
        <v>Male</v>
      </c>
      <c r="I132" t="str">
        <f>$C$7</f>
        <v>Therapy 2</v>
      </c>
      <c r="J132" s="6">
        <f>$D$7</f>
        <v>55</v>
      </c>
      <c r="K132" s="87">
        <f t="shared" ref="K132:K142" si="56">J132/$D$18</f>
        <v>0.11</v>
      </c>
      <c r="L132" s="8">
        <f t="shared" ref="L132:L142" si="57">LN(J132)</f>
        <v>4.0073331852324712</v>
      </c>
      <c r="M132" s="6">
        <f>D72*D77*D83/$D$44^2</f>
        <v>45.861648000000002</v>
      </c>
      <c r="N132" s="87">
        <f t="shared" si="55"/>
        <v>9.172329600000001E-2</v>
      </c>
      <c r="O132" s="8">
        <f t="shared" ref="O132:O142" si="58">LN(M132)</f>
        <v>3.8256292122398303</v>
      </c>
      <c r="P132" s="6">
        <f t="shared" ref="P132:P142" si="59">J132-M132</f>
        <v>9.1383519999999976</v>
      </c>
      <c r="Q132" s="8">
        <f t="shared" ref="Q132:Q142" si="60">P132/SQRT(M132)</f>
        <v>1.3494072969435165</v>
      </c>
      <c r="R132" s="58">
        <f t="shared" ref="R132:R142" si="61">2*J132*(L132-O132)</f>
        <v>19.987437029190495</v>
      </c>
      <c r="T132" s="24" t="s">
        <v>32</v>
      </c>
      <c r="U132" s="58">
        <v>0.05</v>
      </c>
    </row>
    <row r="133" spans="1:21" x14ac:dyDescent="0.25">
      <c r="A133" t="s">
        <v>41</v>
      </c>
      <c r="B133" s="112">
        <f>C103</f>
        <v>4</v>
      </c>
      <c r="C133" s="10">
        <f>C102</f>
        <v>6</v>
      </c>
      <c r="D133" s="123">
        <f>C133-B133</f>
        <v>2</v>
      </c>
      <c r="G133" s="6" t="str">
        <f>$A$8</f>
        <v>Positive</v>
      </c>
      <c r="H133" t="str">
        <f>$B$8</f>
        <v>Male</v>
      </c>
      <c r="I133" t="str">
        <f>$C$8</f>
        <v>Therapy 3</v>
      </c>
      <c r="J133" s="6">
        <f>$D$8</f>
        <v>107</v>
      </c>
      <c r="K133" s="87">
        <f t="shared" si="56"/>
        <v>0.214</v>
      </c>
      <c r="L133" s="8">
        <f t="shared" si="57"/>
        <v>4.6728288344619058</v>
      </c>
      <c r="M133" s="6">
        <f>D72*D77*D84/$D$44^2</f>
        <v>96.161519999999996</v>
      </c>
      <c r="N133" s="87">
        <f t="shared" si="55"/>
        <v>0.19232304</v>
      </c>
      <c r="O133" s="8">
        <f t="shared" si="58"/>
        <v>4.5660292776503209</v>
      </c>
      <c r="P133" s="6">
        <f t="shared" si="59"/>
        <v>10.838480000000004</v>
      </c>
      <c r="Q133" s="8">
        <f t="shared" si="60"/>
        <v>1.1052683166067374</v>
      </c>
      <c r="R133" s="58">
        <f t="shared" si="61"/>
        <v>22.855105157679176</v>
      </c>
      <c r="T133" s="75" t="s">
        <v>48</v>
      </c>
      <c r="U133" s="58">
        <f>CHIDIST(U130,U131)</f>
        <v>1.9117300324482149E-11</v>
      </c>
    </row>
    <row r="134" spans="1:21" x14ac:dyDescent="0.25">
      <c r="A134" s="24" t="s">
        <v>32</v>
      </c>
      <c r="D134" s="58">
        <v>0.05</v>
      </c>
      <c r="G134" s="6" t="str">
        <f>$A$9</f>
        <v>Positive</v>
      </c>
      <c r="H134" t="str">
        <f>$B$9</f>
        <v>Female</v>
      </c>
      <c r="I134" t="str">
        <f>$C$9</f>
        <v>Therapy 1</v>
      </c>
      <c r="J134" s="6">
        <f>$D$9</f>
        <v>32</v>
      </c>
      <c r="K134" s="87">
        <f t="shared" si="56"/>
        <v>6.4000000000000001E-2</v>
      </c>
      <c r="L134" s="8">
        <f t="shared" si="57"/>
        <v>3.4657359027997265</v>
      </c>
      <c r="M134" s="6">
        <f>D72*D78*D82/$D$44^2</f>
        <v>39.921168000000002</v>
      </c>
      <c r="N134" s="87">
        <f t="shared" si="55"/>
        <v>7.9842336E-2</v>
      </c>
      <c r="O134" s="8">
        <f t="shared" si="58"/>
        <v>3.6869067095322752</v>
      </c>
      <c r="P134" s="6">
        <f t="shared" si="59"/>
        <v>-7.9211680000000015</v>
      </c>
      <c r="Q134" s="8">
        <f t="shared" si="60"/>
        <v>-1.2536826185660521</v>
      </c>
      <c r="R134" s="58">
        <f t="shared" si="61"/>
        <v>-14.154931630883112</v>
      </c>
      <c r="T134" s="47" t="s">
        <v>74</v>
      </c>
      <c r="U134" s="58">
        <f>CHIINV(U132,U131)</f>
        <v>14.067140449340167</v>
      </c>
    </row>
    <row r="135" spans="1:21" x14ac:dyDescent="0.25">
      <c r="A135" t="s">
        <v>48</v>
      </c>
      <c r="D135" s="58">
        <f>CHIDIST(D132,D133)</f>
        <v>3.9789736527712581E-2</v>
      </c>
      <c r="G135" s="6" t="str">
        <f>$A$10</f>
        <v>Positive</v>
      </c>
      <c r="H135" t="str">
        <f>$B$10</f>
        <v>Female</v>
      </c>
      <c r="I135" t="str">
        <f>$C$10</f>
        <v>Therapy 2</v>
      </c>
      <c r="J135" s="6">
        <f>$D$10</f>
        <v>24</v>
      </c>
      <c r="K135" s="87">
        <f t="shared" si="56"/>
        <v>4.8000000000000001E-2</v>
      </c>
      <c r="L135" s="8">
        <f t="shared" si="57"/>
        <v>3.1780538303479458</v>
      </c>
      <c r="M135" s="6">
        <f>D72*D78*D83/$D$44^2</f>
        <v>42.674351999999999</v>
      </c>
      <c r="N135" s="87">
        <f t="shared" si="55"/>
        <v>8.5348703999999997E-2</v>
      </c>
      <c r="O135" s="8">
        <f t="shared" si="58"/>
        <v>3.7535980840309473</v>
      </c>
      <c r="P135" s="6">
        <f t="shared" si="59"/>
        <v>-18.674351999999999</v>
      </c>
      <c r="Q135" s="8">
        <f t="shared" si="60"/>
        <v>-2.8586571586024143</v>
      </c>
      <c r="R135" s="58">
        <f t="shared" si="61"/>
        <v>-27.626124176784074</v>
      </c>
      <c r="T135" s="75" t="s">
        <v>164</v>
      </c>
      <c r="U135" s="53" t="str">
        <f>IF(U133&lt;U132,"yes","no")</f>
        <v>yes</v>
      </c>
    </row>
    <row r="136" spans="1:21" x14ac:dyDescent="0.25">
      <c r="A136" t="s">
        <v>164</v>
      </c>
      <c r="D136" s="117" t="str">
        <f>IF(D134&lt;D133,"yes","no")</f>
        <v>yes</v>
      </c>
      <c r="G136" s="6" t="str">
        <f>$A$11</f>
        <v>Positive</v>
      </c>
      <c r="H136" t="str">
        <f>$B$11</f>
        <v>Female</v>
      </c>
      <c r="I136" t="str">
        <f>$C$11</f>
        <v>Therapy 3</v>
      </c>
      <c r="J136" s="6">
        <f>$D$11</f>
        <v>80</v>
      </c>
      <c r="K136" s="87">
        <f t="shared" si="56"/>
        <v>0.16</v>
      </c>
      <c r="L136" s="8">
        <f t="shared" si="57"/>
        <v>4.3820266346738812</v>
      </c>
      <c r="M136" s="6">
        <f>D72*D78*D84/$D$44^2</f>
        <v>89.478480000000005</v>
      </c>
      <c r="N136" s="87">
        <f t="shared" si="55"/>
        <v>0.17895696</v>
      </c>
      <c r="O136" s="8">
        <f t="shared" si="58"/>
        <v>4.4939981494414383</v>
      </c>
      <c r="P136" s="6">
        <f t="shared" si="59"/>
        <v>-9.4784800000000047</v>
      </c>
      <c r="Q136" s="8">
        <f t="shared" si="60"/>
        <v>-1.0020269426145285</v>
      </c>
      <c r="R136" s="58">
        <f t="shared" si="61"/>
        <v>-17.915442362809131</v>
      </c>
    </row>
    <row r="137" spans="1:21" x14ac:dyDescent="0.25">
      <c r="G137" s="6" t="str">
        <f>$A$12</f>
        <v>Negative</v>
      </c>
      <c r="H137" t="str">
        <f>$B$12</f>
        <v>Male</v>
      </c>
      <c r="I137" t="str">
        <f>$C$12</f>
        <v>Therapy 1</v>
      </c>
      <c r="J137" s="6">
        <f>$D$12</f>
        <v>9</v>
      </c>
      <c r="K137" s="87">
        <f t="shared" si="56"/>
        <v>1.7999999999999999E-2</v>
      </c>
      <c r="L137" s="8">
        <f t="shared" si="57"/>
        <v>2.1972245773362196</v>
      </c>
      <c r="M137" s="6">
        <f>D73*D77*D82/$D$44^2</f>
        <v>17.185168000000001</v>
      </c>
      <c r="N137" s="87">
        <f t="shared" si="55"/>
        <v>3.4370336000000001E-2</v>
      </c>
      <c r="O137" s="8">
        <f t="shared" si="58"/>
        <v>2.8440466862214264</v>
      </c>
      <c r="P137" s="6">
        <f t="shared" si="59"/>
        <v>-8.1851680000000009</v>
      </c>
      <c r="Q137" s="8">
        <f t="shared" si="60"/>
        <v>-1.9744707600600977</v>
      </c>
      <c r="R137" s="58">
        <f t="shared" si="61"/>
        <v>-11.642797959933723</v>
      </c>
    </row>
    <row r="138" spans="1:21" x14ac:dyDescent="0.25">
      <c r="G138" s="6" t="str">
        <f>$A$13</f>
        <v>Negative</v>
      </c>
      <c r="H138" t="str">
        <f>$B$13</f>
        <v>Male</v>
      </c>
      <c r="I138" t="str">
        <f>$C$13</f>
        <v>Therapy 2</v>
      </c>
      <c r="J138" s="6">
        <f>$D$13</f>
        <v>12</v>
      </c>
      <c r="K138" s="87">
        <f t="shared" si="56"/>
        <v>2.4E-2</v>
      </c>
      <c r="L138" s="8">
        <f t="shared" si="57"/>
        <v>2.4849066497880004</v>
      </c>
      <c r="M138" s="6">
        <f>D73*D77*D83/$D$44^2</f>
        <v>18.370352</v>
      </c>
      <c r="N138" s="87">
        <f t="shared" si="55"/>
        <v>3.6740703999999999E-2</v>
      </c>
      <c r="O138" s="8">
        <f t="shared" si="58"/>
        <v>2.9107380607200986</v>
      </c>
      <c r="P138" s="6">
        <f t="shared" si="59"/>
        <v>-6.3703520000000005</v>
      </c>
      <c r="Q138" s="8">
        <f t="shared" si="60"/>
        <v>-1.4862938861937338</v>
      </c>
      <c r="R138" s="58">
        <f t="shared" si="61"/>
        <v>-10.219953862370357</v>
      </c>
    </row>
    <row r="139" spans="1:21" x14ac:dyDescent="0.25">
      <c r="G139" s="6" t="str">
        <f>$A$14</f>
        <v>Negative</v>
      </c>
      <c r="H139" t="str">
        <f>$B$14</f>
        <v>Male</v>
      </c>
      <c r="I139" t="str">
        <f>$C$14</f>
        <v>Therapy 3</v>
      </c>
      <c r="J139" s="6">
        <f>$D$14</f>
        <v>17</v>
      </c>
      <c r="K139" s="87">
        <f t="shared" si="56"/>
        <v>3.4000000000000002E-2</v>
      </c>
      <c r="L139" s="8">
        <f t="shared" si="57"/>
        <v>2.8332133440562162</v>
      </c>
      <c r="M139" s="6">
        <f>D73*D77*D84/$D$44^2</f>
        <v>38.518479999999997</v>
      </c>
      <c r="N139" s="87">
        <f t="shared" si="55"/>
        <v>7.7036959999999988E-2</v>
      </c>
      <c r="O139" s="8">
        <f t="shared" si="58"/>
        <v>3.6511381261305891</v>
      </c>
      <c r="P139" s="6">
        <f t="shared" si="59"/>
        <v>-21.518479999999997</v>
      </c>
      <c r="Q139" s="8">
        <f t="shared" si="60"/>
        <v>-3.4671850424049668</v>
      </c>
      <c r="R139" s="58">
        <f t="shared" si="61"/>
        <v>-27.809442590528679</v>
      </c>
    </row>
    <row r="140" spans="1:21" x14ac:dyDescent="0.25">
      <c r="G140" s="6" t="str">
        <f>$A$15</f>
        <v>Negative</v>
      </c>
      <c r="H140" t="str">
        <f>$B$15</f>
        <v>Female</v>
      </c>
      <c r="I140" t="str">
        <f>$C$15</f>
        <v>Therapy 1</v>
      </c>
      <c r="J140" s="6">
        <f>$D$15</f>
        <v>16</v>
      </c>
      <c r="K140" s="87">
        <f t="shared" si="56"/>
        <v>3.2000000000000001E-2</v>
      </c>
      <c r="L140" s="8">
        <f t="shared" si="57"/>
        <v>2.7725887222397811</v>
      </c>
      <c r="M140" s="6">
        <f>D73*D78*D82/$D$44^2</f>
        <v>15.990831999999999</v>
      </c>
      <c r="N140" s="87">
        <f t="shared" si="55"/>
        <v>3.1981664E-2</v>
      </c>
      <c r="O140" s="8">
        <f t="shared" si="58"/>
        <v>2.7720155580125434</v>
      </c>
      <c r="P140" s="6">
        <f t="shared" si="59"/>
        <v>9.1680000000007311E-3</v>
      </c>
      <c r="Q140" s="8">
        <f t="shared" si="60"/>
        <v>2.2926569403337758E-3</v>
      </c>
      <c r="R140" s="58">
        <f t="shared" si="61"/>
        <v>1.8341255271607793E-2</v>
      </c>
    </row>
    <row r="141" spans="1:21" x14ac:dyDescent="0.25">
      <c r="G141" s="6" t="str">
        <f>$A$16</f>
        <v>Negative</v>
      </c>
      <c r="H141" t="str">
        <f>$B$16</f>
        <v>Female</v>
      </c>
      <c r="I141" t="str">
        <f>$C$16</f>
        <v>Therapy 2</v>
      </c>
      <c r="J141" s="6">
        <f>$D$16</f>
        <v>33</v>
      </c>
      <c r="K141" s="87">
        <f t="shared" si="56"/>
        <v>6.6000000000000003E-2</v>
      </c>
      <c r="L141" s="8">
        <f t="shared" si="57"/>
        <v>3.4965075614664802</v>
      </c>
      <c r="M141" s="6">
        <f>D73*D78*D83/$D$44^2</f>
        <v>17.093648000000002</v>
      </c>
      <c r="N141" s="87">
        <f t="shared" si="55"/>
        <v>3.4187296000000006E-2</v>
      </c>
      <c r="O141" s="8">
        <f t="shared" si="58"/>
        <v>2.838706932511216</v>
      </c>
      <c r="P141" s="6">
        <f t="shared" si="59"/>
        <v>15.906351999999998</v>
      </c>
      <c r="Q141" s="8">
        <f t="shared" si="60"/>
        <v>3.847274825178145</v>
      </c>
      <c r="R141" s="58">
        <f t="shared" si="61"/>
        <v>43.414841511047442</v>
      </c>
    </row>
    <row r="142" spans="1:21" x14ac:dyDescent="0.25">
      <c r="G142" s="9" t="str">
        <f>$A$17</f>
        <v>Negative</v>
      </c>
      <c r="H142" s="10" t="str">
        <f>$B$17</f>
        <v>Female</v>
      </c>
      <c r="I142" s="10" t="str">
        <f>$C$17</f>
        <v>Therapy 3</v>
      </c>
      <c r="J142" s="9">
        <f>$D$17</f>
        <v>56</v>
      </c>
      <c r="K142" s="88">
        <f t="shared" si="56"/>
        <v>0.112</v>
      </c>
      <c r="L142" s="11">
        <f t="shared" si="57"/>
        <v>4.0253516907351496</v>
      </c>
      <c r="M142" s="9">
        <f>D73*D78*D84/$D$44^2</f>
        <v>35.841520000000003</v>
      </c>
      <c r="N142" s="88">
        <f t="shared" si="55"/>
        <v>7.1683040000000003E-2</v>
      </c>
      <c r="O142" s="11">
        <f t="shared" si="58"/>
        <v>3.5791069979217065</v>
      </c>
      <c r="P142" s="112">
        <f t="shared" si="59"/>
        <v>20.158479999999997</v>
      </c>
      <c r="Q142" s="11">
        <f t="shared" si="60"/>
        <v>3.367166348708782</v>
      </c>
      <c r="R142" s="54">
        <f t="shared" si="61"/>
        <v>49.979405595105632</v>
      </c>
    </row>
    <row r="143" spans="1:21" x14ac:dyDescent="0.25">
      <c r="R143">
        <f>SUM(R131:R142)</f>
        <v>64.481191492403582</v>
      </c>
    </row>
    <row r="145" spans="7:21" x14ac:dyDescent="0.25">
      <c r="G145" s="1" t="s">
        <v>271</v>
      </c>
    </row>
    <row r="147" spans="7:21" x14ac:dyDescent="0.25">
      <c r="J147" s="777" t="s">
        <v>132</v>
      </c>
      <c r="K147" s="778"/>
      <c r="L147" s="779"/>
      <c r="M147" s="777" t="s">
        <v>222</v>
      </c>
      <c r="N147" s="778"/>
      <c r="O147" s="779"/>
      <c r="P147" s="774" t="s">
        <v>133</v>
      </c>
      <c r="Q147" s="780"/>
    </row>
    <row r="148" spans="7:21" x14ac:dyDescent="0.25">
      <c r="G148" s="95" t="str">
        <f>$A$5</f>
        <v>Cure</v>
      </c>
      <c r="H148" s="82" t="str">
        <f>$B$5</f>
        <v>Gender</v>
      </c>
      <c r="I148" s="82" t="str">
        <f>$C$5</f>
        <v>Therapy</v>
      </c>
      <c r="J148" s="84" t="s">
        <v>220</v>
      </c>
      <c r="K148" s="85" t="s">
        <v>219</v>
      </c>
      <c r="L148" s="86" t="s">
        <v>137</v>
      </c>
      <c r="M148" s="84" t="s">
        <v>221</v>
      </c>
      <c r="N148" s="85" t="s">
        <v>219</v>
      </c>
      <c r="O148" s="86" t="s">
        <v>212</v>
      </c>
      <c r="P148" s="133" t="s">
        <v>118</v>
      </c>
      <c r="Q148" s="135" t="s">
        <v>231</v>
      </c>
      <c r="R148" s="90" t="s">
        <v>73</v>
      </c>
      <c r="T148" s="47" t="s">
        <v>73</v>
      </c>
      <c r="U148" s="94">
        <f>R161</f>
        <v>138.95072251373131</v>
      </c>
    </row>
    <row r="149" spans="7:21" x14ac:dyDescent="0.25">
      <c r="G149" s="6" t="str">
        <f>$A$6</f>
        <v>Positive</v>
      </c>
      <c r="H149" t="str">
        <f>$B$6</f>
        <v>Male</v>
      </c>
      <c r="I149" t="str">
        <f>$C$6</f>
        <v>Therapy 1</v>
      </c>
      <c r="J149" s="6">
        <f>$D$6</f>
        <v>59</v>
      </c>
      <c r="K149" s="87">
        <f>J149/$D$18</f>
        <v>0.11799999999999999</v>
      </c>
      <c r="L149" s="8">
        <f>LN(J149)</f>
        <v>4.0775374439057197</v>
      </c>
      <c r="M149" s="6">
        <f>D72/(B27*C27)</f>
        <v>59.5</v>
      </c>
      <c r="N149" s="87">
        <f t="shared" ref="N149:N160" si="62">M149/D$44</f>
        <v>0.11899999999999999</v>
      </c>
      <c r="O149" s="8">
        <f>LN(M149)</f>
        <v>4.0859763125515842</v>
      </c>
      <c r="P149" s="132">
        <f>J149-M149</f>
        <v>-0.5</v>
      </c>
      <c r="Q149" s="131">
        <f>P149/SQRT(M149)</f>
        <v>-6.4820372355216441E-2</v>
      </c>
      <c r="R149" s="58">
        <f>2*J149*(L149-O149)</f>
        <v>-0.99578650021201298</v>
      </c>
      <c r="T149" t="s">
        <v>41</v>
      </c>
      <c r="U149" s="58">
        <f>A27*B27*C27-A27</f>
        <v>10</v>
      </c>
    </row>
    <row r="150" spans="7:21" x14ac:dyDescent="0.25">
      <c r="G150" s="6" t="str">
        <f>$A$7</f>
        <v>Positive</v>
      </c>
      <c r="H150" t="str">
        <f>$B$7</f>
        <v>Male</v>
      </c>
      <c r="I150" t="str">
        <f>$C$7</f>
        <v>Therapy 2</v>
      </c>
      <c r="J150" s="6">
        <f>$D$7</f>
        <v>55</v>
      </c>
      <c r="K150" s="87">
        <f t="shared" ref="K150:K160" si="63">J150/$D$18</f>
        <v>0.11</v>
      </c>
      <c r="L150" s="8">
        <f t="shared" ref="L150:L160" si="64">LN(J150)</f>
        <v>4.0073331852324712</v>
      </c>
      <c r="M150" s="6">
        <f>M149</f>
        <v>59.5</v>
      </c>
      <c r="N150" s="87">
        <f t="shared" si="62"/>
        <v>0.11899999999999999</v>
      </c>
      <c r="O150" s="8">
        <f t="shared" ref="O150:O160" si="65">LN(M150)</f>
        <v>4.0859763125515842</v>
      </c>
      <c r="P150" s="6">
        <f t="shared" ref="P150:P160" si="66">J150-M150</f>
        <v>-4.5</v>
      </c>
      <c r="Q150" s="8">
        <f t="shared" ref="Q150:Q160" si="67">P150/SQRT(M150)</f>
        <v>-0.58338335119694795</v>
      </c>
      <c r="R150" s="58">
        <f t="shared" ref="R150:R160" si="68">2*J150*(L150-O150)</f>
        <v>-8.6507440051024354</v>
      </c>
      <c r="T150" s="24" t="s">
        <v>32</v>
      </c>
      <c r="U150" s="58">
        <v>0.05</v>
      </c>
    </row>
    <row r="151" spans="7:21" x14ac:dyDescent="0.25">
      <c r="G151" s="6" t="str">
        <f>$A$8</f>
        <v>Positive</v>
      </c>
      <c r="H151" t="str">
        <f>$B$8</f>
        <v>Male</v>
      </c>
      <c r="I151" t="str">
        <f>$C$8</f>
        <v>Therapy 3</v>
      </c>
      <c r="J151" s="6">
        <f>$D$8</f>
        <v>107</v>
      </c>
      <c r="K151" s="87">
        <f t="shared" si="63"/>
        <v>0.214</v>
      </c>
      <c r="L151" s="8">
        <f t="shared" si="64"/>
        <v>4.6728288344619058</v>
      </c>
      <c r="M151" s="6">
        <f>M150</f>
        <v>59.5</v>
      </c>
      <c r="N151" s="87">
        <f t="shared" si="62"/>
        <v>0.11899999999999999</v>
      </c>
      <c r="O151" s="8">
        <f t="shared" si="65"/>
        <v>4.0859763125515842</v>
      </c>
      <c r="P151" s="6">
        <f t="shared" si="66"/>
        <v>47.5</v>
      </c>
      <c r="Q151" s="8">
        <f t="shared" si="67"/>
        <v>6.1579353737455618</v>
      </c>
      <c r="R151" s="58">
        <f t="shared" si="68"/>
        <v>125.58643968880881</v>
      </c>
      <c r="T151" s="75" t="s">
        <v>48</v>
      </c>
      <c r="U151" s="58">
        <f>CHIDIST(U148,U149)</f>
        <v>6.9136338267619402E-25</v>
      </c>
    </row>
    <row r="152" spans="7:21" x14ac:dyDescent="0.25">
      <c r="G152" s="6" t="str">
        <f>$A$9</f>
        <v>Positive</v>
      </c>
      <c r="H152" t="str">
        <f>$B$9</f>
        <v>Female</v>
      </c>
      <c r="I152" t="str">
        <f>$C$9</f>
        <v>Therapy 1</v>
      </c>
      <c r="J152" s="6">
        <f>$D$9</f>
        <v>32</v>
      </c>
      <c r="K152" s="87">
        <f t="shared" si="63"/>
        <v>6.4000000000000001E-2</v>
      </c>
      <c r="L152" s="8">
        <f t="shared" si="64"/>
        <v>3.4657359027997265</v>
      </c>
      <c r="M152" s="6">
        <f>M151</f>
        <v>59.5</v>
      </c>
      <c r="N152" s="87">
        <f t="shared" si="62"/>
        <v>0.11899999999999999</v>
      </c>
      <c r="O152" s="8">
        <f t="shared" si="65"/>
        <v>4.0859763125515842</v>
      </c>
      <c r="P152" s="6">
        <f t="shared" si="66"/>
        <v>-27.5</v>
      </c>
      <c r="Q152" s="8">
        <f t="shared" si="67"/>
        <v>-3.5651204795369043</v>
      </c>
      <c r="R152" s="58">
        <f t="shared" si="68"/>
        <v>-39.695386224118892</v>
      </c>
      <c r="T152" s="47" t="s">
        <v>74</v>
      </c>
      <c r="U152" s="58">
        <f>CHIINV(U150,U149)</f>
        <v>18.307038053275146</v>
      </c>
    </row>
    <row r="153" spans="7:21" x14ac:dyDescent="0.25">
      <c r="G153" s="6" t="str">
        <f>$A$10</f>
        <v>Positive</v>
      </c>
      <c r="H153" t="str">
        <f>$B$10</f>
        <v>Female</v>
      </c>
      <c r="I153" t="str">
        <f>$C$10</f>
        <v>Therapy 2</v>
      </c>
      <c r="J153" s="6">
        <f>$D$10</f>
        <v>24</v>
      </c>
      <c r="K153" s="87">
        <f t="shared" si="63"/>
        <v>4.8000000000000001E-2</v>
      </c>
      <c r="L153" s="8">
        <f t="shared" si="64"/>
        <v>3.1780538303479458</v>
      </c>
      <c r="M153" s="6">
        <f>M152</f>
        <v>59.5</v>
      </c>
      <c r="N153" s="87">
        <f t="shared" si="62"/>
        <v>0.11899999999999999</v>
      </c>
      <c r="O153" s="8">
        <f t="shared" si="65"/>
        <v>4.0859763125515842</v>
      </c>
      <c r="P153" s="6">
        <f t="shared" si="66"/>
        <v>-35.5</v>
      </c>
      <c r="Q153" s="8">
        <f t="shared" si="67"/>
        <v>-4.6022464372203675</v>
      </c>
      <c r="R153" s="58">
        <f t="shared" si="68"/>
        <v>-43.580279145774647</v>
      </c>
      <c r="T153" s="75" t="s">
        <v>164</v>
      </c>
      <c r="U153" s="53" t="str">
        <f>IF(U151&lt;U150,"yes","no")</f>
        <v>yes</v>
      </c>
    </row>
    <row r="154" spans="7:21" x14ac:dyDescent="0.25">
      <c r="G154" s="6" t="str">
        <f>$A$11</f>
        <v>Positive</v>
      </c>
      <c r="H154" t="str">
        <f>$B$11</f>
        <v>Female</v>
      </c>
      <c r="I154" t="str">
        <f>$C$11</f>
        <v>Therapy 3</v>
      </c>
      <c r="J154" s="6">
        <f>$D$11</f>
        <v>80</v>
      </c>
      <c r="K154" s="87">
        <f t="shared" si="63"/>
        <v>0.16</v>
      </c>
      <c r="L154" s="8">
        <f t="shared" si="64"/>
        <v>4.3820266346738812</v>
      </c>
      <c r="M154" s="6">
        <f>M153</f>
        <v>59.5</v>
      </c>
      <c r="N154" s="87">
        <f t="shared" si="62"/>
        <v>0.11899999999999999</v>
      </c>
      <c r="O154" s="8">
        <f t="shared" si="65"/>
        <v>4.0859763125515842</v>
      </c>
      <c r="P154" s="6">
        <f t="shared" si="66"/>
        <v>20.5</v>
      </c>
      <c r="Q154" s="8">
        <f t="shared" si="67"/>
        <v>2.6576352665638741</v>
      </c>
      <c r="R154" s="58">
        <f t="shared" si="68"/>
        <v>47.368051539567517</v>
      </c>
    </row>
    <row r="155" spans="7:21" x14ac:dyDescent="0.25">
      <c r="G155" s="6" t="str">
        <f>$A$12</f>
        <v>Negative</v>
      </c>
      <c r="H155" t="str">
        <f>$B$12</f>
        <v>Male</v>
      </c>
      <c r="I155" t="str">
        <f>$C$12</f>
        <v>Therapy 1</v>
      </c>
      <c r="J155" s="6">
        <f>$D$12</f>
        <v>9</v>
      </c>
      <c r="K155" s="87">
        <f t="shared" si="63"/>
        <v>1.7999999999999999E-2</v>
      </c>
      <c r="L155" s="8">
        <f t="shared" si="64"/>
        <v>2.1972245773362196</v>
      </c>
      <c r="M155" s="6">
        <f>D73/(B27*C27)</f>
        <v>23.833333333333332</v>
      </c>
      <c r="N155" s="87">
        <f t="shared" si="62"/>
        <v>4.7666666666666663E-2</v>
      </c>
      <c r="O155" s="8">
        <f t="shared" si="65"/>
        <v>3.1710851610318525</v>
      </c>
      <c r="P155" s="6">
        <f t="shared" si="66"/>
        <v>-14.833333333333332</v>
      </c>
      <c r="Q155" s="8">
        <f t="shared" si="67"/>
        <v>-3.0384099018951889</v>
      </c>
      <c r="R155" s="58">
        <f t="shared" si="68"/>
        <v>-17.529490506521391</v>
      </c>
    </row>
    <row r="156" spans="7:21" x14ac:dyDescent="0.25">
      <c r="G156" s="6" t="str">
        <f>$A$13</f>
        <v>Negative</v>
      </c>
      <c r="H156" t="str">
        <f>$B$13</f>
        <v>Male</v>
      </c>
      <c r="I156" t="str">
        <f>$C$13</f>
        <v>Therapy 2</v>
      </c>
      <c r="J156" s="6">
        <f>$D$13</f>
        <v>12</v>
      </c>
      <c r="K156" s="87">
        <f t="shared" si="63"/>
        <v>2.4E-2</v>
      </c>
      <c r="L156" s="8">
        <f t="shared" si="64"/>
        <v>2.4849066497880004</v>
      </c>
      <c r="M156" s="6">
        <f>M155</f>
        <v>23.833333333333332</v>
      </c>
      <c r="N156" s="87">
        <f t="shared" si="62"/>
        <v>4.7666666666666663E-2</v>
      </c>
      <c r="O156" s="8">
        <f t="shared" si="65"/>
        <v>3.1710851610318525</v>
      </c>
      <c r="P156" s="6">
        <f t="shared" si="66"/>
        <v>-11.833333333333332</v>
      </c>
      <c r="Q156" s="8">
        <f t="shared" si="67"/>
        <v>-2.4239000340961621</v>
      </c>
      <c r="R156" s="58">
        <f t="shared" si="68"/>
        <v>-16.46828426985245</v>
      </c>
    </row>
    <row r="157" spans="7:21" x14ac:dyDescent="0.25">
      <c r="G157" s="6" t="str">
        <f>$A$14</f>
        <v>Negative</v>
      </c>
      <c r="H157" t="str">
        <f>$B$14</f>
        <v>Male</v>
      </c>
      <c r="I157" t="str">
        <f>$C$14</f>
        <v>Therapy 3</v>
      </c>
      <c r="J157" s="6">
        <f>$D$14</f>
        <v>17</v>
      </c>
      <c r="K157" s="87">
        <f t="shared" si="63"/>
        <v>3.4000000000000002E-2</v>
      </c>
      <c r="L157" s="8">
        <f t="shared" si="64"/>
        <v>2.8332133440562162</v>
      </c>
      <c r="M157" s="6">
        <f>M156</f>
        <v>23.833333333333332</v>
      </c>
      <c r="N157" s="87">
        <f t="shared" si="62"/>
        <v>4.7666666666666663E-2</v>
      </c>
      <c r="O157" s="8">
        <f t="shared" si="65"/>
        <v>3.1710851610318525</v>
      </c>
      <c r="P157" s="6">
        <f t="shared" si="66"/>
        <v>-6.8333333333333321</v>
      </c>
      <c r="Q157" s="8">
        <f t="shared" si="67"/>
        <v>-1.3997169210977836</v>
      </c>
      <c r="R157" s="58">
        <f t="shared" si="68"/>
        <v>-11.487641777171634</v>
      </c>
    </row>
    <row r="158" spans="7:21" x14ac:dyDescent="0.25">
      <c r="G158" s="6" t="str">
        <f>$A$15</f>
        <v>Negative</v>
      </c>
      <c r="H158" t="str">
        <f>$B$15</f>
        <v>Female</v>
      </c>
      <c r="I158" t="str">
        <f>$C$15</f>
        <v>Therapy 1</v>
      </c>
      <c r="J158" s="6">
        <f>$D$15</f>
        <v>16</v>
      </c>
      <c r="K158" s="87">
        <f t="shared" si="63"/>
        <v>3.2000000000000001E-2</v>
      </c>
      <c r="L158" s="8">
        <f t="shared" si="64"/>
        <v>2.7725887222397811</v>
      </c>
      <c r="M158" s="6">
        <f>M157</f>
        <v>23.833333333333332</v>
      </c>
      <c r="N158" s="87">
        <f t="shared" si="62"/>
        <v>4.7666666666666663E-2</v>
      </c>
      <c r="O158" s="8">
        <f t="shared" si="65"/>
        <v>3.1710851610318525</v>
      </c>
      <c r="P158" s="6">
        <f t="shared" si="66"/>
        <v>-7.8333333333333321</v>
      </c>
      <c r="Q158" s="8">
        <f t="shared" si="67"/>
        <v>-1.6045535436974594</v>
      </c>
      <c r="R158" s="58">
        <f t="shared" si="68"/>
        <v>-12.751886041346282</v>
      </c>
    </row>
    <row r="159" spans="7:21" x14ac:dyDescent="0.25">
      <c r="G159" s="6" t="str">
        <f>$A$16</f>
        <v>Negative</v>
      </c>
      <c r="H159" t="str">
        <f>$B$16</f>
        <v>Female</v>
      </c>
      <c r="I159" t="str">
        <f>$C$16</f>
        <v>Therapy 2</v>
      </c>
      <c r="J159" s="6">
        <f>$D$16</f>
        <v>33</v>
      </c>
      <c r="K159" s="87">
        <f t="shared" si="63"/>
        <v>6.6000000000000003E-2</v>
      </c>
      <c r="L159" s="8">
        <f t="shared" si="64"/>
        <v>3.4965075614664802</v>
      </c>
      <c r="M159" s="6">
        <f>M158</f>
        <v>23.833333333333332</v>
      </c>
      <c r="N159" s="87">
        <f t="shared" si="62"/>
        <v>4.7666666666666663E-2</v>
      </c>
      <c r="O159" s="8">
        <f t="shared" si="65"/>
        <v>3.1710851610318525</v>
      </c>
      <c r="P159" s="6">
        <f t="shared" si="66"/>
        <v>9.1666666666666679</v>
      </c>
      <c r="Q159" s="8">
        <f t="shared" si="67"/>
        <v>1.8776690404970273</v>
      </c>
      <c r="R159" s="58">
        <f t="shared" si="68"/>
        <v>21.477878428685433</v>
      </c>
    </row>
    <row r="160" spans="7:21" x14ac:dyDescent="0.25">
      <c r="G160" s="9" t="str">
        <f>$A$17</f>
        <v>Negative</v>
      </c>
      <c r="H160" s="10" t="str">
        <f>$B$17</f>
        <v>Female</v>
      </c>
      <c r="I160" s="10" t="str">
        <f>$C$17</f>
        <v>Therapy 3</v>
      </c>
      <c r="J160" s="9">
        <f>$D$17</f>
        <v>56</v>
      </c>
      <c r="K160" s="88">
        <f t="shared" si="63"/>
        <v>0.112</v>
      </c>
      <c r="L160" s="11">
        <f t="shared" si="64"/>
        <v>4.0253516907351496</v>
      </c>
      <c r="M160" s="9">
        <f>M159</f>
        <v>23.833333333333332</v>
      </c>
      <c r="N160" s="88">
        <f t="shared" si="62"/>
        <v>4.7666666666666663E-2</v>
      </c>
      <c r="O160" s="11">
        <f t="shared" si="65"/>
        <v>3.1710851610318525</v>
      </c>
      <c r="P160" s="112">
        <f t="shared" si="66"/>
        <v>32.166666666666671</v>
      </c>
      <c r="Q160" s="11">
        <f t="shared" si="67"/>
        <v>6.5889113602895693</v>
      </c>
      <c r="R160" s="54">
        <f t="shared" si="68"/>
        <v>95.677851326769286</v>
      </c>
    </row>
    <row r="161" spans="7:21" x14ac:dyDescent="0.25">
      <c r="R161">
        <f>SUM(R149:R160)</f>
        <v>138.95072251373131</v>
      </c>
    </row>
    <row r="163" spans="7:21" x14ac:dyDescent="0.25">
      <c r="G163" s="1" t="s">
        <v>272</v>
      </c>
    </row>
    <row r="165" spans="7:21" x14ac:dyDescent="0.25">
      <c r="J165" s="777" t="s">
        <v>132</v>
      </c>
      <c r="K165" s="778"/>
      <c r="L165" s="779"/>
      <c r="M165" s="777" t="s">
        <v>222</v>
      </c>
      <c r="N165" s="778"/>
      <c r="O165" s="779"/>
      <c r="P165" s="774" t="s">
        <v>133</v>
      </c>
      <c r="Q165" s="780"/>
    </row>
    <row r="166" spans="7:21" x14ac:dyDescent="0.25">
      <c r="G166" s="95" t="str">
        <f>$A$5</f>
        <v>Cure</v>
      </c>
      <c r="H166" s="82" t="str">
        <f>$B$5</f>
        <v>Gender</v>
      </c>
      <c r="I166" s="82" t="str">
        <f>$C$5</f>
        <v>Therapy</v>
      </c>
      <c r="J166" s="84" t="s">
        <v>220</v>
      </c>
      <c r="K166" s="85" t="s">
        <v>219</v>
      </c>
      <c r="L166" s="86" t="s">
        <v>137</v>
      </c>
      <c r="M166" s="84" t="s">
        <v>221</v>
      </c>
      <c r="N166" s="85" t="s">
        <v>219</v>
      </c>
      <c r="O166" s="86" t="s">
        <v>212</v>
      </c>
      <c r="P166" s="133" t="s">
        <v>118</v>
      </c>
      <c r="Q166" s="135" t="s">
        <v>231</v>
      </c>
      <c r="R166" s="90" t="s">
        <v>73</v>
      </c>
      <c r="T166" s="47" t="s">
        <v>73</v>
      </c>
      <c r="U166" s="94">
        <f>R179</f>
        <v>232.91857705587103</v>
      </c>
    </row>
    <row r="167" spans="7:21" x14ac:dyDescent="0.25">
      <c r="G167" s="6" t="str">
        <f>$A$6</f>
        <v>Positive</v>
      </c>
      <c r="H167" t="str">
        <f>$B$6</f>
        <v>Male</v>
      </c>
      <c r="I167" t="str">
        <f>$C$6</f>
        <v>Therapy 1</v>
      </c>
      <c r="J167" s="6">
        <f>$D$6</f>
        <v>59</v>
      </c>
      <c r="K167" s="87">
        <f>J167/$D$18</f>
        <v>0.11799999999999999</v>
      </c>
      <c r="L167" s="8">
        <f>LN(J167)</f>
        <v>4.0775374439057197</v>
      </c>
      <c r="M167" s="6">
        <f>D77/(A27*C27)</f>
        <v>43.166666666666664</v>
      </c>
      <c r="N167" s="87">
        <f t="shared" ref="N167:N178" si="69">M167/D$44</f>
        <v>8.6333333333333331E-2</v>
      </c>
      <c r="O167" s="8">
        <f>LN(M167)</f>
        <v>3.7650685924714828</v>
      </c>
      <c r="P167" s="132">
        <f>J167-M167</f>
        <v>15.833333333333336</v>
      </c>
      <c r="Q167" s="131">
        <f>P167/SQRT(M167)</f>
        <v>2.4098948748012452</v>
      </c>
      <c r="R167" s="58">
        <f>2*J167*(L167-O167)</f>
        <v>36.871324469239951</v>
      </c>
      <c r="T167" t="s">
        <v>41</v>
      </c>
      <c r="U167" s="58">
        <f>A27*B27*C27-B27</f>
        <v>10</v>
      </c>
    </row>
    <row r="168" spans="7:21" x14ac:dyDescent="0.25">
      <c r="G168" s="6" t="str">
        <f>$A$7</f>
        <v>Positive</v>
      </c>
      <c r="H168" t="str">
        <f>$B$7</f>
        <v>Male</v>
      </c>
      <c r="I168" t="str">
        <f>$C$7</f>
        <v>Therapy 2</v>
      </c>
      <c r="J168" s="6">
        <f>$D$7</f>
        <v>55</v>
      </c>
      <c r="K168" s="87">
        <f t="shared" ref="K168:K178" si="70">J168/$D$18</f>
        <v>0.11</v>
      </c>
      <c r="L168" s="8">
        <f t="shared" ref="L168:L178" si="71">LN(J168)</f>
        <v>4.0073331852324712</v>
      </c>
      <c r="M168" s="6">
        <f>M167</f>
        <v>43.166666666666664</v>
      </c>
      <c r="N168" s="87">
        <f t="shared" si="69"/>
        <v>8.6333333333333331E-2</v>
      </c>
      <c r="O168" s="8">
        <f t="shared" ref="O168:O178" si="72">LN(M168)</f>
        <v>3.7650685924714828</v>
      </c>
      <c r="P168" s="6">
        <f t="shared" ref="P168:P178" si="73">J168-M168</f>
        <v>11.833333333333336</v>
      </c>
      <c r="Q168" s="8">
        <f t="shared" ref="Q168:Q178" si="74">P168/SQRT(M168)</f>
        <v>1.8010793274830359</v>
      </c>
      <c r="R168" s="58">
        <f t="shared" ref="R168:R178" si="75">2*J168*(L168-O168)</f>
        <v>26.649105203708714</v>
      </c>
      <c r="T168" s="24" t="s">
        <v>32</v>
      </c>
      <c r="U168" s="58">
        <v>0.05</v>
      </c>
    </row>
    <row r="169" spans="7:21" x14ac:dyDescent="0.25">
      <c r="G169" s="6" t="str">
        <f>$A$8</f>
        <v>Positive</v>
      </c>
      <c r="H169" t="str">
        <f>$B$8</f>
        <v>Male</v>
      </c>
      <c r="I169" t="str">
        <f>$C$8</f>
        <v>Therapy 3</v>
      </c>
      <c r="J169" s="6">
        <f>$D$8</f>
        <v>107</v>
      </c>
      <c r="K169" s="87">
        <f t="shared" si="70"/>
        <v>0.214</v>
      </c>
      <c r="L169" s="8">
        <f t="shared" si="71"/>
        <v>4.6728288344619058</v>
      </c>
      <c r="M169" s="6">
        <f>M168</f>
        <v>43.166666666666664</v>
      </c>
      <c r="N169" s="87">
        <f t="shared" si="69"/>
        <v>8.6333333333333331E-2</v>
      </c>
      <c r="O169" s="8">
        <f t="shared" si="72"/>
        <v>3.7650685924714828</v>
      </c>
      <c r="P169" s="6">
        <f t="shared" si="73"/>
        <v>63.833333333333336</v>
      </c>
      <c r="Q169" s="8">
        <f t="shared" si="74"/>
        <v>9.715681442619756</v>
      </c>
      <c r="R169" s="58">
        <f t="shared" si="75"/>
        <v>194.26069178595051</v>
      </c>
      <c r="T169" s="75" t="s">
        <v>48</v>
      </c>
      <c r="U169" s="58">
        <f>CHIDIST(U166,U167)</f>
        <v>2.0984703602669198E-44</v>
      </c>
    </row>
    <row r="170" spans="7:21" x14ac:dyDescent="0.25">
      <c r="G170" s="6" t="str">
        <f>$A$9</f>
        <v>Positive</v>
      </c>
      <c r="H170" t="str">
        <f>$B$9</f>
        <v>Female</v>
      </c>
      <c r="I170" t="str">
        <f>$C$9</f>
        <v>Therapy 1</v>
      </c>
      <c r="J170" s="6">
        <f>$D$9</f>
        <v>32</v>
      </c>
      <c r="K170" s="87">
        <f t="shared" si="70"/>
        <v>6.4000000000000001E-2</v>
      </c>
      <c r="L170" s="8">
        <f t="shared" si="71"/>
        <v>3.4657359027997265</v>
      </c>
      <c r="M170" s="6">
        <f>D78/(A27*C27)</f>
        <v>40.166666666666664</v>
      </c>
      <c r="N170" s="87">
        <f t="shared" si="69"/>
        <v>8.0333333333333326E-2</v>
      </c>
      <c r="O170" s="8">
        <f t="shared" si="72"/>
        <v>3.6930374642625998</v>
      </c>
      <c r="P170" s="6">
        <f t="shared" si="73"/>
        <v>-8.1666666666666643</v>
      </c>
      <c r="Q170" s="8">
        <f t="shared" si="74"/>
        <v>-1.2885816234436311</v>
      </c>
      <c r="R170" s="58">
        <f t="shared" si="75"/>
        <v>-14.54729993362389</v>
      </c>
      <c r="T170" s="47" t="s">
        <v>74</v>
      </c>
      <c r="U170" s="58">
        <f>CHIINV(U168,U167)</f>
        <v>18.307038053275146</v>
      </c>
    </row>
    <row r="171" spans="7:21" x14ac:dyDescent="0.25">
      <c r="G171" s="6" t="str">
        <f>$A$10</f>
        <v>Positive</v>
      </c>
      <c r="H171" t="str">
        <f>$B$10</f>
        <v>Female</v>
      </c>
      <c r="I171" t="str">
        <f>$C$10</f>
        <v>Therapy 2</v>
      </c>
      <c r="J171" s="6">
        <f>$D$10</f>
        <v>24</v>
      </c>
      <c r="K171" s="87">
        <f t="shared" si="70"/>
        <v>4.8000000000000001E-2</v>
      </c>
      <c r="L171" s="8">
        <f t="shared" si="71"/>
        <v>3.1780538303479458</v>
      </c>
      <c r="M171" s="6">
        <f>M170</f>
        <v>40.166666666666664</v>
      </c>
      <c r="N171" s="87">
        <f t="shared" si="69"/>
        <v>8.0333333333333326E-2</v>
      </c>
      <c r="O171" s="8">
        <f t="shared" si="72"/>
        <v>3.6930374642625998</v>
      </c>
      <c r="P171" s="6">
        <f t="shared" si="73"/>
        <v>-16.166666666666664</v>
      </c>
      <c r="Q171" s="8">
        <f t="shared" si="74"/>
        <v>-2.5508656627353519</v>
      </c>
      <c r="R171" s="58">
        <f t="shared" si="75"/>
        <v>-24.719214427903395</v>
      </c>
      <c r="T171" s="75" t="s">
        <v>164</v>
      </c>
      <c r="U171" s="53" t="str">
        <f>IF(U169&lt;U168,"yes","no")</f>
        <v>yes</v>
      </c>
    </row>
    <row r="172" spans="7:21" x14ac:dyDescent="0.25">
      <c r="G172" s="6" t="str">
        <f>$A$11</f>
        <v>Positive</v>
      </c>
      <c r="H172" t="str">
        <f>$B$11</f>
        <v>Female</v>
      </c>
      <c r="I172" t="str">
        <f>$C$11</f>
        <v>Therapy 3</v>
      </c>
      <c r="J172" s="6">
        <f>$D$11</f>
        <v>80</v>
      </c>
      <c r="K172" s="87">
        <f t="shared" si="70"/>
        <v>0.16</v>
      </c>
      <c r="L172" s="8">
        <f t="shared" si="71"/>
        <v>4.3820266346738812</v>
      </c>
      <c r="M172" s="6">
        <f>M171</f>
        <v>40.166666666666664</v>
      </c>
      <c r="N172" s="87">
        <f t="shared" si="69"/>
        <v>8.0333333333333326E-2</v>
      </c>
      <c r="O172" s="8">
        <f t="shared" si="72"/>
        <v>3.6930374642625998</v>
      </c>
      <c r="P172" s="6">
        <f t="shared" si="73"/>
        <v>39.833333333333336</v>
      </c>
      <c r="Q172" s="8">
        <f t="shared" si="74"/>
        <v>6.2851226123066937</v>
      </c>
      <c r="R172" s="58">
        <f t="shared" si="75"/>
        <v>110.23826726580502</v>
      </c>
    </row>
    <row r="173" spans="7:21" x14ac:dyDescent="0.25">
      <c r="G173" s="6" t="str">
        <f>$A$12</f>
        <v>Negative</v>
      </c>
      <c r="H173" t="str">
        <f>$B$12</f>
        <v>Male</v>
      </c>
      <c r="I173" t="str">
        <f>$C$12</f>
        <v>Therapy 1</v>
      </c>
      <c r="J173" s="6">
        <f>$D$12</f>
        <v>9</v>
      </c>
      <c r="K173" s="87">
        <f t="shared" si="70"/>
        <v>1.7999999999999999E-2</v>
      </c>
      <c r="L173" s="8">
        <f t="shared" si="71"/>
        <v>2.1972245773362196</v>
      </c>
      <c r="M173" s="6">
        <f>M167</f>
        <v>43.166666666666664</v>
      </c>
      <c r="N173" s="87">
        <f t="shared" si="69"/>
        <v>8.6333333333333331E-2</v>
      </c>
      <c r="O173" s="8">
        <f t="shared" si="72"/>
        <v>3.7650685924714828</v>
      </c>
      <c r="P173" s="6">
        <f t="shared" si="73"/>
        <v>-34.166666666666664</v>
      </c>
      <c r="Q173" s="8">
        <f t="shared" si="74"/>
        <v>-5.2002994666763698</v>
      </c>
      <c r="R173" s="58">
        <f t="shared" si="75"/>
        <v>-28.221192272434738</v>
      </c>
    </row>
    <row r="174" spans="7:21" x14ac:dyDescent="0.25">
      <c r="G174" s="6" t="str">
        <f>$A$13</f>
        <v>Negative</v>
      </c>
      <c r="H174" t="str">
        <f>$B$13</f>
        <v>Male</v>
      </c>
      <c r="I174" t="str">
        <f>$C$13</f>
        <v>Therapy 2</v>
      </c>
      <c r="J174" s="6">
        <f>$D$13</f>
        <v>12</v>
      </c>
      <c r="K174" s="87">
        <f t="shared" si="70"/>
        <v>2.4E-2</v>
      </c>
      <c r="L174" s="8">
        <f t="shared" si="71"/>
        <v>2.4849066497880004</v>
      </c>
      <c r="M174" s="6">
        <f>M173</f>
        <v>43.166666666666664</v>
      </c>
      <c r="N174" s="87">
        <f t="shared" si="69"/>
        <v>8.6333333333333331E-2</v>
      </c>
      <c r="O174" s="8">
        <f t="shared" si="72"/>
        <v>3.7650685924714828</v>
      </c>
      <c r="P174" s="6">
        <f t="shared" si="73"/>
        <v>-31.166666666666664</v>
      </c>
      <c r="Q174" s="8">
        <f t="shared" si="74"/>
        <v>-4.7436878061877135</v>
      </c>
      <c r="R174" s="58">
        <f t="shared" si="75"/>
        <v>-30.72388662440358</v>
      </c>
    </row>
    <row r="175" spans="7:21" x14ac:dyDescent="0.25">
      <c r="G175" s="6" t="str">
        <f>$A$14</f>
        <v>Negative</v>
      </c>
      <c r="H175" t="str">
        <f>$B$14</f>
        <v>Male</v>
      </c>
      <c r="I175" t="str">
        <f>$C$14</f>
        <v>Therapy 3</v>
      </c>
      <c r="J175" s="6">
        <f>$D$14</f>
        <v>17</v>
      </c>
      <c r="K175" s="87">
        <f t="shared" si="70"/>
        <v>3.4000000000000002E-2</v>
      </c>
      <c r="L175" s="8">
        <f t="shared" si="71"/>
        <v>2.8332133440562162</v>
      </c>
      <c r="M175" s="6">
        <f>M174</f>
        <v>43.166666666666664</v>
      </c>
      <c r="N175" s="87">
        <f t="shared" si="69"/>
        <v>8.6333333333333331E-2</v>
      </c>
      <c r="O175" s="8">
        <f t="shared" si="72"/>
        <v>3.7650685924714828</v>
      </c>
      <c r="P175" s="6">
        <f t="shared" si="73"/>
        <v>-26.166666666666664</v>
      </c>
      <c r="Q175" s="8">
        <f t="shared" si="74"/>
        <v>-3.9826683720399516</v>
      </c>
      <c r="R175" s="58">
        <f t="shared" si="75"/>
        <v>-31.683078446119069</v>
      </c>
    </row>
    <row r="176" spans="7:21" x14ac:dyDescent="0.25">
      <c r="G176" s="6" t="str">
        <f>$A$15</f>
        <v>Negative</v>
      </c>
      <c r="H176" t="str">
        <f>$B$15</f>
        <v>Female</v>
      </c>
      <c r="I176" t="str">
        <f>$C$15</f>
        <v>Therapy 1</v>
      </c>
      <c r="J176" s="6">
        <f>$D$15</f>
        <v>16</v>
      </c>
      <c r="K176" s="87">
        <f t="shared" si="70"/>
        <v>3.2000000000000001E-2</v>
      </c>
      <c r="L176" s="8">
        <f t="shared" si="71"/>
        <v>2.7725887222397811</v>
      </c>
      <c r="M176" s="6">
        <f>M170</f>
        <v>40.166666666666664</v>
      </c>
      <c r="N176" s="87">
        <f t="shared" si="69"/>
        <v>8.0333333333333326E-2</v>
      </c>
      <c r="O176" s="8">
        <f t="shared" si="72"/>
        <v>3.6930374642625998</v>
      </c>
      <c r="P176" s="6">
        <f t="shared" si="73"/>
        <v>-24.166666666666664</v>
      </c>
      <c r="Q176" s="8">
        <f t="shared" si="74"/>
        <v>-3.8131497020270726</v>
      </c>
      <c r="R176" s="58">
        <f t="shared" si="75"/>
        <v>-29.454359744730198</v>
      </c>
    </row>
    <row r="177" spans="7:21" x14ac:dyDescent="0.25">
      <c r="G177" s="6" t="str">
        <f>$A$16</f>
        <v>Negative</v>
      </c>
      <c r="H177" t="str">
        <f>$B$16</f>
        <v>Female</v>
      </c>
      <c r="I177" t="str">
        <f>$C$16</f>
        <v>Therapy 2</v>
      </c>
      <c r="J177" s="6">
        <f>$D$16</f>
        <v>33</v>
      </c>
      <c r="K177" s="87">
        <f t="shared" si="70"/>
        <v>6.6000000000000003E-2</v>
      </c>
      <c r="L177" s="8">
        <f t="shared" si="71"/>
        <v>3.4965075614664802</v>
      </c>
      <c r="M177" s="6">
        <f>M176</f>
        <v>40.166666666666664</v>
      </c>
      <c r="N177" s="87">
        <f t="shared" si="69"/>
        <v>8.0333333333333326E-2</v>
      </c>
      <c r="O177" s="8">
        <f t="shared" si="72"/>
        <v>3.6930374642625998</v>
      </c>
      <c r="P177" s="6">
        <f t="shared" si="73"/>
        <v>-7.1666666666666643</v>
      </c>
      <c r="Q177" s="8">
        <f t="shared" si="74"/>
        <v>-1.1307961185321662</v>
      </c>
      <c r="R177" s="58">
        <f t="shared" si="75"/>
        <v>-12.970973584543893</v>
      </c>
    </row>
    <row r="178" spans="7:21" x14ac:dyDescent="0.25">
      <c r="G178" s="9" t="str">
        <f>$A$17</f>
        <v>Negative</v>
      </c>
      <c r="H178" s="10" t="str">
        <f>$B$17</f>
        <v>Female</v>
      </c>
      <c r="I178" s="10" t="str">
        <f>$C$17</f>
        <v>Therapy 3</v>
      </c>
      <c r="J178" s="9">
        <f>$D$17</f>
        <v>56</v>
      </c>
      <c r="K178" s="88">
        <f t="shared" si="70"/>
        <v>0.112</v>
      </c>
      <c r="L178" s="11">
        <f t="shared" si="71"/>
        <v>4.0253516907351496</v>
      </c>
      <c r="M178" s="9">
        <f>M177</f>
        <v>40.166666666666664</v>
      </c>
      <c r="N178" s="88">
        <f t="shared" si="69"/>
        <v>8.0333333333333326E-2</v>
      </c>
      <c r="O178" s="11">
        <f t="shared" si="72"/>
        <v>3.6930374642625998</v>
      </c>
      <c r="P178" s="112">
        <f t="shared" si="73"/>
        <v>15.833333333333336</v>
      </c>
      <c r="Q178" s="11">
        <f t="shared" si="74"/>
        <v>2.498270494431531</v>
      </c>
      <c r="R178" s="54">
        <f t="shared" si="75"/>
        <v>37.21919336492558</v>
      </c>
    </row>
    <row r="179" spans="7:21" x14ac:dyDescent="0.25">
      <c r="R179">
        <f>SUM(R167:R178)</f>
        <v>232.91857705587103</v>
      </c>
    </row>
    <row r="181" spans="7:21" x14ac:dyDescent="0.25">
      <c r="G181" s="1" t="s">
        <v>273</v>
      </c>
    </row>
    <row r="183" spans="7:21" x14ac:dyDescent="0.25">
      <c r="J183" s="777" t="s">
        <v>132</v>
      </c>
      <c r="K183" s="778"/>
      <c r="L183" s="779"/>
      <c r="M183" s="777" t="s">
        <v>222</v>
      </c>
      <c r="N183" s="778"/>
      <c r="O183" s="779"/>
      <c r="P183" s="774" t="s">
        <v>133</v>
      </c>
      <c r="Q183" s="780"/>
    </row>
    <row r="184" spans="7:21" x14ac:dyDescent="0.25">
      <c r="G184" s="95" t="str">
        <f>$A$5</f>
        <v>Cure</v>
      </c>
      <c r="H184" s="82" t="str">
        <f>$B$5</f>
        <v>Gender</v>
      </c>
      <c r="I184" s="82" t="str">
        <f>$C$5</f>
        <v>Therapy</v>
      </c>
      <c r="J184" s="84" t="s">
        <v>220</v>
      </c>
      <c r="K184" s="85" t="s">
        <v>219</v>
      </c>
      <c r="L184" s="86" t="s">
        <v>137</v>
      </c>
      <c r="M184" s="84" t="s">
        <v>221</v>
      </c>
      <c r="N184" s="85" t="s">
        <v>219</v>
      </c>
      <c r="O184" s="86" t="s">
        <v>212</v>
      </c>
      <c r="P184" s="133" t="s">
        <v>118</v>
      </c>
      <c r="Q184" s="135" t="s">
        <v>231</v>
      </c>
      <c r="R184" s="90" t="s">
        <v>73</v>
      </c>
      <c r="T184" s="47" t="s">
        <v>73</v>
      </c>
      <c r="U184" s="94">
        <f>R197</f>
        <v>159.74532611576285</v>
      </c>
    </row>
    <row r="185" spans="7:21" x14ac:dyDescent="0.25">
      <c r="G185" s="6" t="str">
        <f>$A$6</f>
        <v>Positive</v>
      </c>
      <c r="H185" t="str">
        <f>$B$6</f>
        <v>Male</v>
      </c>
      <c r="I185" t="str">
        <f>$C$6</f>
        <v>Therapy 1</v>
      </c>
      <c r="J185" s="6">
        <f>$D$6</f>
        <v>59</v>
      </c>
      <c r="K185" s="87">
        <f>J185/$D$18</f>
        <v>0.11799999999999999</v>
      </c>
      <c r="L185" s="8">
        <f>LN(J185)</f>
        <v>4.0775374439057197</v>
      </c>
      <c r="M185" s="6">
        <f>D82/(A27*B27)</f>
        <v>29</v>
      </c>
      <c r="N185" s="87">
        <f t="shared" ref="N185:N196" si="76">M185/D$44</f>
        <v>5.8000000000000003E-2</v>
      </c>
      <c r="O185" s="8">
        <f>LN(M185)</f>
        <v>3.3672958299864741</v>
      </c>
      <c r="P185" s="132">
        <f>J185-M185</f>
        <v>30</v>
      </c>
      <c r="Q185" s="131">
        <f>P185/SQRT(M185)</f>
        <v>5.5708601453115563</v>
      </c>
      <c r="R185" s="58">
        <f>2*J185*(L185-O185)</f>
        <v>83.808510442470975</v>
      </c>
      <c r="T185" t="s">
        <v>41</v>
      </c>
      <c r="U185" s="58">
        <f>A27*B27*C27-C27</f>
        <v>9</v>
      </c>
    </row>
    <row r="186" spans="7:21" x14ac:dyDescent="0.25">
      <c r="G186" s="6" t="str">
        <f>$A$7</f>
        <v>Positive</v>
      </c>
      <c r="H186" t="str">
        <f>$B$7</f>
        <v>Male</v>
      </c>
      <c r="I186" t="str">
        <f>$C$7</f>
        <v>Therapy 2</v>
      </c>
      <c r="J186" s="6">
        <f>$D$7</f>
        <v>55</v>
      </c>
      <c r="K186" s="87">
        <f t="shared" ref="K186:K196" si="77">J186/$D$18</f>
        <v>0.11</v>
      </c>
      <c r="L186" s="8">
        <f t="shared" ref="L186:L196" si="78">LN(J186)</f>
        <v>4.0073331852324712</v>
      </c>
      <c r="M186" s="6">
        <f>D83/(A27*B27)</f>
        <v>31</v>
      </c>
      <c r="N186" s="87">
        <f t="shared" si="76"/>
        <v>6.2E-2</v>
      </c>
      <c r="O186" s="8">
        <f t="shared" ref="O186:O196" si="79">LN(M186)</f>
        <v>3.4339872044851463</v>
      </c>
      <c r="P186" s="6">
        <f t="shared" ref="P186:P196" si="80">J186-M186</f>
        <v>24</v>
      </c>
      <c r="Q186" s="8">
        <f t="shared" ref="Q186:Q196" si="81">P186/SQRT(M186)</f>
        <v>4.3105272486425976</v>
      </c>
      <c r="R186" s="58">
        <f t="shared" ref="R186:R196" si="82">2*J186*(L186-O186)</f>
        <v>63.068057882205736</v>
      </c>
      <c r="T186" s="24" t="s">
        <v>32</v>
      </c>
      <c r="U186" s="58">
        <v>0.05</v>
      </c>
    </row>
    <row r="187" spans="7:21" x14ac:dyDescent="0.25">
      <c r="G187" s="6" t="str">
        <f>$A$8</f>
        <v>Positive</v>
      </c>
      <c r="H187" t="str">
        <f>$B$8</f>
        <v>Male</v>
      </c>
      <c r="I187" t="str">
        <f>$C$8</f>
        <v>Therapy 3</v>
      </c>
      <c r="J187" s="6">
        <f>$D$8</f>
        <v>107</v>
      </c>
      <c r="K187" s="87">
        <f t="shared" si="77"/>
        <v>0.214</v>
      </c>
      <c r="L187" s="8">
        <f t="shared" si="78"/>
        <v>4.6728288344619058</v>
      </c>
      <c r="M187" s="6">
        <f>D84/(A27*B27)</f>
        <v>65</v>
      </c>
      <c r="N187" s="87">
        <f t="shared" si="76"/>
        <v>0.13</v>
      </c>
      <c r="O187" s="8">
        <f t="shared" si="79"/>
        <v>4.1743872698956368</v>
      </c>
      <c r="P187" s="6">
        <f t="shared" si="80"/>
        <v>42</v>
      </c>
      <c r="Q187" s="8">
        <f t="shared" si="81"/>
        <v>5.2094588527467556</v>
      </c>
      <c r="R187" s="58">
        <f t="shared" si="82"/>
        <v>106.66649481718156</v>
      </c>
      <c r="T187" s="75" t="s">
        <v>48</v>
      </c>
      <c r="U187" s="58">
        <f>CHIDIST(U184,U185)</f>
        <v>8.3887848704672969E-30</v>
      </c>
    </row>
    <row r="188" spans="7:21" x14ac:dyDescent="0.25">
      <c r="G188" s="6" t="str">
        <f>$A$9</f>
        <v>Positive</v>
      </c>
      <c r="H188" t="str">
        <f>$B$9</f>
        <v>Female</v>
      </c>
      <c r="I188" t="str">
        <f>$C$9</f>
        <v>Therapy 1</v>
      </c>
      <c r="J188" s="6">
        <f>$D$9</f>
        <v>32</v>
      </c>
      <c r="K188" s="87">
        <f t="shared" si="77"/>
        <v>6.4000000000000001E-2</v>
      </c>
      <c r="L188" s="8">
        <f t="shared" si="78"/>
        <v>3.4657359027997265</v>
      </c>
      <c r="M188" s="6">
        <f>M185</f>
        <v>29</v>
      </c>
      <c r="N188" s="87">
        <f t="shared" si="76"/>
        <v>5.8000000000000003E-2</v>
      </c>
      <c r="O188" s="8">
        <f t="shared" si="79"/>
        <v>3.3672958299864741</v>
      </c>
      <c r="P188" s="6">
        <f t="shared" si="80"/>
        <v>3</v>
      </c>
      <c r="Q188" s="8">
        <f t="shared" si="81"/>
        <v>0.55708601453115558</v>
      </c>
      <c r="R188" s="58">
        <f t="shared" si="82"/>
        <v>6.3001646600481536</v>
      </c>
      <c r="T188" s="47" t="s">
        <v>74</v>
      </c>
      <c r="U188" s="58">
        <f>CHIINV(U186,U185)</f>
        <v>16.918977604620451</v>
      </c>
    </row>
    <row r="189" spans="7:21" x14ac:dyDescent="0.25">
      <c r="G189" s="6" t="str">
        <f>$A$10</f>
        <v>Positive</v>
      </c>
      <c r="H189" t="str">
        <f>$B$10</f>
        <v>Female</v>
      </c>
      <c r="I189" t="str">
        <f>$C$10</f>
        <v>Therapy 2</v>
      </c>
      <c r="J189" s="6">
        <f>$D$10</f>
        <v>24</v>
      </c>
      <c r="K189" s="87">
        <f t="shared" si="77"/>
        <v>4.8000000000000001E-2</v>
      </c>
      <c r="L189" s="8">
        <f t="shared" si="78"/>
        <v>3.1780538303479458</v>
      </c>
      <c r="M189" s="6">
        <f>M186</f>
        <v>31</v>
      </c>
      <c r="N189" s="87">
        <f t="shared" si="76"/>
        <v>6.2E-2</v>
      </c>
      <c r="O189" s="8">
        <f t="shared" si="79"/>
        <v>3.4339872044851463</v>
      </c>
      <c r="P189" s="6">
        <f t="shared" si="80"/>
        <v>-7</v>
      </c>
      <c r="Q189" s="8">
        <f t="shared" si="81"/>
        <v>-1.2572371141874243</v>
      </c>
      <c r="R189" s="58">
        <f t="shared" si="82"/>
        <v>-12.284801958585625</v>
      </c>
      <c r="T189" s="75" t="s">
        <v>164</v>
      </c>
      <c r="U189" s="53" t="str">
        <f>IF(U187&lt;U186,"yes","no")</f>
        <v>yes</v>
      </c>
    </row>
    <row r="190" spans="7:21" x14ac:dyDescent="0.25">
      <c r="G190" s="6" t="str">
        <f>$A$11</f>
        <v>Positive</v>
      </c>
      <c r="H190" t="str">
        <f>$B$11</f>
        <v>Female</v>
      </c>
      <c r="I190" t="str">
        <f>$C$11</f>
        <v>Therapy 3</v>
      </c>
      <c r="J190" s="6">
        <f>$D$11</f>
        <v>80</v>
      </c>
      <c r="K190" s="87">
        <f t="shared" si="77"/>
        <v>0.16</v>
      </c>
      <c r="L190" s="8">
        <f t="shared" si="78"/>
        <v>4.3820266346738812</v>
      </c>
      <c r="M190" s="6">
        <f>M187</f>
        <v>65</v>
      </c>
      <c r="N190" s="87">
        <f t="shared" si="76"/>
        <v>0.13</v>
      </c>
      <c r="O190" s="8">
        <f t="shared" si="79"/>
        <v>4.1743872698956368</v>
      </c>
      <c r="P190" s="6">
        <f t="shared" si="80"/>
        <v>15</v>
      </c>
      <c r="Q190" s="8">
        <f t="shared" si="81"/>
        <v>1.8605210188381269</v>
      </c>
      <c r="R190" s="58">
        <f t="shared" si="82"/>
        <v>33.222298364519105</v>
      </c>
    </row>
    <row r="191" spans="7:21" x14ac:dyDescent="0.25">
      <c r="G191" s="6" t="str">
        <f>$A$12</f>
        <v>Negative</v>
      </c>
      <c r="H191" t="str">
        <f>$B$12</f>
        <v>Male</v>
      </c>
      <c r="I191" t="str">
        <f>$C$12</f>
        <v>Therapy 1</v>
      </c>
      <c r="J191" s="6">
        <f>$D$12</f>
        <v>9</v>
      </c>
      <c r="K191" s="87">
        <f t="shared" si="77"/>
        <v>1.7999999999999999E-2</v>
      </c>
      <c r="L191" s="8">
        <f t="shared" si="78"/>
        <v>2.1972245773362196</v>
      </c>
      <c r="M191" s="6">
        <f>M185</f>
        <v>29</v>
      </c>
      <c r="N191" s="87">
        <f t="shared" si="76"/>
        <v>5.8000000000000003E-2</v>
      </c>
      <c r="O191" s="8">
        <f t="shared" si="79"/>
        <v>3.3672958299864741</v>
      </c>
      <c r="P191" s="6">
        <f t="shared" si="80"/>
        <v>-20</v>
      </c>
      <c r="Q191" s="8">
        <f t="shared" si="81"/>
        <v>-3.7139067635410377</v>
      </c>
      <c r="R191" s="58">
        <f t="shared" si="82"/>
        <v>-21.061282547704582</v>
      </c>
    </row>
    <row r="192" spans="7:21" x14ac:dyDescent="0.25">
      <c r="G192" s="6" t="str">
        <f>$A$13</f>
        <v>Negative</v>
      </c>
      <c r="H192" t="str">
        <f>$B$13</f>
        <v>Male</v>
      </c>
      <c r="I192" t="str">
        <f>$C$13</f>
        <v>Therapy 2</v>
      </c>
      <c r="J192" s="6">
        <f>$D$13</f>
        <v>12</v>
      </c>
      <c r="K192" s="87">
        <f t="shared" si="77"/>
        <v>2.4E-2</v>
      </c>
      <c r="L192" s="8">
        <f t="shared" si="78"/>
        <v>2.4849066497880004</v>
      </c>
      <c r="M192" s="6">
        <f>M186</f>
        <v>31</v>
      </c>
      <c r="N192" s="87">
        <f t="shared" si="76"/>
        <v>6.2E-2</v>
      </c>
      <c r="O192" s="8">
        <f t="shared" si="79"/>
        <v>3.4339872044851463</v>
      </c>
      <c r="P192" s="6">
        <f t="shared" si="80"/>
        <v>-19</v>
      </c>
      <c r="Q192" s="8">
        <f t="shared" si="81"/>
        <v>-3.4125007385087232</v>
      </c>
      <c r="R192" s="58">
        <f t="shared" si="82"/>
        <v>-22.777933312731502</v>
      </c>
    </row>
    <row r="193" spans="7:21" x14ac:dyDescent="0.25">
      <c r="G193" s="6" t="str">
        <f>$A$14</f>
        <v>Negative</v>
      </c>
      <c r="H193" t="str">
        <f>$B$14</f>
        <v>Male</v>
      </c>
      <c r="I193" t="str">
        <f>$C$14</f>
        <v>Therapy 3</v>
      </c>
      <c r="J193" s="6">
        <f>$D$14</f>
        <v>17</v>
      </c>
      <c r="K193" s="87">
        <f t="shared" si="77"/>
        <v>3.4000000000000002E-2</v>
      </c>
      <c r="L193" s="8">
        <f t="shared" si="78"/>
        <v>2.8332133440562162</v>
      </c>
      <c r="M193" s="6">
        <f>M187</f>
        <v>65</v>
      </c>
      <c r="N193" s="87">
        <f t="shared" si="76"/>
        <v>0.13</v>
      </c>
      <c r="O193" s="8">
        <f t="shared" si="79"/>
        <v>4.1743872698956368</v>
      </c>
      <c r="P193" s="6">
        <f t="shared" si="80"/>
        <v>-48</v>
      </c>
      <c r="Q193" s="8">
        <f t="shared" si="81"/>
        <v>-5.953667260282006</v>
      </c>
      <c r="R193" s="58">
        <f t="shared" si="82"/>
        <v>-45.599913478540302</v>
      </c>
    </row>
    <row r="194" spans="7:21" x14ac:dyDescent="0.25">
      <c r="G194" s="6" t="str">
        <f>$A$15</f>
        <v>Negative</v>
      </c>
      <c r="H194" t="str">
        <f>$B$15</f>
        <v>Female</v>
      </c>
      <c r="I194" t="str">
        <f>$C$15</f>
        <v>Therapy 1</v>
      </c>
      <c r="J194" s="6">
        <f>$D$15</f>
        <v>16</v>
      </c>
      <c r="K194" s="87">
        <f t="shared" si="77"/>
        <v>3.2000000000000001E-2</v>
      </c>
      <c r="L194" s="8">
        <f t="shared" si="78"/>
        <v>2.7725887222397811</v>
      </c>
      <c r="M194" s="6">
        <f>M185</f>
        <v>29</v>
      </c>
      <c r="N194" s="87">
        <f t="shared" si="76"/>
        <v>5.8000000000000003E-2</v>
      </c>
      <c r="O194" s="8">
        <f t="shared" si="79"/>
        <v>3.3672958299864741</v>
      </c>
      <c r="P194" s="6">
        <f t="shared" si="80"/>
        <v>-13</v>
      </c>
      <c r="Q194" s="8">
        <f t="shared" si="81"/>
        <v>-2.4140393963016744</v>
      </c>
      <c r="R194" s="58">
        <f t="shared" si="82"/>
        <v>-19.030627447894176</v>
      </c>
    </row>
    <row r="195" spans="7:21" x14ac:dyDescent="0.25">
      <c r="G195" s="6" t="str">
        <f>$A$16</f>
        <v>Negative</v>
      </c>
      <c r="H195" t="str">
        <f>$B$16</f>
        <v>Female</v>
      </c>
      <c r="I195" t="str">
        <f>$C$16</f>
        <v>Therapy 2</v>
      </c>
      <c r="J195" s="6">
        <f>$D$16</f>
        <v>33</v>
      </c>
      <c r="K195" s="87">
        <f t="shared" si="77"/>
        <v>6.6000000000000003E-2</v>
      </c>
      <c r="L195" s="8">
        <f t="shared" si="78"/>
        <v>3.4965075614664802</v>
      </c>
      <c r="M195" s="6">
        <f>M186</f>
        <v>31</v>
      </c>
      <c r="N195" s="87">
        <f t="shared" si="76"/>
        <v>6.2E-2</v>
      </c>
      <c r="O195" s="8">
        <f t="shared" si="79"/>
        <v>3.4339872044851463</v>
      </c>
      <c r="P195" s="6">
        <f t="shared" si="80"/>
        <v>2</v>
      </c>
      <c r="Q195" s="8">
        <f t="shared" si="81"/>
        <v>0.35921060405354982</v>
      </c>
      <c r="R195" s="58">
        <f t="shared" si="82"/>
        <v>4.1263435607680412</v>
      </c>
    </row>
    <row r="196" spans="7:21" x14ac:dyDescent="0.25">
      <c r="G196" s="9" t="str">
        <f>$A$17</f>
        <v>Negative</v>
      </c>
      <c r="H196" s="10" t="str">
        <f>$B$17</f>
        <v>Female</v>
      </c>
      <c r="I196" s="10" t="str">
        <f>$C$17</f>
        <v>Therapy 3</v>
      </c>
      <c r="J196" s="9">
        <f>$D$17</f>
        <v>56</v>
      </c>
      <c r="K196" s="88">
        <f t="shared" si="77"/>
        <v>0.112</v>
      </c>
      <c r="L196" s="11">
        <f t="shared" si="78"/>
        <v>4.0253516907351496</v>
      </c>
      <c r="M196" s="9">
        <f>M187</f>
        <v>65</v>
      </c>
      <c r="N196" s="88">
        <f t="shared" si="76"/>
        <v>0.13</v>
      </c>
      <c r="O196" s="11">
        <f t="shared" si="79"/>
        <v>4.1743872698956368</v>
      </c>
      <c r="P196" s="112">
        <f t="shared" si="80"/>
        <v>-9</v>
      </c>
      <c r="Q196" s="11">
        <f t="shared" si="81"/>
        <v>-1.1163126113028761</v>
      </c>
      <c r="R196" s="54">
        <f t="shared" si="82"/>
        <v>-16.691984865974561</v>
      </c>
    </row>
    <row r="197" spans="7:21" x14ac:dyDescent="0.25">
      <c r="R197">
        <f>SUM(R185:R196)</f>
        <v>159.74532611576285</v>
      </c>
    </row>
    <row r="199" spans="7:21" x14ac:dyDescent="0.25">
      <c r="G199" s="1" t="s">
        <v>274</v>
      </c>
    </row>
    <row r="201" spans="7:21" x14ac:dyDescent="0.25">
      <c r="J201" s="777" t="s">
        <v>132</v>
      </c>
      <c r="K201" s="778"/>
      <c r="L201" s="779"/>
      <c r="M201" s="777" t="s">
        <v>222</v>
      </c>
      <c r="N201" s="778"/>
      <c r="O201" s="779"/>
      <c r="P201" s="774" t="s">
        <v>133</v>
      </c>
      <c r="Q201" s="780"/>
    </row>
    <row r="202" spans="7:21" x14ac:dyDescent="0.25">
      <c r="G202" s="95" t="str">
        <f>$A$5</f>
        <v>Cure</v>
      </c>
      <c r="H202" s="82" t="str">
        <f>$B$5</f>
        <v>Gender</v>
      </c>
      <c r="I202" s="82" t="str">
        <f>$C$5</f>
        <v>Therapy</v>
      </c>
      <c r="J202" s="84" t="s">
        <v>220</v>
      </c>
      <c r="K202" s="85" t="s">
        <v>219</v>
      </c>
      <c r="L202" s="86" t="s">
        <v>137</v>
      </c>
      <c r="M202" s="84" t="s">
        <v>221</v>
      </c>
      <c r="N202" s="85" t="s">
        <v>219</v>
      </c>
      <c r="O202" s="86" t="s">
        <v>212</v>
      </c>
      <c r="P202" s="133" t="s">
        <v>118</v>
      </c>
      <c r="Q202" s="135" t="s">
        <v>231</v>
      </c>
      <c r="R202" s="90" t="s">
        <v>73</v>
      </c>
      <c r="T202" s="47" t="s">
        <v>73</v>
      </c>
      <c r="U202" s="94">
        <f>R215</f>
        <v>85.862189735443735</v>
      </c>
    </row>
    <row r="203" spans="7:21" x14ac:dyDescent="0.25">
      <c r="G203" s="6" t="str">
        <f>$A$6</f>
        <v>Positive</v>
      </c>
      <c r="H203" t="str">
        <f>$B$6</f>
        <v>Male</v>
      </c>
      <c r="I203" t="str">
        <f>$C$6</f>
        <v>Therapy 1</v>
      </c>
      <c r="J203" s="6">
        <f>$D$6</f>
        <v>59</v>
      </c>
      <c r="K203" s="87">
        <f>J203/$D$18</f>
        <v>0.11799999999999999</v>
      </c>
      <c r="L203" s="8">
        <f>LN(J203)</f>
        <v>4.0775374439057197</v>
      </c>
      <c r="M203" s="6">
        <f>D47/$C$27</f>
        <v>73.666666666666671</v>
      </c>
      <c r="N203" s="87">
        <f t="shared" ref="N203:N214" si="83">M203/D$44</f>
        <v>0.14733333333333334</v>
      </c>
      <c r="O203" s="8">
        <f>LN(M203)</f>
        <v>4.2995504128496433</v>
      </c>
      <c r="P203" s="132">
        <f>J203-M203</f>
        <v>-14.666666666666671</v>
      </c>
      <c r="Q203" s="131">
        <f>P203/SQRT(M203)</f>
        <v>-1.7088184022373585</v>
      </c>
      <c r="R203" s="58">
        <f>2*J203*(L203-O203)</f>
        <v>-26.197530335382989</v>
      </c>
      <c r="T203" t="s">
        <v>41</v>
      </c>
      <c r="U203" s="58">
        <f>(C27-1)*A27*B27</f>
        <v>8</v>
      </c>
    </row>
    <row r="204" spans="7:21" x14ac:dyDescent="0.25">
      <c r="G204" s="6" t="str">
        <f>$A$7</f>
        <v>Positive</v>
      </c>
      <c r="H204" t="str">
        <f>$B$7</f>
        <v>Male</v>
      </c>
      <c r="I204" t="str">
        <f>$C$7</f>
        <v>Therapy 2</v>
      </c>
      <c r="J204" s="6">
        <f>$D$7</f>
        <v>55</v>
      </c>
      <c r="K204" s="87">
        <f t="shared" ref="K204:K214" si="84">J204/$D$18</f>
        <v>0.11</v>
      </c>
      <c r="L204" s="8">
        <f t="shared" ref="L204:L214" si="85">LN(J204)</f>
        <v>4.0073331852324712</v>
      </c>
      <c r="M204" s="6">
        <f>M203</f>
        <v>73.666666666666671</v>
      </c>
      <c r="N204" s="87">
        <f t="shared" si="83"/>
        <v>0.14733333333333334</v>
      </c>
      <c r="O204" s="8">
        <f t="shared" ref="O204:O214" si="86">LN(M204)</f>
        <v>4.2995504128496433</v>
      </c>
      <c r="P204" s="6">
        <f t="shared" ref="P204:P214" si="87">J204-M204</f>
        <v>-18.666666666666671</v>
      </c>
      <c r="Q204" s="8">
        <f t="shared" ref="Q204:Q214" si="88">P204/SQRT(M204)</f>
        <v>-2.1748597846657289</v>
      </c>
      <c r="R204" s="58">
        <f t="shared" ref="R204:R214" si="89">2*J204*(L204-O204)</f>
        <v>-32.143895037888939</v>
      </c>
      <c r="T204" s="24" t="s">
        <v>32</v>
      </c>
      <c r="U204" s="58">
        <v>0.05</v>
      </c>
    </row>
    <row r="205" spans="7:21" x14ac:dyDescent="0.25">
      <c r="G205" s="6" t="str">
        <f>$A$8</f>
        <v>Positive</v>
      </c>
      <c r="H205" t="str">
        <f>$B$8</f>
        <v>Male</v>
      </c>
      <c r="I205" t="str">
        <f>$C$8</f>
        <v>Therapy 3</v>
      </c>
      <c r="J205" s="6">
        <f>$D$8</f>
        <v>107</v>
      </c>
      <c r="K205" s="87">
        <f t="shared" si="84"/>
        <v>0.214</v>
      </c>
      <c r="L205" s="8">
        <f t="shared" si="85"/>
        <v>4.6728288344619058</v>
      </c>
      <c r="M205" s="6">
        <f>M204</f>
        <v>73.666666666666671</v>
      </c>
      <c r="N205" s="87">
        <f t="shared" si="83"/>
        <v>0.14733333333333334</v>
      </c>
      <c r="O205" s="8">
        <f t="shared" si="86"/>
        <v>4.2995504128496433</v>
      </c>
      <c r="P205" s="6">
        <f t="shared" si="87"/>
        <v>33.333333333333329</v>
      </c>
      <c r="Q205" s="8">
        <f t="shared" si="88"/>
        <v>3.8836781869030861</v>
      </c>
      <c r="R205" s="58">
        <f t="shared" si="89"/>
        <v>79.881582225024161</v>
      </c>
      <c r="T205" s="75" t="s">
        <v>48</v>
      </c>
      <c r="U205" s="58">
        <f>CHIDIST(U202,U203)</f>
        <v>3.2070964562435109E-15</v>
      </c>
    </row>
    <row r="206" spans="7:21" x14ac:dyDescent="0.25">
      <c r="G206" s="6" t="str">
        <f>$A$9</f>
        <v>Positive</v>
      </c>
      <c r="H206" t="str">
        <f>$B$9</f>
        <v>Female</v>
      </c>
      <c r="I206" t="str">
        <f>$C$9</f>
        <v>Therapy 1</v>
      </c>
      <c r="J206" s="6">
        <f>$D$9</f>
        <v>32</v>
      </c>
      <c r="K206" s="87">
        <f t="shared" si="84"/>
        <v>6.4000000000000001E-2</v>
      </c>
      <c r="L206" s="8">
        <f t="shared" si="85"/>
        <v>3.4657359027997265</v>
      </c>
      <c r="M206" s="6">
        <f>D48/$C$27</f>
        <v>45.333333333333336</v>
      </c>
      <c r="N206" s="87">
        <f t="shared" si="83"/>
        <v>9.0666666666666673E-2</v>
      </c>
      <c r="O206" s="8">
        <f t="shared" si="86"/>
        <v>3.8140425970679424</v>
      </c>
      <c r="P206" s="6">
        <f t="shared" si="87"/>
        <v>-13.333333333333336</v>
      </c>
      <c r="Q206" s="8">
        <f t="shared" si="88"/>
        <v>-1.9802950859533488</v>
      </c>
      <c r="R206" s="58">
        <f t="shared" si="89"/>
        <v>-22.291628433165812</v>
      </c>
      <c r="T206" s="47" t="s">
        <v>74</v>
      </c>
      <c r="U206" s="58">
        <f>CHIINV(U204,U203)</f>
        <v>15.507313055865453</v>
      </c>
    </row>
    <row r="207" spans="7:21" x14ac:dyDescent="0.25">
      <c r="G207" s="6" t="str">
        <f>$A$10</f>
        <v>Positive</v>
      </c>
      <c r="H207" t="str">
        <f>$B$10</f>
        <v>Female</v>
      </c>
      <c r="I207" t="str">
        <f>$C$10</f>
        <v>Therapy 2</v>
      </c>
      <c r="J207" s="6">
        <f>$D$10</f>
        <v>24</v>
      </c>
      <c r="K207" s="87">
        <f t="shared" si="84"/>
        <v>4.8000000000000001E-2</v>
      </c>
      <c r="L207" s="8">
        <f t="shared" si="85"/>
        <v>3.1780538303479458</v>
      </c>
      <c r="M207" s="6">
        <f>M206</f>
        <v>45.333333333333336</v>
      </c>
      <c r="N207" s="87">
        <f t="shared" si="83"/>
        <v>9.0666666666666673E-2</v>
      </c>
      <c r="O207" s="8">
        <f t="shared" si="86"/>
        <v>3.8140425970679424</v>
      </c>
      <c r="P207" s="6">
        <f t="shared" si="87"/>
        <v>-21.333333333333336</v>
      </c>
      <c r="Q207" s="8">
        <f t="shared" si="88"/>
        <v>-3.1684721375253577</v>
      </c>
      <c r="R207" s="58">
        <f t="shared" si="89"/>
        <v>-30.527460802559837</v>
      </c>
      <c r="T207" s="75" t="s">
        <v>164</v>
      </c>
      <c r="U207" s="53" t="str">
        <f>IF(U205&lt;U204,"yes","no")</f>
        <v>yes</v>
      </c>
    </row>
    <row r="208" spans="7:21" x14ac:dyDescent="0.25">
      <c r="G208" s="6" t="str">
        <f>$A$11</f>
        <v>Positive</v>
      </c>
      <c r="H208" t="str">
        <f>$B$11</f>
        <v>Female</v>
      </c>
      <c r="I208" t="str">
        <f>$C$11</f>
        <v>Therapy 3</v>
      </c>
      <c r="J208" s="6">
        <f>$D$11</f>
        <v>80</v>
      </c>
      <c r="K208" s="87">
        <f t="shared" si="84"/>
        <v>0.16</v>
      </c>
      <c r="L208" s="8">
        <f t="shared" si="85"/>
        <v>4.3820266346738812</v>
      </c>
      <c r="M208" s="6">
        <f>M207</f>
        <v>45.333333333333336</v>
      </c>
      <c r="N208" s="87">
        <f t="shared" si="83"/>
        <v>9.0666666666666673E-2</v>
      </c>
      <c r="O208" s="8">
        <f t="shared" si="86"/>
        <v>3.8140425970679424</v>
      </c>
      <c r="P208" s="6">
        <f t="shared" si="87"/>
        <v>34.666666666666664</v>
      </c>
      <c r="Q208" s="8">
        <f t="shared" si="88"/>
        <v>5.1487672234787061</v>
      </c>
      <c r="R208" s="58">
        <f t="shared" si="89"/>
        <v>90.877446016950216</v>
      </c>
    </row>
    <row r="209" spans="7:21" x14ac:dyDescent="0.25">
      <c r="G209" s="6" t="str">
        <f>$A$12</f>
        <v>Negative</v>
      </c>
      <c r="H209" t="str">
        <f>$B$12</f>
        <v>Male</v>
      </c>
      <c r="I209" t="str">
        <f>$C$12</f>
        <v>Therapy 1</v>
      </c>
      <c r="J209" s="6">
        <f>$D$12</f>
        <v>9</v>
      </c>
      <c r="K209" s="87">
        <f t="shared" si="84"/>
        <v>1.7999999999999999E-2</v>
      </c>
      <c r="L209" s="8">
        <f t="shared" si="85"/>
        <v>2.1972245773362196</v>
      </c>
      <c r="M209" s="6">
        <f>D49/$C$27</f>
        <v>12.666666666666666</v>
      </c>
      <c r="N209" s="87">
        <f t="shared" si="83"/>
        <v>2.5333333333333333E-2</v>
      </c>
      <c r="O209" s="8">
        <f t="shared" si="86"/>
        <v>2.5389738710582761</v>
      </c>
      <c r="P209" s="6">
        <f t="shared" si="87"/>
        <v>-3.6666666666666661</v>
      </c>
      <c r="Q209" s="8">
        <f t="shared" si="88"/>
        <v>-1.0302443927398632</v>
      </c>
      <c r="R209" s="58">
        <f t="shared" si="89"/>
        <v>-6.1514872869970176</v>
      </c>
    </row>
    <row r="210" spans="7:21" x14ac:dyDescent="0.25">
      <c r="G210" s="6" t="str">
        <f>$A$13</f>
        <v>Negative</v>
      </c>
      <c r="H210" t="str">
        <f>$B$13</f>
        <v>Male</v>
      </c>
      <c r="I210" t="str">
        <f>$C$13</f>
        <v>Therapy 2</v>
      </c>
      <c r="J210" s="6">
        <f>$D$13</f>
        <v>12</v>
      </c>
      <c r="K210" s="87">
        <f t="shared" si="84"/>
        <v>2.4E-2</v>
      </c>
      <c r="L210" s="8">
        <f t="shared" si="85"/>
        <v>2.4849066497880004</v>
      </c>
      <c r="M210" s="6">
        <f>M209</f>
        <v>12.666666666666666</v>
      </c>
      <c r="N210" s="87">
        <f t="shared" si="83"/>
        <v>2.5333333333333333E-2</v>
      </c>
      <c r="O210" s="8">
        <f t="shared" si="86"/>
        <v>2.5389738710582761</v>
      </c>
      <c r="P210" s="6">
        <f t="shared" si="87"/>
        <v>-0.66666666666666607</v>
      </c>
      <c r="Q210" s="8">
        <f t="shared" si="88"/>
        <v>-0.18731716231633863</v>
      </c>
      <c r="R210" s="58">
        <f t="shared" si="89"/>
        <v>-1.2976133104866179</v>
      </c>
    </row>
    <row r="211" spans="7:21" x14ac:dyDescent="0.25">
      <c r="G211" s="6" t="str">
        <f>$A$14</f>
        <v>Negative</v>
      </c>
      <c r="H211" t="str">
        <f>$B$14</f>
        <v>Male</v>
      </c>
      <c r="I211" t="str">
        <f>$C$14</f>
        <v>Therapy 3</v>
      </c>
      <c r="J211" s="6">
        <f>$D$14</f>
        <v>17</v>
      </c>
      <c r="K211" s="87">
        <f t="shared" si="84"/>
        <v>3.4000000000000002E-2</v>
      </c>
      <c r="L211" s="8">
        <f t="shared" si="85"/>
        <v>2.8332133440562162</v>
      </c>
      <c r="M211" s="6">
        <f>M210</f>
        <v>12.666666666666666</v>
      </c>
      <c r="N211" s="87">
        <f t="shared" si="83"/>
        <v>2.5333333333333333E-2</v>
      </c>
      <c r="O211" s="8">
        <f t="shared" si="86"/>
        <v>2.5389738710582761</v>
      </c>
      <c r="P211" s="6">
        <f t="shared" si="87"/>
        <v>4.3333333333333339</v>
      </c>
      <c r="Q211" s="8">
        <f t="shared" si="88"/>
        <v>1.2175615550562022</v>
      </c>
      <c r="R211" s="58">
        <f t="shared" si="89"/>
        <v>10.004142081929963</v>
      </c>
    </row>
    <row r="212" spans="7:21" x14ac:dyDescent="0.25">
      <c r="G212" s="6" t="str">
        <f>$A$15</f>
        <v>Negative</v>
      </c>
      <c r="H212" t="str">
        <f>$B$15</f>
        <v>Female</v>
      </c>
      <c r="I212" t="str">
        <f>$C$15</f>
        <v>Therapy 1</v>
      </c>
      <c r="J212" s="6">
        <f>$D$15</f>
        <v>16</v>
      </c>
      <c r="K212" s="87">
        <f t="shared" si="84"/>
        <v>3.2000000000000001E-2</v>
      </c>
      <c r="L212" s="8">
        <f t="shared" si="85"/>
        <v>2.7725887222397811</v>
      </c>
      <c r="M212" s="6">
        <f>D50/$C$27</f>
        <v>35</v>
      </c>
      <c r="N212" s="87">
        <f t="shared" si="83"/>
        <v>7.0000000000000007E-2</v>
      </c>
      <c r="O212" s="8">
        <f t="shared" si="86"/>
        <v>3.5553480614894135</v>
      </c>
      <c r="P212" s="6">
        <f t="shared" si="87"/>
        <v>-19</v>
      </c>
      <c r="Q212" s="8">
        <f t="shared" si="88"/>
        <v>-3.2115861679683628</v>
      </c>
      <c r="R212" s="58">
        <f t="shared" si="89"/>
        <v>-25.048298855988236</v>
      </c>
    </row>
    <row r="213" spans="7:21" x14ac:dyDescent="0.25">
      <c r="G213" s="6" t="str">
        <f>$A$16</f>
        <v>Negative</v>
      </c>
      <c r="H213" t="str">
        <f>$B$16</f>
        <v>Female</v>
      </c>
      <c r="I213" t="str">
        <f>$C$16</f>
        <v>Therapy 2</v>
      </c>
      <c r="J213" s="6">
        <f>$D$16</f>
        <v>33</v>
      </c>
      <c r="K213" s="87">
        <f t="shared" si="84"/>
        <v>6.6000000000000003E-2</v>
      </c>
      <c r="L213" s="8">
        <f t="shared" si="85"/>
        <v>3.4965075614664802</v>
      </c>
      <c r="M213" s="6">
        <f>M212</f>
        <v>35</v>
      </c>
      <c r="N213" s="87">
        <f t="shared" si="83"/>
        <v>7.0000000000000007E-2</v>
      </c>
      <c r="O213" s="8">
        <f t="shared" si="86"/>
        <v>3.5553480614894135</v>
      </c>
      <c r="P213" s="6">
        <f t="shared" si="87"/>
        <v>-2</v>
      </c>
      <c r="Q213" s="8">
        <f t="shared" si="88"/>
        <v>-0.33806170189140661</v>
      </c>
      <c r="R213" s="58">
        <f t="shared" si="89"/>
        <v>-3.8834730015135968</v>
      </c>
    </row>
    <row r="214" spans="7:21" x14ac:dyDescent="0.25">
      <c r="G214" s="9" t="str">
        <f>$A$17</f>
        <v>Negative</v>
      </c>
      <c r="H214" s="10" t="str">
        <f>$B$17</f>
        <v>Female</v>
      </c>
      <c r="I214" s="10" t="str">
        <f>$C$17</f>
        <v>Therapy 3</v>
      </c>
      <c r="J214" s="9">
        <f>$D$17</f>
        <v>56</v>
      </c>
      <c r="K214" s="88">
        <f t="shared" si="84"/>
        <v>0.112</v>
      </c>
      <c r="L214" s="11">
        <f t="shared" si="85"/>
        <v>4.0253516907351496</v>
      </c>
      <c r="M214" s="9">
        <f>M213</f>
        <v>35</v>
      </c>
      <c r="N214" s="88">
        <f t="shared" si="83"/>
        <v>7.0000000000000007E-2</v>
      </c>
      <c r="O214" s="11">
        <f t="shared" si="86"/>
        <v>3.5553480614894135</v>
      </c>
      <c r="P214" s="112">
        <f t="shared" si="87"/>
        <v>21</v>
      </c>
      <c r="Q214" s="11">
        <f t="shared" si="88"/>
        <v>3.5496478698597698</v>
      </c>
      <c r="R214" s="54">
        <f t="shared" si="89"/>
        <v>52.640406475522447</v>
      </c>
    </row>
    <row r="215" spans="7:21" x14ac:dyDescent="0.25">
      <c r="R215">
        <f>SUM(R203:R214)</f>
        <v>85.862189735443735</v>
      </c>
    </row>
    <row r="217" spans="7:21" x14ac:dyDescent="0.25">
      <c r="G217" s="1" t="s">
        <v>275</v>
      </c>
    </row>
    <row r="219" spans="7:21" x14ac:dyDescent="0.25">
      <c r="J219" s="777" t="s">
        <v>132</v>
      </c>
      <c r="K219" s="778"/>
      <c r="L219" s="779"/>
      <c r="M219" s="777" t="s">
        <v>222</v>
      </c>
      <c r="N219" s="778"/>
      <c r="O219" s="779"/>
      <c r="P219" s="774" t="s">
        <v>133</v>
      </c>
      <c r="Q219" s="780"/>
    </row>
    <row r="220" spans="7:21" x14ac:dyDescent="0.25">
      <c r="G220" s="95" t="str">
        <f>$A$5</f>
        <v>Cure</v>
      </c>
      <c r="H220" s="82" t="str">
        <f>$B$5</f>
        <v>Gender</v>
      </c>
      <c r="I220" s="82" t="str">
        <f>$C$5</f>
        <v>Therapy</v>
      </c>
      <c r="J220" s="84" t="s">
        <v>220</v>
      </c>
      <c r="K220" s="85" t="s">
        <v>219</v>
      </c>
      <c r="L220" s="86" t="s">
        <v>137</v>
      </c>
      <c r="M220" s="84" t="s">
        <v>221</v>
      </c>
      <c r="N220" s="85" t="s">
        <v>219</v>
      </c>
      <c r="O220" s="86" t="s">
        <v>212</v>
      </c>
      <c r="P220" s="133" t="s">
        <v>118</v>
      </c>
      <c r="Q220" s="135" t="s">
        <v>231</v>
      </c>
      <c r="R220" s="90" t="s">
        <v>73</v>
      </c>
      <c r="T220" s="47" t="s">
        <v>73</v>
      </c>
      <c r="U220" s="94">
        <f>R233</f>
        <v>154.9183886177259</v>
      </c>
    </row>
    <row r="221" spans="7:21" x14ac:dyDescent="0.25">
      <c r="G221" s="6" t="str">
        <f>$A$6</f>
        <v>Positive</v>
      </c>
      <c r="H221" t="str">
        <f>$B$6</f>
        <v>Male</v>
      </c>
      <c r="I221" t="str">
        <f>$C$6</f>
        <v>Therapy 1</v>
      </c>
      <c r="J221" s="6">
        <f>$D$6</f>
        <v>59</v>
      </c>
      <c r="K221" s="87">
        <f>J221/$D$18</f>
        <v>0.11799999999999999</v>
      </c>
      <c r="L221" s="8">
        <f>LN(J221)</f>
        <v>4.0775374439057197</v>
      </c>
      <c r="M221" s="6">
        <f t="shared" ref="M221:M226" si="90">D63/$A$27</f>
        <v>34</v>
      </c>
      <c r="N221" s="87">
        <f t="shared" ref="N221:N232" si="91">M221/D$44</f>
        <v>6.8000000000000005E-2</v>
      </c>
      <c r="O221" s="8">
        <f>LN(M221)</f>
        <v>3.5263605246161616</v>
      </c>
      <c r="P221" s="132">
        <f>J221-M221</f>
        <v>25</v>
      </c>
      <c r="Q221" s="131">
        <f>P221/SQRT(M221)</f>
        <v>4.2874646285627209</v>
      </c>
      <c r="R221" s="58">
        <f>2*J221*(L221-O221)</f>
        <v>65.038876476167857</v>
      </c>
      <c r="T221" t="s">
        <v>41</v>
      </c>
      <c r="U221" s="58">
        <f>(B27-1)*A27*C27</f>
        <v>6</v>
      </c>
    </row>
    <row r="222" spans="7:21" x14ac:dyDescent="0.25">
      <c r="G222" s="6" t="str">
        <f>$A$7</f>
        <v>Positive</v>
      </c>
      <c r="H222" t="str">
        <f>$B$7</f>
        <v>Male</v>
      </c>
      <c r="I222" t="str">
        <f>$C$7</f>
        <v>Therapy 2</v>
      </c>
      <c r="J222" s="6">
        <f>$D$7</f>
        <v>55</v>
      </c>
      <c r="K222" s="87">
        <f t="shared" ref="K222:K232" si="92">J222/$D$18</f>
        <v>0.11</v>
      </c>
      <c r="L222" s="8">
        <f t="shared" ref="L222:L232" si="93">LN(J222)</f>
        <v>4.0073331852324712</v>
      </c>
      <c r="M222" s="6">
        <f t="shared" si="90"/>
        <v>33.5</v>
      </c>
      <c r="N222" s="87">
        <f t="shared" si="91"/>
        <v>6.7000000000000004E-2</v>
      </c>
      <c r="O222" s="8">
        <f t="shared" ref="O222:O232" si="94">LN(M222)</f>
        <v>3.5115454388310208</v>
      </c>
      <c r="P222" s="6">
        <f t="shared" ref="P222:P232" si="95">J222-M222</f>
        <v>21.5</v>
      </c>
      <c r="Q222" s="8">
        <f t="shared" ref="Q222:Q232" si="96">P222/SQRT(M222)</f>
        <v>3.7146342299998483</v>
      </c>
      <c r="R222" s="58">
        <f t="shared" ref="R222:R232" si="97">2*J222*(L222-O222)</f>
        <v>54.536652104159543</v>
      </c>
      <c r="T222" s="24" t="s">
        <v>32</v>
      </c>
      <c r="U222" s="58">
        <v>0.05</v>
      </c>
    </row>
    <row r="223" spans="7:21" x14ac:dyDescent="0.25">
      <c r="G223" s="6" t="str">
        <f>$A$8</f>
        <v>Positive</v>
      </c>
      <c r="H223" t="str">
        <f>$B$8</f>
        <v>Male</v>
      </c>
      <c r="I223" t="str">
        <f>$C$8</f>
        <v>Therapy 3</v>
      </c>
      <c r="J223" s="6">
        <f>$D$8</f>
        <v>107</v>
      </c>
      <c r="K223" s="87">
        <f t="shared" si="92"/>
        <v>0.214</v>
      </c>
      <c r="L223" s="8">
        <f t="shared" si="93"/>
        <v>4.6728288344619058</v>
      </c>
      <c r="M223" s="6">
        <f t="shared" si="90"/>
        <v>62</v>
      </c>
      <c r="N223" s="87">
        <f t="shared" si="91"/>
        <v>0.124</v>
      </c>
      <c r="O223" s="8">
        <f t="shared" si="94"/>
        <v>4.1271343850450917</v>
      </c>
      <c r="P223" s="6">
        <f t="shared" si="95"/>
        <v>45</v>
      </c>
      <c r="Q223" s="8">
        <f t="shared" si="96"/>
        <v>5.715005715008572</v>
      </c>
      <c r="R223" s="58">
        <f t="shared" si="97"/>
        <v>116.77861217519822</v>
      </c>
      <c r="T223" s="75" t="s">
        <v>48</v>
      </c>
      <c r="U223" s="58">
        <f>CHIDIST(U220,U221)</f>
        <v>7.0506243364130613E-31</v>
      </c>
    </row>
    <row r="224" spans="7:21" x14ac:dyDescent="0.25">
      <c r="G224" s="6" t="str">
        <f>$A$9</f>
        <v>Positive</v>
      </c>
      <c r="H224" t="str">
        <f>$B$9</f>
        <v>Female</v>
      </c>
      <c r="I224" t="str">
        <f>$C$9</f>
        <v>Therapy 1</v>
      </c>
      <c r="J224" s="6">
        <f>$D$9</f>
        <v>32</v>
      </c>
      <c r="K224" s="87">
        <f t="shared" si="92"/>
        <v>6.4000000000000001E-2</v>
      </c>
      <c r="L224" s="8">
        <f t="shared" si="93"/>
        <v>3.4657359027997265</v>
      </c>
      <c r="M224" s="6">
        <f t="shared" si="90"/>
        <v>24</v>
      </c>
      <c r="N224" s="87">
        <f t="shared" si="91"/>
        <v>4.8000000000000001E-2</v>
      </c>
      <c r="O224" s="8">
        <f t="shared" si="94"/>
        <v>3.1780538303479458</v>
      </c>
      <c r="P224" s="6">
        <f t="shared" si="95"/>
        <v>8</v>
      </c>
      <c r="Q224" s="8">
        <f t="shared" si="96"/>
        <v>1.6329931618554523</v>
      </c>
      <c r="R224" s="58">
        <f t="shared" si="97"/>
        <v>18.411652636913971</v>
      </c>
      <c r="T224" s="47" t="s">
        <v>74</v>
      </c>
      <c r="U224" s="58">
        <f>CHIINV(U222,U221)</f>
        <v>12.591587243743978</v>
      </c>
    </row>
    <row r="225" spans="7:21" x14ac:dyDescent="0.25">
      <c r="G225" s="6" t="str">
        <f>$A$10</f>
        <v>Positive</v>
      </c>
      <c r="H225" t="str">
        <f>$B$10</f>
        <v>Female</v>
      </c>
      <c r="I225" t="str">
        <f>$C$10</f>
        <v>Therapy 2</v>
      </c>
      <c r="J225" s="6">
        <f>$D$10</f>
        <v>24</v>
      </c>
      <c r="K225" s="87">
        <f t="shared" si="92"/>
        <v>4.8000000000000001E-2</v>
      </c>
      <c r="L225" s="8">
        <f t="shared" si="93"/>
        <v>3.1780538303479458</v>
      </c>
      <c r="M225" s="6">
        <f t="shared" si="90"/>
        <v>28.5</v>
      </c>
      <c r="N225" s="87">
        <f t="shared" si="91"/>
        <v>5.7000000000000002E-2</v>
      </c>
      <c r="O225" s="8">
        <f t="shared" si="94"/>
        <v>3.3499040872746049</v>
      </c>
      <c r="P225" s="6">
        <f t="shared" si="95"/>
        <v>-4.5</v>
      </c>
      <c r="Q225" s="8">
        <f t="shared" si="96"/>
        <v>-0.84292723042352458</v>
      </c>
      <c r="R225" s="58">
        <f t="shared" si="97"/>
        <v>-8.2488123324796376</v>
      </c>
      <c r="T225" s="75" t="s">
        <v>164</v>
      </c>
      <c r="U225" s="53" t="str">
        <f>IF(U223&lt;U222,"yes","no")</f>
        <v>yes</v>
      </c>
    </row>
    <row r="226" spans="7:21" x14ac:dyDescent="0.25">
      <c r="G226" s="6" t="str">
        <f>$A$11</f>
        <v>Positive</v>
      </c>
      <c r="H226" t="str">
        <f>$B$11</f>
        <v>Female</v>
      </c>
      <c r="I226" t="str">
        <f>$C$11</f>
        <v>Therapy 3</v>
      </c>
      <c r="J226" s="6">
        <f>$D$11</f>
        <v>80</v>
      </c>
      <c r="K226" s="87">
        <f t="shared" si="92"/>
        <v>0.16</v>
      </c>
      <c r="L226" s="8">
        <f t="shared" si="93"/>
        <v>4.3820266346738812</v>
      </c>
      <c r="M226" s="6">
        <f t="shared" si="90"/>
        <v>68</v>
      </c>
      <c r="N226" s="87">
        <f t="shared" si="91"/>
        <v>0.13600000000000001</v>
      </c>
      <c r="O226" s="8">
        <f t="shared" si="94"/>
        <v>4.219507705176107</v>
      </c>
      <c r="P226" s="6">
        <f t="shared" si="95"/>
        <v>12</v>
      </c>
      <c r="Q226" s="8">
        <f t="shared" si="96"/>
        <v>1.4552137502179978</v>
      </c>
      <c r="R226" s="58">
        <f t="shared" si="97"/>
        <v>26.003028719643879</v>
      </c>
    </row>
    <row r="227" spans="7:21" x14ac:dyDescent="0.25">
      <c r="G227" s="6" t="str">
        <f>$A$12</f>
        <v>Negative</v>
      </c>
      <c r="H227" t="str">
        <f>$B$12</f>
        <v>Male</v>
      </c>
      <c r="I227" t="str">
        <f>$C$12</f>
        <v>Therapy 1</v>
      </c>
      <c r="J227" s="6">
        <f>$D$12</f>
        <v>9</v>
      </c>
      <c r="K227" s="87">
        <f t="shared" si="92"/>
        <v>1.7999999999999999E-2</v>
      </c>
      <c r="L227" s="8">
        <f t="shared" si="93"/>
        <v>2.1972245773362196</v>
      </c>
      <c r="M227" s="6">
        <f t="shared" ref="M227:M232" si="98">M221</f>
        <v>34</v>
      </c>
      <c r="N227" s="87">
        <f t="shared" si="91"/>
        <v>6.8000000000000005E-2</v>
      </c>
      <c r="O227" s="8">
        <f t="shared" si="94"/>
        <v>3.5263605246161616</v>
      </c>
      <c r="P227" s="6">
        <f t="shared" si="95"/>
        <v>-25</v>
      </c>
      <c r="Q227" s="8">
        <f t="shared" si="96"/>
        <v>-4.2874646285627209</v>
      </c>
      <c r="R227" s="58">
        <f t="shared" si="97"/>
        <v>-23.924447051038957</v>
      </c>
    </row>
    <row r="228" spans="7:21" x14ac:dyDescent="0.25">
      <c r="G228" s="6" t="str">
        <f>$A$13</f>
        <v>Negative</v>
      </c>
      <c r="H228" t="str">
        <f>$B$13</f>
        <v>Male</v>
      </c>
      <c r="I228" t="str">
        <f>$C$13</f>
        <v>Therapy 2</v>
      </c>
      <c r="J228" s="6">
        <f>$D$13</f>
        <v>12</v>
      </c>
      <c r="K228" s="87">
        <f t="shared" si="92"/>
        <v>2.4E-2</v>
      </c>
      <c r="L228" s="8">
        <f t="shared" si="93"/>
        <v>2.4849066497880004</v>
      </c>
      <c r="M228" s="6">
        <f t="shared" si="98"/>
        <v>33.5</v>
      </c>
      <c r="N228" s="87">
        <f t="shared" si="91"/>
        <v>6.7000000000000004E-2</v>
      </c>
      <c r="O228" s="8">
        <f t="shared" si="94"/>
        <v>3.5115454388310208</v>
      </c>
      <c r="P228" s="6">
        <f t="shared" si="95"/>
        <v>-21.5</v>
      </c>
      <c r="Q228" s="8">
        <f t="shared" si="96"/>
        <v>-3.7146342299998483</v>
      </c>
      <c r="R228" s="58">
        <f t="shared" si="97"/>
        <v>-24.63933093703249</v>
      </c>
    </row>
    <row r="229" spans="7:21" x14ac:dyDescent="0.25">
      <c r="G229" s="6" t="str">
        <f>$A$14</f>
        <v>Negative</v>
      </c>
      <c r="H229" t="str">
        <f>$B$14</f>
        <v>Male</v>
      </c>
      <c r="I229" t="str">
        <f>$C$14</f>
        <v>Therapy 3</v>
      </c>
      <c r="J229" s="6">
        <f>$D$14</f>
        <v>17</v>
      </c>
      <c r="K229" s="87">
        <f t="shared" si="92"/>
        <v>3.4000000000000002E-2</v>
      </c>
      <c r="L229" s="8">
        <f t="shared" si="93"/>
        <v>2.8332133440562162</v>
      </c>
      <c r="M229" s="6">
        <f t="shared" si="98"/>
        <v>62</v>
      </c>
      <c r="N229" s="87">
        <f t="shared" si="91"/>
        <v>0.124</v>
      </c>
      <c r="O229" s="8">
        <f t="shared" si="94"/>
        <v>4.1271343850450917</v>
      </c>
      <c r="P229" s="6">
        <f t="shared" si="95"/>
        <v>-45</v>
      </c>
      <c r="Q229" s="8">
        <f t="shared" si="96"/>
        <v>-5.715005715008572</v>
      </c>
      <c r="R229" s="58">
        <f t="shared" si="97"/>
        <v>-43.993315393621771</v>
      </c>
    </row>
    <row r="230" spans="7:21" x14ac:dyDescent="0.25">
      <c r="G230" s="6" t="str">
        <f>$A$15</f>
        <v>Negative</v>
      </c>
      <c r="H230" t="str">
        <f>$B$15</f>
        <v>Female</v>
      </c>
      <c r="I230" t="str">
        <f>$C$15</f>
        <v>Therapy 1</v>
      </c>
      <c r="J230" s="6">
        <f>$D$15</f>
        <v>16</v>
      </c>
      <c r="K230" s="87">
        <f t="shared" si="92"/>
        <v>3.2000000000000001E-2</v>
      </c>
      <c r="L230" s="8">
        <f t="shared" si="93"/>
        <v>2.7725887222397811</v>
      </c>
      <c r="M230" s="6">
        <f t="shared" si="98"/>
        <v>24</v>
      </c>
      <c r="N230" s="87">
        <f t="shared" si="91"/>
        <v>4.8000000000000001E-2</v>
      </c>
      <c r="O230" s="8">
        <f t="shared" si="94"/>
        <v>3.1780538303479458</v>
      </c>
      <c r="P230" s="6">
        <f t="shared" si="95"/>
        <v>-8</v>
      </c>
      <c r="Q230" s="8">
        <f t="shared" si="96"/>
        <v>-1.6329931618554523</v>
      </c>
      <c r="R230" s="58">
        <f t="shared" si="97"/>
        <v>-12.974883459461267</v>
      </c>
    </row>
    <row r="231" spans="7:21" x14ac:dyDescent="0.25">
      <c r="G231" s="6" t="str">
        <f>$A$16</f>
        <v>Negative</v>
      </c>
      <c r="H231" t="str">
        <f>$B$16</f>
        <v>Female</v>
      </c>
      <c r="I231" t="str">
        <f>$C$16</f>
        <v>Therapy 2</v>
      </c>
      <c r="J231" s="6">
        <f>$D$16</f>
        <v>33</v>
      </c>
      <c r="K231" s="87">
        <f t="shared" si="92"/>
        <v>6.6000000000000003E-2</v>
      </c>
      <c r="L231" s="8">
        <f t="shared" si="93"/>
        <v>3.4965075614664802</v>
      </c>
      <c r="M231" s="6">
        <f t="shared" si="98"/>
        <v>28.5</v>
      </c>
      <c r="N231" s="87">
        <f t="shared" si="91"/>
        <v>5.7000000000000002E-2</v>
      </c>
      <c r="O231" s="8">
        <f t="shared" si="94"/>
        <v>3.3499040872746049</v>
      </c>
      <c r="P231" s="6">
        <f t="shared" si="95"/>
        <v>4.5</v>
      </c>
      <c r="Q231" s="8">
        <f t="shared" si="96"/>
        <v>0.84292723042352458</v>
      </c>
      <c r="R231" s="58">
        <f t="shared" si="97"/>
        <v>9.6758292966637747</v>
      </c>
    </row>
    <row r="232" spans="7:21" x14ac:dyDescent="0.25">
      <c r="G232" s="9" t="str">
        <f>$A$17</f>
        <v>Negative</v>
      </c>
      <c r="H232" s="10" t="str">
        <f>$B$17</f>
        <v>Female</v>
      </c>
      <c r="I232" s="10" t="str">
        <f>$C$17</f>
        <v>Therapy 3</v>
      </c>
      <c r="J232" s="9">
        <f>$D$17</f>
        <v>56</v>
      </c>
      <c r="K232" s="88">
        <f t="shared" si="92"/>
        <v>0.112</v>
      </c>
      <c r="L232" s="11">
        <f t="shared" si="93"/>
        <v>4.0253516907351496</v>
      </c>
      <c r="M232" s="9">
        <f t="shared" si="98"/>
        <v>68</v>
      </c>
      <c r="N232" s="88">
        <f t="shared" si="91"/>
        <v>0.13600000000000001</v>
      </c>
      <c r="O232" s="11">
        <f t="shared" si="94"/>
        <v>4.219507705176107</v>
      </c>
      <c r="P232" s="112">
        <f t="shared" si="95"/>
        <v>-12</v>
      </c>
      <c r="Q232" s="11">
        <f t="shared" si="96"/>
        <v>-1.4552137502179978</v>
      </c>
      <c r="R232" s="54">
        <f t="shared" si="97"/>
        <v>-21.745473617387219</v>
      </c>
    </row>
    <row r="233" spans="7:21" x14ac:dyDescent="0.25">
      <c r="R233">
        <f>SUM(R221:R232)</f>
        <v>154.9183886177259</v>
      </c>
    </row>
    <row r="235" spans="7:21" x14ac:dyDescent="0.25">
      <c r="G235" s="1" t="s">
        <v>276</v>
      </c>
    </row>
    <row r="237" spans="7:21" x14ac:dyDescent="0.25">
      <c r="J237" s="777" t="s">
        <v>132</v>
      </c>
      <c r="K237" s="778"/>
      <c r="L237" s="779"/>
      <c r="M237" s="777" t="s">
        <v>222</v>
      </c>
      <c r="N237" s="778"/>
      <c r="O237" s="779"/>
      <c r="P237" s="774" t="s">
        <v>133</v>
      </c>
      <c r="Q237" s="780"/>
    </row>
    <row r="238" spans="7:21" x14ac:dyDescent="0.25">
      <c r="G238" s="95" t="str">
        <f>$A$5</f>
        <v>Cure</v>
      </c>
      <c r="H238" s="82" t="str">
        <f>$B$5</f>
        <v>Gender</v>
      </c>
      <c r="I238" s="82" t="str">
        <f>$C$5</f>
        <v>Therapy</v>
      </c>
      <c r="J238" s="84" t="s">
        <v>220</v>
      </c>
      <c r="K238" s="85" t="s">
        <v>219</v>
      </c>
      <c r="L238" s="86" t="s">
        <v>137</v>
      </c>
      <c r="M238" s="84" t="s">
        <v>221</v>
      </c>
      <c r="N238" s="85" t="s">
        <v>219</v>
      </c>
      <c r="O238" s="86" t="s">
        <v>212</v>
      </c>
      <c r="P238" s="133" t="s">
        <v>118</v>
      </c>
      <c r="Q238" s="135" t="s">
        <v>231</v>
      </c>
      <c r="R238" s="90" t="s">
        <v>73</v>
      </c>
      <c r="T238" s="47" t="s">
        <v>73</v>
      </c>
      <c r="U238" s="94">
        <f>R251</f>
        <v>58.681038980742066</v>
      </c>
    </row>
    <row r="239" spans="7:21" x14ac:dyDescent="0.25">
      <c r="G239" s="6" t="str">
        <f>$A$6</f>
        <v>Positive</v>
      </c>
      <c r="H239" t="str">
        <f>$B$6</f>
        <v>Male</v>
      </c>
      <c r="I239" t="str">
        <f>$C$6</f>
        <v>Therapy 1</v>
      </c>
      <c r="J239" s="6">
        <f>$D$6</f>
        <v>59</v>
      </c>
      <c r="K239" s="87">
        <f>J239/$D$18</f>
        <v>0.11799999999999999</v>
      </c>
      <c r="L239" s="8">
        <f>LN(J239)</f>
        <v>4.0775374439057197</v>
      </c>
      <c r="M239" s="6">
        <f>D54/$B$27</f>
        <v>45.5</v>
      </c>
      <c r="N239" s="87">
        <f t="shared" ref="N239:N250" si="99">M239/D$44</f>
        <v>9.0999999999999998E-2</v>
      </c>
      <c r="O239" s="8">
        <f>LN(M239)</f>
        <v>3.8177123259569048</v>
      </c>
      <c r="P239" s="132">
        <f>J239-M239</f>
        <v>13.5</v>
      </c>
      <c r="Q239" s="131">
        <f>P239/SQRT(M239)</f>
        <v>2.0013731549849734</v>
      </c>
      <c r="R239" s="58">
        <f>2*J239*(L239-O239)</f>
        <v>30.65936391796016</v>
      </c>
      <c r="T239" t="s">
        <v>41</v>
      </c>
      <c r="U239" s="58">
        <f>(A27-1)*B27*C27</f>
        <v>6</v>
      </c>
    </row>
    <row r="240" spans="7:21" x14ac:dyDescent="0.25">
      <c r="G240" s="6" t="str">
        <f>$A$7</f>
        <v>Positive</v>
      </c>
      <c r="H240" t="str">
        <f>$B$7</f>
        <v>Male</v>
      </c>
      <c r="I240" t="str">
        <f>$C$7</f>
        <v>Therapy 2</v>
      </c>
      <c r="J240" s="6">
        <f>$D$7</f>
        <v>55</v>
      </c>
      <c r="K240" s="87">
        <f t="shared" ref="K240:K250" si="100">J240/$D$18</f>
        <v>0.11</v>
      </c>
      <c r="L240" s="8">
        <f t="shared" ref="L240:L250" si="101">LN(J240)</f>
        <v>4.0073331852324712</v>
      </c>
      <c r="M240" s="6">
        <f>D55/$B$27</f>
        <v>39.5</v>
      </c>
      <c r="N240" s="87">
        <f t="shared" si="99"/>
        <v>7.9000000000000001E-2</v>
      </c>
      <c r="O240" s="8">
        <f t="shared" ref="O240:O250" si="102">LN(M240)</f>
        <v>3.6763006719070761</v>
      </c>
      <c r="P240" s="6">
        <f t="shared" ref="P240:P250" si="103">J240-M240</f>
        <v>15.5</v>
      </c>
      <c r="Q240" s="8">
        <f t="shared" ref="Q240:Q250" si="104">P240/SQRT(M240)</f>
        <v>2.4662275809447629</v>
      </c>
      <c r="R240" s="58">
        <f t="shared" ref="R240:R250" si="105">2*J240*(L240-O240)</f>
        <v>36.413576465793454</v>
      </c>
      <c r="T240" s="24" t="s">
        <v>32</v>
      </c>
      <c r="U240" s="58">
        <v>0.05</v>
      </c>
    </row>
    <row r="241" spans="7:21" x14ac:dyDescent="0.25">
      <c r="G241" s="6" t="str">
        <f>$A$8</f>
        <v>Positive</v>
      </c>
      <c r="H241" t="str">
        <f>$B$8</f>
        <v>Male</v>
      </c>
      <c r="I241" t="str">
        <f>$C$8</f>
        <v>Therapy 3</v>
      </c>
      <c r="J241" s="6">
        <f>$D$8</f>
        <v>107</v>
      </c>
      <c r="K241" s="87">
        <f t="shared" si="100"/>
        <v>0.214</v>
      </c>
      <c r="L241" s="8">
        <f t="shared" si="101"/>
        <v>4.6728288344619058</v>
      </c>
      <c r="M241" s="6">
        <f>D56/$B$27</f>
        <v>93.5</v>
      </c>
      <c r="N241" s="87">
        <f t="shared" si="99"/>
        <v>0.187</v>
      </c>
      <c r="O241" s="8">
        <f t="shared" si="102"/>
        <v>4.5379614362946414</v>
      </c>
      <c r="P241" s="6">
        <f t="shared" si="103"/>
        <v>13.5</v>
      </c>
      <c r="Q241" s="8">
        <f t="shared" si="104"/>
        <v>1.3961367629865518</v>
      </c>
      <c r="R241" s="58">
        <f t="shared" si="105"/>
        <v>28.861623207794569</v>
      </c>
      <c r="T241" s="75" t="s">
        <v>48</v>
      </c>
      <c r="U241" s="58">
        <f>CHIDIST(U238,U239)</f>
        <v>8.3379990458365484E-11</v>
      </c>
    </row>
    <row r="242" spans="7:21" x14ac:dyDescent="0.25">
      <c r="G242" s="6" t="str">
        <f>$A$9</f>
        <v>Positive</v>
      </c>
      <c r="H242" t="str">
        <f>$B$9</f>
        <v>Female</v>
      </c>
      <c r="I242" t="str">
        <f>$C$9</f>
        <v>Therapy 1</v>
      </c>
      <c r="J242" s="6">
        <f>$D$9</f>
        <v>32</v>
      </c>
      <c r="K242" s="87">
        <f t="shared" si="100"/>
        <v>6.4000000000000001E-2</v>
      </c>
      <c r="L242" s="8">
        <f t="shared" si="101"/>
        <v>3.4657359027997265</v>
      </c>
      <c r="M242" s="6">
        <f>M239</f>
        <v>45.5</v>
      </c>
      <c r="N242" s="87">
        <f t="shared" si="99"/>
        <v>9.0999999999999998E-2</v>
      </c>
      <c r="O242" s="8">
        <f t="shared" si="102"/>
        <v>3.8177123259569048</v>
      </c>
      <c r="P242" s="6">
        <f t="shared" si="103"/>
        <v>-13.5</v>
      </c>
      <c r="Q242" s="8">
        <f t="shared" si="104"/>
        <v>-2.0013731549849734</v>
      </c>
      <c r="R242" s="58">
        <f t="shared" si="105"/>
        <v>-22.526491082059408</v>
      </c>
      <c r="T242" s="47" t="s">
        <v>74</v>
      </c>
      <c r="U242" s="58">
        <f>CHIINV(U240,U239)</f>
        <v>12.591587243743978</v>
      </c>
    </row>
    <row r="243" spans="7:21" x14ac:dyDescent="0.25">
      <c r="G243" s="6" t="str">
        <f>$A$10</f>
        <v>Positive</v>
      </c>
      <c r="H243" t="str">
        <f>$B$10</f>
        <v>Female</v>
      </c>
      <c r="I243" t="str">
        <f>$C$10</f>
        <v>Therapy 2</v>
      </c>
      <c r="J243" s="6">
        <f>$D$10</f>
        <v>24</v>
      </c>
      <c r="K243" s="87">
        <f t="shared" si="100"/>
        <v>4.8000000000000001E-2</v>
      </c>
      <c r="L243" s="8">
        <f t="shared" si="101"/>
        <v>3.1780538303479458</v>
      </c>
      <c r="M243" s="6">
        <f>M240</f>
        <v>39.5</v>
      </c>
      <c r="N243" s="87">
        <f t="shared" si="99"/>
        <v>7.9000000000000001E-2</v>
      </c>
      <c r="O243" s="8">
        <f t="shared" si="102"/>
        <v>3.6763006719070761</v>
      </c>
      <c r="P243" s="6">
        <f t="shared" si="103"/>
        <v>-15.5</v>
      </c>
      <c r="Q243" s="8">
        <f t="shared" si="104"/>
        <v>-2.4662275809447629</v>
      </c>
      <c r="R243" s="58">
        <f t="shared" si="105"/>
        <v>-23.915848394838257</v>
      </c>
      <c r="T243" s="75" t="s">
        <v>164</v>
      </c>
      <c r="U243" s="53" t="str">
        <f>IF(U241&lt;U240,"yes","no")</f>
        <v>yes</v>
      </c>
    </row>
    <row r="244" spans="7:21" x14ac:dyDescent="0.25">
      <c r="G244" s="6" t="str">
        <f>$A$11</f>
        <v>Positive</v>
      </c>
      <c r="H244" t="str">
        <f>$B$11</f>
        <v>Female</v>
      </c>
      <c r="I244" t="str">
        <f>$C$11</f>
        <v>Therapy 3</v>
      </c>
      <c r="J244" s="6">
        <f>$D$11</f>
        <v>80</v>
      </c>
      <c r="K244" s="87">
        <f t="shared" si="100"/>
        <v>0.16</v>
      </c>
      <c r="L244" s="8">
        <f t="shared" si="101"/>
        <v>4.3820266346738812</v>
      </c>
      <c r="M244" s="6">
        <f>M241</f>
        <v>93.5</v>
      </c>
      <c r="N244" s="87">
        <f t="shared" si="99"/>
        <v>0.187</v>
      </c>
      <c r="O244" s="8">
        <f t="shared" si="102"/>
        <v>4.5379614362946414</v>
      </c>
      <c r="P244" s="6">
        <f t="shared" si="103"/>
        <v>-13.5</v>
      </c>
      <c r="Q244" s="8">
        <f t="shared" si="104"/>
        <v>-1.3961367629865518</v>
      </c>
      <c r="R244" s="58">
        <f t="shared" si="105"/>
        <v>-24.949568259321637</v>
      </c>
    </row>
    <row r="245" spans="7:21" x14ac:dyDescent="0.25">
      <c r="G245" s="6" t="str">
        <f>$A$12</f>
        <v>Negative</v>
      </c>
      <c r="H245" t="str">
        <f>$B$12</f>
        <v>Male</v>
      </c>
      <c r="I245" t="str">
        <f>$C$12</f>
        <v>Therapy 1</v>
      </c>
      <c r="J245" s="6">
        <f>$D$12</f>
        <v>9</v>
      </c>
      <c r="K245" s="87">
        <f t="shared" si="100"/>
        <v>1.7999999999999999E-2</v>
      </c>
      <c r="L245" s="8">
        <f t="shared" si="101"/>
        <v>2.1972245773362196</v>
      </c>
      <c r="M245" s="6">
        <f>D57/$B$27</f>
        <v>12.5</v>
      </c>
      <c r="N245" s="87">
        <f t="shared" si="99"/>
        <v>2.5000000000000001E-2</v>
      </c>
      <c r="O245" s="8">
        <f t="shared" si="102"/>
        <v>2.5257286443082556</v>
      </c>
      <c r="P245" s="6">
        <f t="shared" si="103"/>
        <v>-3.5</v>
      </c>
      <c r="Q245" s="8">
        <f t="shared" si="104"/>
        <v>-0.98994949366116647</v>
      </c>
      <c r="R245" s="58">
        <f t="shared" si="105"/>
        <v>-5.9130732054966488</v>
      </c>
    </row>
    <row r="246" spans="7:21" x14ac:dyDescent="0.25">
      <c r="G246" s="6" t="str">
        <f>$A$13</f>
        <v>Negative</v>
      </c>
      <c r="H246" t="str">
        <f>$B$13</f>
        <v>Male</v>
      </c>
      <c r="I246" t="str">
        <f>$C$13</f>
        <v>Therapy 2</v>
      </c>
      <c r="J246" s="6">
        <f>$D$13</f>
        <v>12</v>
      </c>
      <c r="K246" s="87">
        <f t="shared" si="100"/>
        <v>2.4E-2</v>
      </c>
      <c r="L246" s="8">
        <f t="shared" si="101"/>
        <v>2.4849066497880004</v>
      </c>
      <c r="M246" s="6">
        <f>D58/$B$27</f>
        <v>22.5</v>
      </c>
      <c r="N246" s="87">
        <f t="shared" si="99"/>
        <v>4.4999999999999998E-2</v>
      </c>
      <c r="O246" s="8">
        <f t="shared" si="102"/>
        <v>3.1135153092103742</v>
      </c>
      <c r="P246" s="6">
        <f t="shared" si="103"/>
        <v>-10.5</v>
      </c>
      <c r="Q246" s="8">
        <f t="shared" si="104"/>
        <v>-2.2135943621178655</v>
      </c>
      <c r="R246" s="58">
        <f t="shared" si="105"/>
        <v>-15.086607826136973</v>
      </c>
    </row>
    <row r="247" spans="7:21" x14ac:dyDescent="0.25">
      <c r="G247" s="6" t="str">
        <f>$A$14</f>
        <v>Negative</v>
      </c>
      <c r="H247" t="str">
        <f>$B$14</f>
        <v>Male</v>
      </c>
      <c r="I247" t="str">
        <f>$C$14</f>
        <v>Therapy 3</v>
      </c>
      <c r="J247" s="6">
        <f>$D$14</f>
        <v>17</v>
      </c>
      <c r="K247" s="87">
        <f t="shared" si="100"/>
        <v>3.4000000000000002E-2</v>
      </c>
      <c r="L247" s="8">
        <f t="shared" si="101"/>
        <v>2.8332133440562162</v>
      </c>
      <c r="M247" s="6">
        <f>D59/$B$27</f>
        <v>36.5</v>
      </c>
      <c r="N247" s="87">
        <f t="shared" si="99"/>
        <v>7.2999999999999995E-2</v>
      </c>
      <c r="O247" s="8">
        <f t="shared" si="102"/>
        <v>3.597312260588446</v>
      </c>
      <c r="P247" s="6">
        <f t="shared" si="103"/>
        <v>-19.5</v>
      </c>
      <c r="Q247" s="8">
        <f t="shared" si="104"/>
        <v>-3.2276629655492348</v>
      </c>
      <c r="R247" s="58">
        <f t="shared" si="105"/>
        <v>-25.979363162095815</v>
      </c>
    </row>
    <row r="248" spans="7:21" x14ac:dyDescent="0.25">
      <c r="G248" s="6" t="str">
        <f>$A$15</f>
        <v>Negative</v>
      </c>
      <c r="H248" t="str">
        <f>$B$15</f>
        <v>Female</v>
      </c>
      <c r="I248" t="str">
        <f>$C$15</f>
        <v>Therapy 1</v>
      </c>
      <c r="J248" s="6">
        <f>$D$15</f>
        <v>16</v>
      </c>
      <c r="K248" s="87">
        <f t="shared" si="100"/>
        <v>3.2000000000000001E-2</v>
      </c>
      <c r="L248" s="8">
        <f t="shared" si="101"/>
        <v>2.7725887222397811</v>
      </c>
      <c r="M248" s="6">
        <f>M245</f>
        <v>12.5</v>
      </c>
      <c r="N248" s="87">
        <f t="shared" si="99"/>
        <v>2.5000000000000001E-2</v>
      </c>
      <c r="O248" s="8">
        <f t="shared" si="102"/>
        <v>2.5257286443082556</v>
      </c>
      <c r="P248" s="6">
        <f t="shared" si="103"/>
        <v>3.5</v>
      </c>
      <c r="Q248" s="8">
        <f t="shared" si="104"/>
        <v>0.98994949366116647</v>
      </c>
      <c r="R248" s="58">
        <f t="shared" si="105"/>
        <v>7.8995224938088171</v>
      </c>
    </row>
    <row r="249" spans="7:21" x14ac:dyDescent="0.25">
      <c r="G249" s="6" t="str">
        <f>$A$16</f>
        <v>Negative</v>
      </c>
      <c r="H249" t="str">
        <f>$B$16</f>
        <v>Female</v>
      </c>
      <c r="I249" t="str">
        <f>$C$16</f>
        <v>Therapy 2</v>
      </c>
      <c r="J249" s="6">
        <f>$D$16</f>
        <v>33</v>
      </c>
      <c r="K249" s="87">
        <f t="shared" si="100"/>
        <v>6.6000000000000003E-2</v>
      </c>
      <c r="L249" s="8">
        <f t="shared" si="101"/>
        <v>3.4965075614664802</v>
      </c>
      <c r="M249" s="6">
        <f>M246</f>
        <v>22.5</v>
      </c>
      <c r="N249" s="87">
        <f t="shared" si="99"/>
        <v>4.4999999999999998E-2</v>
      </c>
      <c r="O249" s="8">
        <f t="shared" si="102"/>
        <v>3.1135153092103742</v>
      </c>
      <c r="P249" s="6">
        <f t="shared" si="103"/>
        <v>10.5</v>
      </c>
      <c r="Q249" s="8">
        <f t="shared" si="104"/>
        <v>2.2135943621178655</v>
      </c>
      <c r="R249" s="58">
        <f t="shared" si="105"/>
        <v>25.277488648902995</v>
      </c>
    </row>
    <row r="250" spans="7:21" x14ac:dyDescent="0.25">
      <c r="G250" s="9" t="str">
        <f>$A$17</f>
        <v>Negative</v>
      </c>
      <c r="H250" s="10" t="str">
        <f>$B$17</f>
        <v>Female</v>
      </c>
      <c r="I250" s="10" t="str">
        <f>$C$17</f>
        <v>Therapy 3</v>
      </c>
      <c r="J250" s="9">
        <f>$D$17</f>
        <v>56</v>
      </c>
      <c r="K250" s="88">
        <f t="shared" si="100"/>
        <v>0.112</v>
      </c>
      <c r="L250" s="11">
        <f t="shared" si="101"/>
        <v>4.0253516907351496</v>
      </c>
      <c r="M250" s="9">
        <f>M247</f>
        <v>36.5</v>
      </c>
      <c r="N250" s="88">
        <f t="shared" si="99"/>
        <v>7.2999999999999995E-2</v>
      </c>
      <c r="O250" s="11">
        <f t="shared" si="102"/>
        <v>3.597312260588446</v>
      </c>
      <c r="P250" s="112">
        <f t="shared" si="103"/>
        <v>19.5</v>
      </c>
      <c r="Q250" s="11">
        <f t="shared" si="104"/>
        <v>3.2276629655492348</v>
      </c>
      <c r="R250" s="54">
        <f t="shared" si="105"/>
        <v>47.940416176430809</v>
      </c>
    </row>
    <row r="251" spans="7:21" x14ac:dyDescent="0.25">
      <c r="R251">
        <f>SUM(R239:R250)</f>
        <v>58.681038980742066</v>
      </c>
    </row>
    <row r="253" spans="7:21" x14ac:dyDescent="0.25">
      <c r="G253" s="1" t="s">
        <v>277</v>
      </c>
    </row>
    <row r="255" spans="7:21" x14ac:dyDescent="0.25">
      <c r="J255" s="777" t="s">
        <v>132</v>
      </c>
      <c r="K255" s="778"/>
      <c r="L255" s="779"/>
      <c r="M255" s="777" t="s">
        <v>222</v>
      </c>
      <c r="N255" s="778"/>
      <c r="O255" s="779"/>
      <c r="P255" s="774" t="s">
        <v>133</v>
      </c>
      <c r="Q255" s="780"/>
    </row>
    <row r="256" spans="7:21" x14ac:dyDescent="0.25">
      <c r="G256" s="95" t="str">
        <f>$A$5</f>
        <v>Cure</v>
      </c>
      <c r="H256" s="82" t="str">
        <f>$B$5</f>
        <v>Gender</v>
      </c>
      <c r="I256" s="82" t="str">
        <f>$C$5</f>
        <v>Therapy</v>
      </c>
      <c r="J256" s="84" t="s">
        <v>220</v>
      </c>
      <c r="K256" s="85" t="s">
        <v>219</v>
      </c>
      <c r="L256" s="86" t="s">
        <v>137</v>
      </c>
      <c r="M256" s="84" t="s">
        <v>221</v>
      </c>
      <c r="N256" s="85" t="s">
        <v>219</v>
      </c>
      <c r="O256" s="86" t="s">
        <v>212</v>
      </c>
      <c r="P256" s="133" t="s">
        <v>118</v>
      </c>
      <c r="Q256" s="135" t="s">
        <v>231</v>
      </c>
      <c r="R256" s="90" t="s">
        <v>73</v>
      </c>
      <c r="T256" s="47" t="s">
        <v>73</v>
      </c>
      <c r="U256" s="94">
        <f>R269</f>
        <v>138.30258247312145</v>
      </c>
    </row>
    <row r="257" spans="7:21" x14ac:dyDescent="0.25">
      <c r="G257" s="6" t="str">
        <f>$A$6</f>
        <v>Positive</v>
      </c>
      <c r="H257" t="str">
        <f>$B$6</f>
        <v>Male</v>
      </c>
      <c r="I257" t="str">
        <f>$C$6</f>
        <v>Therapy 1</v>
      </c>
      <c r="J257" s="6">
        <f>$D$6</f>
        <v>59</v>
      </c>
      <c r="K257" s="87">
        <f>J257/$D$18</f>
        <v>0.11799999999999999</v>
      </c>
      <c r="L257" s="8">
        <f>LN(J257)</f>
        <v>4.0775374439057197</v>
      </c>
      <c r="M257" s="6">
        <f>D72*D77/($D$44*$C$27)</f>
        <v>61.642000000000003</v>
      </c>
      <c r="N257" s="87">
        <f t="shared" ref="N257:N268" si="106">M257/D$44</f>
        <v>0.123284</v>
      </c>
      <c r="O257" s="8">
        <f>LN(M257)</f>
        <v>4.1213434563888756</v>
      </c>
      <c r="P257" s="132">
        <f>J257-M257</f>
        <v>-2.642000000000003</v>
      </c>
      <c r="Q257" s="131">
        <f>P257/SQRT(M257)</f>
        <v>-0.33650727110428286</v>
      </c>
      <c r="R257" s="58">
        <f>2*J257*(L257-O257)</f>
        <v>-5.1691094730123908</v>
      </c>
      <c r="T257" t="s">
        <v>41</v>
      </c>
      <c r="U257" s="58">
        <f>A27*B27*C27-A27-B27+1</f>
        <v>9</v>
      </c>
    </row>
    <row r="258" spans="7:21" x14ac:dyDescent="0.25">
      <c r="G258" s="6" t="str">
        <f>$A$7</f>
        <v>Positive</v>
      </c>
      <c r="H258" t="str">
        <f>$B$7</f>
        <v>Male</v>
      </c>
      <c r="I258" t="str">
        <f>$C$7</f>
        <v>Therapy 2</v>
      </c>
      <c r="J258" s="6">
        <f>$D$7</f>
        <v>55</v>
      </c>
      <c r="K258" s="87">
        <f t="shared" ref="K258:K268" si="107">J258/$D$18</f>
        <v>0.11</v>
      </c>
      <c r="L258" s="8">
        <f t="shared" ref="L258:L268" si="108">LN(J258)</f>
        <v>4.0073331852324712</v>
      </c>
      <c r="M258" s="6">
        <f>M257</f>
        <v>61.642000000000003</v>
      </c>
      <c r="N258" s="87">
        <f t="shared" si="106"/>
        <v>0.123284</v>
      </c>
      <c r="O258" s="8">
        <f t="shared" ref="O258:O268" si="109">LN(M258)</f>
        <v>4.1213434563888756</v>
      </c>
      <c r="P258" s="6">
        <f t="shared" ref="P258:P268" si="110">J258-M258</f>
        <v>-6.642000000000003</v>
      </c>
      <c r="Q258" s="8">
        <f t="shared" ref="Q258:Q268" si="111">P258/SQRT(M258)</f>
        <v>-0.8459808079767771</v>
      </c>
      <c r="R258" s="58">
        <f t="shared" ref="R258:R268" si="112">2*J258*(L258-O258)</f>
        <v>-12.541129827204482</v>
      </c>
      <c r="T258" s="24" t="s">
        <v>32</v>
      </c>
      <c r="U258" s="58">
        <v>0.05</v>
      </c>
    </row>
    <row r="259" spans="7:21" x14ac:dyDescent="0.25">
      <c r="G259" s="6" t="str">
        <f>$A$8</f>
        <v>Positive</v>
      </c>
      <c r="H259" t="str">
        <f>$B$8</f>
        <v>Male</v>
      </c>
      <c r="I259" t="str">
        <f>$C$8</f>
        <v>Therapy 3</v>
      </c>
      <c r="J259" s="6">
        <f>$D$8</f>
        <v>107</v>
      </c>
      <c r="K259" s="87">
        <f t="shared" si="107"/>
        <v>0.214</v>
      </c>
      <c r="L259" s="8">
        <f t="shared" si="108"/>
        <v>4.6728288344619058</v>
      </c>
      <c r="M259" s="6">
        <f>M258</f>
        <v>61.642000000000003</v>
      </c>
      <c r="N259" s="87">
        <f t="shared" si="106"/>
        <v>0.123284</v>
      </c>
      <c r="O259" s="8">
        <f t="shared" si="109"/>
        <v>4.1213434563888756</v>
      </c>
      <c r="P259" s="6">
        <f t="shared" si="110"/>
        <v>45.357999999999997</v>
      </c>
      <c r="Q259" s="8">
        <f t="shared" si="111"/>
        <v>5.7771751713656485</v>
      </c>
      <c r="R259" s="58">
        <f t="shared" si="112"/>
        <v>118.01787090762846</v>
      </c>
      <c r="T259" s="75" t="s">
        <v>48</v>
      </c>
      <c r="U259" s="58">
        <f>CHIDIST(U256,U257)</f>
        <v>2.3112549398295275E-25</v>
      </c>
    </row>
    <row r="260" spans="7:21" x14ac:dyDescent="0.25">
      <c r="G260" s="6" t="str">
        <f>$A$9</f>
        <v>Positive</v>
      </c>
      <c r="H260" t="str">
        <f>$B$9</f>
        <v>Female</v>
      </c>
      <c r="I260" t="str">
        <f>$C$9</f>
        <v>Therapy 1</v>
      </c>
      <c r="J260" s="6">
        <f>$D$9</f>
        <v>32</v>
      </c>
      <c r="K260" s="87">
        <f t="shared" si="107"/>
        <v>6.4000000000000001E-2</v>
      </c>
      <c r="L260" s="8">
        <f t="shared" si="108"/>
        <v>3.4657359027997265</v>
      </c>
      <c r="M260" s="6">
        <f>D72*D78/($D$44*$C$27)</f>
        <v>57.357999999999997</v>
      </c>
      <c r="N260" s="87">
        <f t="shared" si="106"/>
        <v>0.114716</v>
      </c>
      <c r="O260" s="8">
        <f t="shared" si="109"/>
        <v>4.049312328179993</v>
      </c>
      <c r="P260" s="6">
        <f t="shared" si="110"/>
        <v>-25.357999999999997</v>
      </c>
      <c r="Q260" s="8">
        <f t="shared" si="111"/>
        <v>-3.3482509265635785</v>
      </c>
      <c r="R260" s="58">
        <f t="shared" si="112"/>
        <v>-37.348891224337052</v>
      </c>
      <c r="T260" s="47" t="s">
        <v>74</v>
      </c>
      <c r="U260" s="58">
        <f>CHIINV(U258,U257)</f>
        <v>16.918977604620451</v>
      </c>
    </row>
    <row r="261" spans="7:21" x14ac:dyDescent="0.25">
      <c r="G261" s="6" t="str">
        <f>$A$10</f>
        <v>Positive</v>
      </c>
      <c r="H261" t="str">
        <f>$B$10</f>
        <v>Female</v>
      </c>
      <c r="I261" t="str">
        <f>$C$10</f>
        <v>Therapy 2</v>
      </c>
      <c r="J261" s="6">
        <f>$D$10</f>
        <v>24</v>
      </c>
      <c r="K261" s="87">
        <f t="shared" si="107"/>
        <v>4.8000000000000001E-2</v>
      </c>
      <c r="L261" s="8">
        <f t="shared" si="108"/>
        <v>3.1780538303479458</v>
      </c>
      <c r="M261" s="6">
        <f t="shared" ref="M261:M268" si="113">M260</f>
        <v>57.357999999999997</v>
      </c>
      <c r="N261" s="87">
        <f t="shared" si="106"/>
        <v>0.114716</v>
      </c>
      <c r="O261" s="8">
        <f t="shared" si="109"/>
        <v>4.049312328179993</v>
      </c>
      <c r="P261" s="6">
        <f t="shared" si="110"/>
        <v>-33.357999999999997</v>
      </c>
      <c r="Q261" s="8">
        <f t="shared" si="111"/>
        <v>-4.404564808277776</v>
      </c>
      <c r="R261" s="58">
        <f t="shared" si="112"/>
        <v>-41.820407895938267</v>
      </c>
      <c r="T261" s="75" t="s">
        <v>164</v>
      </c>
      <c r="U261" s="53" t="str">
        <f>IF(U259&lt;U258,"yes","no")</f>
        <v>yes</v>
      </c>
    </row>
    <row r="262" spans="7:21" x14ac:dyDescent="0.25">
      <c r="G262" s="6" t="str">
        <f>$A$11</f>
        <v>Positive</v>
      </c>
      <c r="H262" t="str">
        <f>$B$11</f>
        <v>Female</v>
      </c>
      <c r="I262" t="str">
        <f>$C$11</f>
        <v>Therapy 3</v>
      </c>
      <c r="J262" s="6">
        <f>$D$11</f>
        <v>80</v>
      </c>
      <c r="K262" s="87">
        <f t="shared" si="107"/>
        <v>0.16</v>
      </c>
      <c r="L262" s="8">
        <f t="shared" si="108"/>
        <v>4.3820266346738812</v>
      </c>
      <c r="M262" s="6">
        <f t="shared" si="113"/>
        <v>57.357999999999997</v>
      </c>
      <c r="N262" s="87">
        <f t="shared" si="106"/>
        <v>0.114716</v>
      </c>
      <c r="O262" s="8">
        <f t="shared" si="109"/>
        <v>4.049312328179993</v>
      </c>
      <c r="P262" s="6">
        <f t="shared" si="110"/>
        <v>22.642000000000003</v>
      </c>
      <c r="Q262" s="8">
        <f t="shared" si="111"/>
        <v>2.9896323637216091</v>
      </c>
      <c r="R262" s="58">
        <f t="shared" si="112"/>
        <v>53.234289039022116</v>
      </c>
    </row>
    <row r="263" spans="7:21" x14ac:dyDescent="0.25">
      <c r="G263" s="6" t="str">
        <f>$A$12</f>
        <v>Negative</v>
      </c>
      <c r="H263" t="str">
        <f>$B$12</f>
        <v>Male</v>
      </c>
      <c r="I263" t="str">
        <f>$C$12</f>
        <v>Therapy 1</v>
      </c>
      <c r="J263" s="6">
        <f>$D$12</f>
        <v>9</v>
      </c>
      <c r="K263" s="87">
        <f t="shared" si="107"/>
        <v>1.7999999999999999E-2</v>
      </c>
      <c r="L263" s="8">
        <f t="shared" si="108"/>
        <v>2.1972245773362196</v>
      </c>
      <c r="M263" s="6">
        <f>D73*D77/($D$44*$C$27)</f>
        <v>24.691333333333333</v>
      </c>
      <c r="N263" s="87">
        <f t="shared" si="106"/>
        <v>4.9382666666666665E-2</v>
      </c>
      <c r="O263" s="8">
        <f t="shared" si="109"/>
        <v>3.2064523048691438</v>
      </c>
      <c r="P263" s="6">
        <f t="shared" si="110"/>
        <v>-15.691333333333333</v>
      </c>
      <c r="Q263" s="8">
        <f t="shared" si="111"/>
        <v>-3.1578214980958967</v>
      </c>
      <c r="R263" s="58">
        <f t="shared" si="112"/>
        <v>-18.166099095592635</v>
      </c>
    </row>
    <row r="264" spans="7:21" x14ac:dyDescent="0.25">
      <c r="G264" s="6" t="str">
        <f>$A$13</f>
        <v>Negative</v>
      </c>
      <c r="H264" t="str">
        <f>$B$13</f>
        <v>Male</v>
      </c>
      <c r="I264" t="str">
        <f>$C$13</f>
        <v>Therapy 2</v>
      </c>
      <c r="J264" s="6">
        <f>$D$13</f>
        <v>12</v>
      </c>
      <c r="K264" s="87">
        <f t="shared" si="107"/>
        <v>2.4E-2</v>
      </c>
      <c r="L264" s="8">
        <f t="shared" si="108"/>
        <v>2.4849066497880004</v>
      </c>
      <c r="M264" s="6">
        <f t="shared" si="113"/>
        <v>24.691333333333333</v>
      </c>
      <c r="N264" s="87">
        <f t="shared" si="106"/>
        <v>4.9382666666666665E-2</v>
      </c>
      <c r="O264" s="8">
        <f t="shared" si="109"/>
        <v>3.2064523048691438</v>
      </c>
      <c r="P264" s="6">
        <f t="shared" si="110"/>
        <v>-12.691333333333333</v>
      </c>
      <c r="Q264" s="8">
        <f t="shared" si="111"/>
        <v>-2.55408284230155</v>
      </c>
      <c r="R264" s="58">
        <f t="shared" si="112"/>
        <v>-17.317095721947442</v>
      </c>
    </row>
    <row r="265" spans="7:21" x14ac:dyDescent="0.25">
      <c r="G265" s="6" t="str">
        <f>$A$14</f>
        <v>Negative</v>
      </c>
      <c r="H265" t="str">
        <f>$B$14</f>
        <v>Male</v>
      </c>
      <c r="I265" t="str">
        <f>$C$14</f>
        <v>Therapy 3</v>
      </c>
      <c r="J265" s="6">
        <f>$D$14</f>
        <v>17</v>
      </c>
      <c r="K265" s="87">
        <f t="shared" si="107"/>
        <v>3.4000000000000002E-2</v>
      </c>
      <c r="L265" s="8">
        <f t="shared" si="108"/>
        <v>2.8332133440562162</v>
      </c>
      <c r="M265" s="6">
        <f t="shared" si="113"/>
        <v>24.691333333333333</v>
      </c>
      <c r="N265" s="87">
        <f t="shared" si="106"/>
        <v>4.9382666666666665E-2</v>
      </c>
      <c r="O265" s="8">
        <f t="shared" si="109"/>
        <v>3.2064523048691438</v>
      </c>
      <c r="P265" s="6">
        <f t="shared" si="110"/>
        <v>-7.6913333333333327</v>
      </c>
      <c r="Q265" s="8">
        <f t="shared" si="111"/>
        <v>-1.5478517493109725</v>
      </c>
      <c r="R265" s="58">
        <f t="shared" si="112"/>
        <v>-12.690124667639539</v>
      </c>
    </row>
    <row r="266" spans="7:21" x14ac:dyDescent="0.25">
      <c r="G266" s="6" t="str">
        <f>$A$15</f>
        <v>Negative</v>
      </c>
      <c r="H266" t="str">
        <f>$B$15</f>
        <v>Female</v>
      </c>
      <c r="I266" t="str">
        <f>$C$15</f>
        <v>Therapy 1</v>
      </c>
      <c r="J266" s="6">
        <f>$D$15</f>
        <v>16</v>
      </c>
      <c r="K266" s="87">
        <f t="shared" si="107"/>
        <v>3.2000000000000001E-2</v>
      </c>
      <c r="L266" s="8">
        <f t="shared" si="108"/>
        <v>2.7725887222397811</v>
      </c>
      <c r="M266" s="6">
        <f>D73*D78/($D$44*$C$27)</f>
        <v>22.975333333333332</v>
      </c>
      <c r="N266" s="87">
        <f t="shared" si="106"/>
        <v>4.595066666666666E-2</v>
      </c>
      <c r="O266" s="8">
        <f t="shared" si="109"/>
        <v>3.1344211766602608</v>
      </c>
      <c r="P266" s="6">
        <f t="shared" si="110"/>
        <v>-6.9753333333333316</v>
      </c>
      <c r="Q266" s="8">
        <f t="shared" si="111"/>
        <v>-1.4552380972546457</v>
      </c>
      <c r="R266" s="58">
        <f t="shared" si="112"/>
        <v>-11.578638541455348</v>
      </c>
    </row>
    <row r="267" spans="7:21" x14ac:dyDescent="0.25">
      <c r="G267" s="6" t="str">
        <f>$A$16</f>
        <v>Negative</v>
      </c>
      <c r="H267" t="str">
        <f>$B$16</f>
        <v>Female</v>
      </c>
      <c r="I267" t="str">
        <f>$C$16</f>
        <v>Therapy 2</v>
      </c>
      <c r="J267" s="6">
        <f>$D$16</f>
        <v>33</v>
      </c>
      <c r="K267" s="87">
        <f t="shared" si="107"/>
        <v>6.6000000000000003E-2</v>
      </c>
      <c r="L267" s="8">
        <f t="shared" si="108"/>
        <v>3.4965075614664802</v>
      </c>
      <c r="M267" s="6">
        <f t="shared" si="113"/>
        <v>22.975333333333332</v>
      </c>
      <c r="N267" s="87">
        <f t="shared" si="106"/>
        <v>4.595066666666666E-2</v>
      </c>
      <c r="O267" s="8">
        <f t="shared" si="109"/>
        <v>3.1344211766602608</v>
      </c>
      <c r="P267" s="6">
        <f t="shared" si="110"/>
        <v>10.024666666666668</v>
      </c>
      <c r="Q267" s="8">
        <f t="shared" si="111"/>
        <v>2.0914092773026969</v>
      </c>
      <c r="R267" s="58">
        <f t="shared" si="112"/>
        <v>23.897701397210483</v>
      </c>
    </row>
    <row r="268" spans="7:21" x14ac:dyDescent="0.25">
      <c r="G268" s="9" t="str">
        <f>$A$17</f>
        <v>Negative</v>
      </c>
      <c r="H268" s="10" t="str">
        <f>$B$17</f>
        <v>Female</v>
      </c>
      <c r="I268" s="10" t="str">
        <f>$C$17</f>
        <v>Therapy 3</v>
      </c>
      <c r="J268" s="9">
        <f>$D$17</f>
        <v>56</v>
      </c>
      <c r="K268" s="88">
        <f t="shared" si="107"/>
        <v>0.112</v>
      </c>
      <c r="L268" s="11">
        <f t="shared" si="108"/>
        <v>4.0253516907351496</v>
      </c>
      <c r="M268" s="9">
        <f t="shared" si="113"/>
        <v>22.975333333333332</v>
      </c>
      <c r="N268" s="88">
        <f t="shared" si="106"/>
        <v>4.595066666666666E-2</v>
      </c>
      <c r="O268" s="11">
        <f t="shared" si="109"/>
        <v>3.1344211766602608</v>
      </c>
      <c r="P268" s="112">
        <f t="shared" si="110"/>
        <v>33.024666666666668</v>
      </c>
      <c r="Q268" s="11">
        <f t="shared" si="111"/>
        <v>6.8898145487626303</v>
      </c>
      <c r="R268" s="54">
        <f t="shared" si="112"/>
        <v>99.784217576387562</v>
      </c>
    </row>
    <row r="269" spans="7:21" x14ac:dyDescent="0.25">
      <c r="R269">
        <f>SUM(R257:R268)</f>
        <v>138.30258247312145</v>
      </c>
    </row>
    <row r="271" spans="7:21" x14ac:dyDescent="0.25">
      <c r="G271" s="1" t="s">
        <v>278</v>
      </c>
    </row>
    <row r="273" spans="7:21" x14ac:dyDescent="0.25">
      <c r="J273" s="777" t="s">
        <v>132</v>
      </c>
      <c r="K273" s="778"/>
      <c r="L273" s="779"/>
      <c r="M273" s="777" t="s">
        <v>222</v>
      </c>
      <c r="N273" s="778"/>
      <c r="O273" s="779"/>
      <c r="P273" s="774" t="s">
        <v>133</v>
      </c>
      <c r="Q273" s="780"/>
    </row>
    <row r="274" spans="7:21" x14ac:dyDescent="0.25">
      <c r="G274" s="95" t="str">
        <f>$A$5</f>
        <v>Cure</v>
      </c>
      <c r="H274" s="82" t="str">
        <f>$B$5</f>
        <v>Gender</v>
      </c>
      <c r="I274" s="82" t="str">
        <f>$C$5</f>
        <v>Therapy</v>
      </c>
      <c r="J274" s="84" t="s">
        <v>220</v>
      </c>
      <c r="K274" s="85" t="s">
        <v>219</v>
      </c>
      <c r="L274" s="86" t="s">
        <v>137</v>
      </c>
      <c r="M274" s="84" t="s">
        <v>221</v>
      </c>
      <c r="N274" s="85" t="s">
        <v>219</v>
      </c>
      <c r="O274" s="86" t="s">
        <v>212</v>
      </c>
      <c r="P274" s="133" t="s">
        <v>118</v>
      </c>
      <c r="Q274" s="135" t="s">
        <v>231</v>
      </c>
      <c r="R274" s="90" t="s">
        <v>73</v>
      </c>
      <c r="T274" s="47" t="s">
        <v>73</v>
      </c>
      <c r="U274" s="94">
        <f>R287</f>
        <v>159.09718607515288</v>
      </c>
    </row>
    <row r="275" spans="7:21" x14ac:dyDescent="0.25">
      <c r="G275" s="6" t="str">
        <f>$A$6</f>
        <v>Positive</v>
      </c>
      <c r="H275" t="str">
        <f>$B$6</f>
        <v>Male</v>
      </c>
      <c r="I275" t="str">
        <f>$C$6</f>
        <v>Therapy 1</v>
      </c>
      <c r="J275" s="6">
        <f>$D$6</f>
        <v>59</v>
      </c>
      <c r="K275" s="87">
        <f>J275/$D$18</f>
        <v>0.11799999999999999</v>
      </c>
      <c r="L275" s="8">
        <f>LN(J275)</f>
        <v>4.0775374439057197</v>
      </c>
      <c r="M275" s="6">
        <f>D77*D82/($A$27*$D$18)</f>
        <v>30.044</v>
      </c>
      <c r="N275" s="87">
        <f t="shared" ref="N275:N286" si="114">M275/D$44</f>
        <v>6.0088000000000003E-2</v>
      </c>
      <c r="O275" s="8">
        <f>LN(M275)</f>
        <v>3.4026629738237655</v>
      </c>
      <c r="P275" s="132">
        <f>J275-M275</f>
        <v>28.956</v>
      </c>
      <c r="Q275" s="131">
        <f>P275/SQRT(M275)</f>
        <v>5.2827455310812548</v>
      </c>
      <c r="R275" s="58">
        <f>2*J275*(L275-O275)</f>
        <v>79.635187469670598</v>
      </c>
      <c r="T275" t="s">
        <v>41</v>
      </c>
      <c r="U275" s="58">
        <f>A27*B27*C27-B27-C27+1</f>
        <v>8</v>
      </c>
    </row>
    <row r="276" spans="7:21" x14ac:dyDescent="0.25">
      <c r="G276" s="6" t="str">
        <f>$A$7</f>
        <v>Positive</v>
      </c>
      <c r="H276" t="str">
        <f>$B$7</f>
        <v>Male</v>
      </c>
      <c r="I276" t="str">
        <f>$C$7</f>
        <v>Therapy 2</v>
      </c>
      <c r="J276" s="6">
        <f>$D$7</f>
        <v>55</v>
      </c>
      <c r="K276" s="87">
        <f t="shared" ref="K276:K286" si="115">J276/$D$18</f>
        <v>0.11</v>
      </c>
      <c r="L276" s="8">
        <f t="shared" ref="L276:L286" si="116">LN(J276)</f>
        <v>4.0073331852324712</v>
      </c>
      <c r="M276" s="6">
        <f>D77*D83/($A$27*$D$18)</f>
        <v>32.116</v>
      </c>
      <c r="N276" s="87">
        <f t="shared" si="114"/>
        <v>6.4231999999999997E-2</v>
      </c>
      <c r="O276" s="8">
        <f t="shared" ref="O276:O286" si="117">LN(M276)</f>
        <v>3.4693543483224376</v>
      </c>
      <c r="P276" s="6">
        <f t="shared" ref="P276:P286" si="118">J276-M276</f>
        <v>22.884</v>
      </c>
      <c r="Q276" s="8">
        <f t="shared" ref="Q276:Q286" si="119">P276/SQRT(M276)</f>
        <v>4.0380455584041419</v>
      </c>
      <c r="R276" s="58">
        <f t="shared" ref="R276:R286" si="120">2*J276*(L276-O276)</f>
        <v>59.177672060103689</v>
      </c>
      <c r="T276" s="24" t="s">
        <v>32</v>
      </c>
      <c r="U276" s="58">
        <v>0.05</v>
      </c>
    </row>
    <row r="277" spans="7:21" x14ac:dyDescent="0.25">
      <c r="G277" s="6" t="str">
        <f>$A$8</f>
        <v>Positive</v>
      </c>
      <c r="H277" t="str">
        <f>$B$8</f>
        <v>Male</v>
      </c>
      <c r="I277" t="str">
        <f>$C$8</f>
        <v>Therapy 3</v>
      </c>
      <c r="J277" s="6">
        <f>$D$8</f>
        <v>107</v>
      </c>
      <c r="K277" s="87">
        <f t="shared" si="115"/>
        <v>0.214</v>
      </c>
      <c r="L277" s="8">
        <f t="shared" si="116"/>
        <v>4.6728288344619058</v>
      </c>
      <c r="M277" s="6">
        <f>D77*D84/($A$27*$D$18)</f>
        <v>67.34</v>
      </c>
      <c r="N277" s="87">
        <f t="shared" si="114"/>
        <v>0.13467999999999999</v>
      </c>
      <c r="O277" s="8">
        <f t="shared" si="117"/>
        <v>4.2097544137329281</v>
      </c>
      <c r="P277" s="6">
        <f t="shared" si="118"/>
        <v>39.659999999999997</v>
      </c>
      <c r="Q277" s="8">
        <f t="shared" si="119"/>
        <v>4.8329928634149688</v>
      </c>
      <c r="R277" s="58">
        <f t="shared" si="120"/>
        <v>99.097926036001212</v>
      </c>
      <c r="T277" s="75" t="s">
        <v>48</v>
      </c>
      <c r="U277" s="58">
        <f>CHIDIST(U274,U275)</f>
        <v>2.4700745086544901E-30</v>
      </c>
    </row>
    <row r="278" spans="7:21" x14ac:dyDescent="0.25">
      <c r="G278" s="6" t="str">
        <f>$A$9</f>
        <v>Positive</v>
      </c>
      <c r="H278" t="str">
        <f>$B$9</f>
        <v>Female</v>
      </c>
      <c r="I278" t="str">
        <f>$C$9</f>
        <v>Therapy 1</v>
      </c>
      <c r="J278" s="6">
        <f>$D$9</f>
        <v>32</v>
      </c>
      <c r="K278" s="87">
        <f t="shared" si="115"/>
        <v>6.4000000000000001E-2</v>
      </c>
      <c r="L278" s="8">
        <f t="shared" si="116"/>
        <v>3.4657359027997265</v>
      </c>
      <c r="M278" s="6">
        <f>D78*D82/($A$27*$D$18)</f>
        <v>27.956</v>
      </c>
      <c r="N278" s="87">
        <f t="shared" si="114"/>
        <v>5.5911999999999996E-2</v>
      </c>
      <c r="O278" s="8">
        <f t="shared" si="117"/>
        <v>3.3306318456148825</v>
      </c>
      <c r="P278" s="6">
        <f t="shared" si="118"/>
        <v>4.0440000000000005</v>
      </c>
      <c r="Q278" s="8">
        <f t="shared" si="119"/>
        <v>0.76484535061614645</v>
      </c>
      <c r="R278" s="58">
        <f t="shared" si="120"/>
        <v>8.6466596598300214</v>
      </c>
      <c r="T278" s="47" t="s">
        <v>74</v>
      </c>
      <c r="U278" s="58">
        <f>CHIINV(U276,U275)</f>
        <v>15.507313055865453</v>
      </c>
    </row>
    <row r="279" spans="7:21" x14ac:dyDescent="0.25">
      <c r="G279" s="6" t="str">
        <f>$A$10</f>
        <v>Positive</v>
      </c>
      <c r="H279" t="str">
        <f>$B$10</f>
        <v>Female</v>
      </c>
      <c r="I279" t="str">
        <f>$C$10</f>
        <v>Therapy 2</v>
      </c>
      <c r="J279" s="6">
        <f>$D$10</f>
        <v>24</v>
      </c>
      <c r="K279" s="87">
        <f t="shared" si="115"/>
        <v>4.8000000000000001E-2</v>
      </c>
      <c r="L279" s="8">
        <f t="shared" si="116"/>
        <v>3.1780538303479458</v>
      </c>
      <c r="M279" s="6">
        <f>D78*D83/($A$27*$D$18)</f>
        <v>29.884</v>
      </c>
      <c r="N279" s="87">
        <f t="shared" si="114"/>
        <v>5.9768000000000002E-2</v>
      </c>
      <c r="O279" s="8">
        <f t="shared" si="117"/>
        <v>3.397323220113555</v>
      </c>
      <c r="P279" s="6">
        <f t="shared" si="118"/>
        <v>-5.8840000000000003</v>
      </c>
      <c r="Q279" s="8">
        <f t="shared" si="119"/>
        <v>-1.0763494672328164</v>
      </c>
      <c r="R279" s="58">
        <f t="shared" si="120"/>
        <v>-10.524930708749245</v>
      </c>
      <c r="T279" s="75" t="s">
        <v>164</v>
      </c>
      <c r="U279" s="53" t="str">
        <f>IF(U277&lt;U276,"yes","no")</f>
        <v>yes</v>
      </c>
    </row>
    <row r="280" spans="7:21" x14ac:dyDescent="0.25">
      <c r="G280" s="6" t="str">
        <f>$A$11</f>
        <v>Positive</v>
      </c>
      <c r="H280" t="str">
        <f>$B$11</f>
        <v>Female</v>
      </c>
      <c r="I280" t="str">
        <f>$C$11</f>
        <v>Therapy 3</v>
      </c>
      <c r="J280" s="6">
        <f>$D$11</f>
        <v>80</v>
      </c>
      <c r="K280" s="87">
        <f t="shared" si="115"/>
        <v>0.16</v>
      </c>
      <c r="L280" s="8">
        <f t="shared" si="116"/>
        <v>4.3820266346738812</v>
      </c>
      <c r="M280" s="6">
        <f>D78*D84/($A$27*$D$18)</f>
        <v>62.66</v>
      </c>
      <c r="N280" s="87">
        <f t="shared" si="114"/>
        <v>0.12531999999999999</v>
      </c>
      <c r="O280" s="8">
        <f t="shared" si="117"/>
        <v>4.1377232855240456</v>
      </c>
      <c r="P280" s="6">
        <f t="shared" si="118"/>
        <v>17.340000000000003</v>
      </c>
      <c r="Q280" s="8">
        <f t="shared" si="119"/>
        <v>2.1905536686052454</v>
      </c>
      <c r="R280" s="58">
        <f t="shared" si="120"/>
        <v>39.088535863973703</v>
      </c>
    </row>
    <row r="281" spans="7:21" x14ac:dyDescent="0.25">
      <c r="G281" s="6" t="str">
        <f>$A$12</f>
        <v>Negative</v>
      </c>
      <c r="H281" t="str">
        <f>$B$12</f>
        <v>Male</v>
      </c>
      <c r="I281" t="str">
        <f>$C$12</f>
        <v>Therapy 1</v>
      </c>
      <c r="J281" s="6">
        <f>$D$12</f>
        <v>9</v>
      </c>
      <c r="K281" s="87">
        <f t="shared" si="115"/>
        <v>1.7999999999999999E-2</v>
      </c>
      <c r="L281" s="8">
        <f t="shared" si="116"/>
        <v>2.1972245773362196</v>
      </c>
      <c r="M281" s="6">
        <f t="shared" ref="M281:M286" si="121">M275</f>
        <v>30.044</v>
      </c>
      <c r="N281" s="87">
        <f t="shared" si="114"/>
        <v>6.0088000000000003E-2</v>
      </c>
      <c r="O281" s="8">
        <f t="shared" si="117"/>
        <v>3.4026629738237655</v>
      </c>
      <c r="P281" s="6">
        <f t="shared" si="118"/>
        <v>-21.044</v>
      </c>
      <c r="Q281" s="8">
        <f t="shared" si="119"/>
        <v>-3.8392767286943612</v>
      </c>
      <c r="R281" s="58">
        <f t="shared" si="120"/>
        <v>-21.697891136775826</v>
      </c>
    </row>
    <row r="282" spans="7:21" x14ac:dyDescent="0.25">
      <c r="G282" s="6" t="str">
        <f>$A$13</f>
        <v>Negative</v>
      </c>
      <c r="H282" t="str">
        <f>$B$13</f>
        <v>Male</v>
      </c>
      <c r="I282" t="str">
        <f>$C$13</f>
        <v>Therapy 2</v>
      </c>
      <c r="J282" s="6">
        <f>$D$13</f>
        <v>12</v>
      </c>
      <c r="K282" s="87">
        <f t="shared" si="115"/>
        <v>2.4E-2</v>
      </c>
      <c r="L282" s="8">
        <f t="shared" si="116"/>
        <v>2.4849066497880004</v>
      </c>
      <c r="M282" s="6">
        <f t="shared" si="121"/>
        <v>32.116</v>
      </c>
      <c r="N282" s="87">
        <f t="shared" si="114"/>
        <v>6.4231999999999997E-2</v>
      </c>
      <c r="O282" s="8">
        <f t="shared" si="117"/>
        <v>3.4693543483224376</v>
      </c>
      <c r="P282" s="6">
        <f t="shared" si="118"/>
        <v>-20.116</v>
      </c>
      <c r="Q282" s="8">
        <f t="shared" si="119"/>
        <v>-3.5496121505356455</v>
      </c>
      <c r="R282" s="58">
        <f t="shared" si="120"/>
        <v>-23.626744764826494</v>
      </c>
    </row>
    <row r="283" spans="7:21" x14ac:dyDescent="0.25">
      <c r="G283" s="6" t="str">
        <f>$A$14</f>
        <v>Negative</v>
      </c>
      <c r="H283" t="str">
        <f>$B$14</f>
        <v>Male</v>
      </c>
      <c r="I283" t="str">
        <f>$C$14</f>
        <v>Therapy 3</v>
      </c>
      <c r="J283" s="6">
        <f>$D$14</f>
        <v>17</v>
      </c>
      <c r="K283" s="87">
        <f t="shared" si="115"/>
        <v>3.4000000000000002E-2</v>
      </c>
      <c r="L283" s="8">
        <f t="shared" si="116"/>
        <v>2.8332133440562162</v>
      </c>
      <c r="M283" s="6">
        <f t="shared" si="121"/>
        <v>67.34</v>
      </c>
      <c r="N283" s="87">
        <f t="shared" si="114"/>
        <v>0.13467999999999999</v>
      </c>
      <c r="O283" s="8">
        <f t="shared" si="117"/>
        <v>4.2097544137329281</v>
      </c>
      <c r="P283" s="6">
        <f t="shared" si="118"/>
        <v>-50.34</v>
      </c>
      <c r="Q283" s="8">
        <f t="shared" si="119"/>
        <v>-6.1344644665736148</v>
      </c>
      <c r="R283" s="58">
        <f t="shared" si="120"/>
        <v>-46.802396369008207</v>
      </c>
    </row>
    <row r="284" spans="7:21" x14ac:dyDescent="0.25">
      <c r="G284" s="6" t="str">
        <f>$A$15</f>
        <v>Negative</v>
      </c>
      <c r="H284" t="str">
        <f>$B$15</f>
        <v>Female</v>
      </c>
      <c r="I284" t="str">
        <f>$C$15</f>
        <v>Therapy 1</v>
      </c>
      <c r="J284" s="6">
        <f>$D$15</f>
        <v>16</v>
      </c>
      <c r="K284" s="87">
        <f t="shared" si="115"/>
        <v>3.2000000000000001E-2</v>
      </c>
      <c r="L284" s="8">
        <f t="shared" si="116"/>
        <v>2.7725887222397811</v>
      </c>
      <c r="M284" s="6">
        <f t="shared" si="121"/>
        <v>27.956</v>
      </c>
      <c r="N284" s="87">
        <f t="shared" si="114"/>
        <v>5.5911999999999996E-2</v>
      </c>
      <c r="O284" s="8">
        <f t="shared" si="117"/>
        <v>3.3306318456148825</v>
      </c>
      <c r="P284" s="6">
        <f t="shared" si="118"/>
        <v>-11.956</v>
      </c>
      <c r="Q284" s="8">
        <f t="shared" si="119"/>
        <v>-2.2612490138394277</v>
      </c>
      <c r="R284" s="58">
        <f t="shared" si="120"/>
        <v>-17.857379948003242</v>
      </c>
    </row>
    <row r="285" spans="7:21" x14ac:dyDescent="0.25">
      <c r="G285" s="6" t="str">
        <f>$A$16</f>
        <v>Negative</v>
      </c>
      <c r="H285" t="str">
        <f>$B$16</f>
        <v>Female</v>
      </c>
      <c r="I285" t="str">
        <f>$C$16</f>
        <v>Therapy 2</v>
      </c>
      <c r="J285" s="6">
        <f>$D$16</f>
        <v>33</v>
      </c>
      <c r="K285" s="87">
        <f t="shared" si="115"/>
        <v>6.6000000000000003E-2</v>
      </c>
      <c r="L285" s="8">
        <f t="shared" si="116"/>
        <v>3.4965075614664802</v>
      </c>
      <c r="M285" s="6">
        <f t="shared" si="121"/>
        <v>29.884</v>
      </c>
      <c r="N285" s="87">
        <f t="shared" si="114"/>
        <v>5.9768000000000002E-2</v>
      </c>
      <c r="O285" s="8">
        <f t="shared" si="117"/>
        <v>3.397323220113555</v>
      </c>
      <c r="P285" s="6">
        <f t="shared" si="118"/>
        <v>3.1159999999999997</v>
      </c>
      <c r="Q285" s="8">
        <f t="shared" si="119"/>
        <v>0.57000423859576066</v>
      </c>
      <c r="R285" s="58">
        <f t="shared" si="120"/>
        <v>6.5461665292930631</v>
      </c>
    </row>
    <row r="286" spans="7:21" x14ac:dyDescent="0.25">
      <c r="G286" s="9" t="str">
        <f>$A$17</f>
        <v>Negative</v>
      </c>
      <c r="H286" s="10" t="str">
        <f>$B$17</f>
        <v>Female</v>
      </c>
      <c r="I286" s="10" t="str">
        <f>$C$17</f>
        <v>Therapy 3</v>
      </c>
      <c r="J286" s="9">
        <f>$D$17</f>
        <v>56</v>
      </c>
      <c r="K286" s="88">
        <f t="shared" si="115"/>
        <v>0.112</v>
      </c>
      <c r="L286" s="11">
        <f t="shared" si="116"/>
        <v>4.0253516907351496</v>
      </c>
      <c r="M286" s="9">
        <f t="shared" si="121"/>
        <v>62.66</v>
      </c>
      <c r="N286" s="88">
        <f t="shared" si="114"/>
        <v>0.12531999999999999</v>
      </c>
      <c r="O286" s="11">
        <f t="shared" si="117"/>
        <v>4.1377232855240456</v>
      </c>
      <c r="P286" s="112">
        <f t="shared" si="118"/>
        <v>-6.6599999999999966</v>
      </c>
      <c r="Q286" s="11">
        <f t="shared" si="119"/>
        <v>-0.84135452323592419</v>
      </c>
      <c r="R286" s="54">
        <f t="shared" si="120"/>
        <v>-12.585618616356342</v>
      </c>
    </row>
    <row r="287" spans="7:21" x14ac:dyDescent="0.25">
      <c r="R287">
        <f>SUM(R275:R286)</f>
        <v>159.09718607515288</v>
      </c>
    </row>
    <row r="289" spans="7:21" x14ac:dyDescent="0.25">
      <c r="G289" s="1" t="s">
        <v>279</v>
      </c>
    </row>
    <row r="291" spans="7:21" x14ac:dyDescent="0.25">
      <c r="J291" s="777" t="s">
        <v>132</v>
      </c>
      <c r="K291" s="778"/>
      <c r="L291" s="779"/>
      <c r="M291" s="777" t="s">
        <v>222</v>
      </c>
      <c r="N291" s="778"/>
      <c r="O291" s="779"/>
      <c r="P291" s="774" t="s">
        <v>133</v>
      </c>
      <c r="Q291" s="780"/>
    </row>
    <row r="292" spans="7:21" x14ac:dyDescent="0.25">
      <c r="G292" s="95" t="str">
        <f>$A$5</f>
        <v>Cure</v>
      </c>
      <c r="H292" s="82" t="str">
        <f>$B$5</f>
        <v>Gender</v>
      </c>
      <c r="I292" s="82" t="str">
        <f>$C$5</f>
        <v>Therapy</v>
      </c>
      <c r="J292" s="84" t="s">
        <v>220</v>
      </c>
      <c r="K292" s="85" t="s">
        <v>219</v>
      </c>
      <c r="L292" s="86" t="s">
        <v>137</v>
      </c>
      <c r="M292" s="84" t="s">
        <v>221</v>
      </c>
      <c r="N292" s="85" t="s">
        <v>219</v>
      </c>
      <c r="O292" s="86" t="s">
        <v>212</v>
      </c>
      <c r="P292" s="133" t="s">
        <v>118</v>
      </c>
      <c r="Q292" s="135" t="s">
        <v>231</v>
      </c>
      <c r="R292" s="90" t="s">
        <v>73</v>
      </c>
      <c r="T292" s="47" t="s">
        <v>73</v>
      </c>
      <c r="U292" s="94">
        <f>R305</f>
        <v>65.129331533013399</v>
      </c>
    </row>
    <row r="293" spans="7:21" x14ac:dyDescent="0.25">
      <c r="G293" s="6" t="str">
        <f>$A$6</f>
        <v>Positive</v>
      </c>
      <c r="H293" t="str">
        <f>$B$6</f>
        <v>Male</v>
      </c>
      <c r="I293" t="str">
        <f>$C$6</f>
        <v>Therapy 1</v>
      </c>
      <c r="J293" s="6">
        <f>$D$6</f>
        <v>59</v>
      </c>
      <c r="K293" s="87">
        <f>J293/$D$18</f>
        <v>0.11799999999999999</v>
      </c>
      <c r="L293" s="8">
        <f>LN(J293)</f>
        <v>4.0775374439057197</v>
      </c>
      <c r="M293" s="6">
        <f>D72*D82/($B$27*$D$18)</f>
        <v>41.411999999999999</v>
      </c>
      <c r="N293" s="87">
        <f t="shared" ref="N293:N304" si="122">M293/D$44</f>
        <v>8.2823999999999995E-2</v>
      </c>
      <c r="O293" s="8">
        <f>LN(M293)</f>
        <v>3.7235706939038669</v>
      </c>
      <c r="P293" s="132">
        <f>J293-M293</f>
        <v>17.588000000000001</v>
      </c>
      <c r="Q293" s="131">
        <f>P293/SQRT(M293)</f>
        <v>2.7330863571150954</v>
      </c>
      <c r="R293" s="58">
        <f>2*J293*(L293-O293)</f>
        <v>41.768076500218633</v>
      </c>
      <c r="T293" t="s">
        <v>41</v>
      </c>
      <c r="U293" s="58">
        <f>A27*B27*C27-A27-C27+1</f>
        <v>8</v>
      </c>
    </row>
    <row r="294" spans="7:21" x14ac:dyDescent="0.25">
      <c r="G294" s="6" t="str">
        <f>$A$7</f>
        <v>Positive</v>
      </c>
      <c r="H294" t="str">
        <f>$B$7</f>
        <v>Male</v>
      </c>
      <c r="I294" t="str">
        <f>$C$7</f>
        <v>Therapy 2</v>
      </c>
      <c r="J294" s="6">
        <f>$D$7</f>
        <v>55</v>
      </c>
      <c r="K294" s="87">
        <f t="shared" ref="K294:K304" si="123">J294/$D$18</f>
        <v>0.11</v>
      </c>
      <c r="L294" s="8">
        <f t="shared" ref="L294:L304" si="124">LN(J294)</f>
        <v>4.0073331852324712</v>
      </c>
      <c r="M294" s="6">
        <f>D72*D83/($B$27*$D$18)</f>
        <v>44.268000000000001</v>
      </c>
      <c r="N294" s="87">
        <f t="shared" si="122"/>
        <v>8.8536000000000004E-2</v>
      </c>
      <c r="O294" s="8">
        <f t="shared" ref="O294:O304" si="125">LN(M294)</f>
        <v>3.790262068402539</v>
      </c>
      <c r="P294" s="6">
        <f t="shared" ref="P294:P304" si="126">J294-M294</f>
        <v>10.731999999999999</v>
      </c>
      <c r="Q294" s="8">
        <f t="shared" ref="Q294:Q304" si="127">P294/SQRT(M294)</f>
        <v>1.6130049990480522</v>
      </c>
      <c r="R294" s="58">
        <f t="shared" ref="R294:R304" si="128">2*J294*(L294-O294)</f>
        <v>23.877822851292542</v>
      </c>
      <c r="T294" s="24" t="s">
        <v>32</v>
      </c>
      <c r="U294" s="58">
        <v>0.05</v>
      </c>
    </row>
    <row r="295" spans="7:21" x14ac:dyDescent="0.25">
      <c r="G295" s="6" t="str">
        <f>$A$8</f>
        <v>Positive</v>
      </c>
      <c r="H295" t="str">
        <f>$B$8</f>
        <v>Male</v>
      </c>
      <c r="I295" t="str">
        <f>$C$8</f>
        <v>Therapy 3</v>
      </c>
      <c r="J295" s="6">
        <f>$D$8</f>
        <v>107</v>
      </c>
      <c r="K295" s="87">
        <f t="shared" si="123"/>
        <v>0.214</v>
      </c>
      <c r="L295" s="8">
        <f t="shared" si="124"/>
        <v>4.6728288344619058</v>
      </c>
      <c r="M295" s="6">
        <f>D72*D84/($B$27*$D$18)</f>
        <v>92.82</v>
      </c>
      <c r="N295" s="87">
        <f t="shared" si="122"/>
        <v>0.18564</v>
      </c>
      <c r="O295" s="8">
        <f t="shared" si="125"/>
        <v>4.5306621338130295</v>
      </c>
      <c r="P295" s="6">
        <f t="shared" si="126"/>
        <v>14.180000000000007</v>
      </c>
      <c r="Q295" s="8">
        <f t="shared" si="127"/>
        <v>1.4718225373854354</v>
      </c>
      <c r="R295" s="58">
        <f t="shared" si="128"/>
        <v>30.423673938859523</v>
      </c>
      <c r="T295" s="75" t="s">
        <v>48</v>
      </c>
      <c r="U295" s="58">
        <f>CHIDIST(U292,U293)</f>
        <v>4.5500790504720033E-11</v>
      </c>
    </row>
    <row r="296" spans="7:21" x14ac:dyDescent="0.25">
      <c r="G296" s="6" t="str">
        <f>$A$9</f>
        <v>Positive</v>
      </c>
      <c r="H296" t="str">
        <f>$B$9</f>
        <v>Female</v>
      </c>
      <c r="I296" t="str">
        <f>$C$9</f>
        <v>Therapy 1</v>
      </c>
      <c r="J296" s="6">
        <f>$D$9</f>
        <v>32</v>
      </c>
      <c r="K296" s="87">
        <f t="shared" si="123"/>
        <v>6.4000000000000001E-2</v>
      </c>
      <c r="L296" s="8">
        <f t="shared" si="124"/>
        <v>3.4657359027997265</v>
      </c>
      <c r="M296" s="6">
        <f>M293</f>
        <v>41.411999999999999</v>
      </c>
      <c r="N296" s="87">
        <f t="shared" si="122"/>
        <v>8.2823999999999995E-2</v>
      </c>
      <c r="O296" s="8">
        <f t="shared" si="125"/>
        <v>3.7235706939038669</v>
      </c>
      <c r="P296" s="6">
        <f t="shared" si="126"/>
        <v>-9.411999999999999</v>
      </c>
      <c r="Q296" s="8">
        <f t="shared" si="127"/>
        <v>-1.4625772568323445</v>
      </c>
      <c r="R296" s="58">
        <f t="shared" si="128"/>
        <v>-16.50142663066498</v>
      </c>
      <c r="T296" s="47" t="s">
        <v>74</v>
      </c>
      <c r="U296" s="58">
        <f>CHIINV(U294,U293)</f>
        <v>15.507313055865453</v>
      </c>
    </row>
    <row r="297" spans="7:21" x14ac:dyDescent="0.25">
      <c r="G297" s="6" t="str">
        <f>$A$10</f>
        <v>Positive</v>
      </c>
      <c r="H297" t="str">
        <f>$B$10</f>
        <v>Female</v>
      </c>
      <c r="I297" t="str">
        <f>$C$10</f>
        <v>Therapy 2</v>
      </c>
      <c r="J297" s="6">
        <f>$D$10</f>
        <v>24</v>
      </c>
      <c r="K297" s="87">
        <f t="shared" si="123"/>
        <v>4.8000000000000001E-2</v>
      </c>
      <c r="L297" s="8">
        <f t="shared" si="124"/>
        <v>3.1780538303479458</v>
      </c>
      <c r="M297" s="6">
        <f>M294</f>
        <v>44.268000000000001</v>
      </c>
      <c r="N297" s="87">
        <f t="shared" si="122"/>
        <v>8.8536000000000004E-2</v>
      </c>
      <c r="O297" s="8">
        <f t="shared" si="125"/>
        <v>3.790262068402539</v>
      </c>
      <c r="P297" s="6">
        <f t="shared" si="126"/>
        <v>-20.268000000000001</v>
      </c>
      <c r="Q297" s="8">
        <f t="shared" si="127"/>
        <v>-3.0462528252614542</v>
      </c>
      <c r="R297" s="58">
        <f t="shared" si="128"/>
        <v>-29.385995426620475</v>
      </c>
      <c r="T297" s="75" t="s">
        <v>164</v>
      </c>
      <c r="U297" s="53" t="str">
        <f>IF(U295&lt;U294,"yes","no")</f>
        <v>yes</v>
      </c>
    </row>
    <row r="298" spans="7:21" x14ac:dyDescent="0.25">
      <c r="G298" s="6" t="str">
        <f>$A$11</f>
        <v>Positive</v>
      </c>
      <c r="H298" t="str">
        <f>$B$11</f>
        <v>Female</v>
      </c>
      <c r="I298" t="str">
        <f>$C$11</f>
        <v>Therapy 3</v>
      </c>
      <c r="J298" s="6">
        <f>$D$11</f>
        <v>80</v>
      </c>
      <c r="K298" s="87">
        <f t="shared" si="123"/>
        <v>0.16</v>
      </c>
      <c r="L298" s="8">
        <f t="shared" si="124"/>
        <v>4.3820266346738812</v>
      </c>
      <c r="M298" s="6">
        <f>M295</f>
        <v>92.82</v>
      </c>
      <c r="N298" s="87">
        <f t="shared" si="122"/>
        <v>0.18564</v>
      </c>
      <c r="O298" s="8">
        <f t="shared" si="125"/>
        <v>4.5306621338130295</v>
      </c>
      <c r="P298" s="6">
        <f t="shared" si="126"/>
        <v>-12.819999999999993</v>
      </c>
      <c r="Q298" s="8">
        <f t="shared" si="127"/>
        <v>-1.3306604322483262</v>
      </c>
      <c r="R298" s="58">
        <f t="shared" si="128"/>
        <v>-23.781679862263729</v>
      </c>
    </row>
    <row r="299" spans="7:21" x14ac:dyDescent="0.25">
      <c r="G299" s="6" t="str">
        <f>$A$12</f>
        <v>Negative</v>
      </c>
      <c r="H299" t="str">
        <f>$B$12</f>
        <v>Male</v>
      </c>
      <c r="I299" t="str">
        <f>$C$12</f>
        <v>Therapy 1</v>
      </c>
      <c r="J299" s="6">
        <f>$D$12</f>
        <v>9</v>
      </c>
      <c r="K299" s="87">
        <f t="shared" si="123"/>
        <v>1.7999999999999999E-2</v>
      </c>
      <c r="L299" s="8">
        <f t="shared" si="124"/>
        <v>2.1972245773362196</v>
      </c>
      <c r="M299" s="6">
        <f>D73*D82/($B$27*$D$18)</f>
        <v>16.588000000000001</v>
      </c>
      <c r="N299" s="87">
        <f t="shared" si="122"/>
        <v>3.3176000000000004E-2</v>
      </c>
      <c r="O299" s="8">
        <f t="shared" si="125"/>
        <v>2.8086795423841351</v>
      </c>
      <c r="P299" s="6">
        <f t="shared" si="126"/>
        <v>-7.588000000000001</v>
      </c>
      <c r="Q299" s="8">
        <f t="shared" si="127"/>
        <v>-1.8630748740982643</v>
      </c>
      <c r="R299" s="58">
        <f t="shared" si="128"/>
        <v>-11.006189370862479</v>
      </c>
    </row>
    <row r="300" spans="7:21" x14ac:dyDescent="0.25">
      <c r="G300" s="6" t="str">
        <f>$A$13</f>
        <v>Negative</v>
      </c>
      <c r="H300" t="str">
        <f>$B$13</f>
        <v>Male</v>
      </c>
      <c r="I300" t="str">
        <f>$C$13</f>
        <v>Therapy 2</v>
      </c>
      <c r="J300" s="6">
        <f>$D$13</f>
        <v>12</v>
      </c>
      <c r="K300" s="87">
        <f t="shared" si="123"/>
        <v>2.4E-2</v>
      </c>
      <c r="L300" s="8">
        <f t="shared" si="124"/>
        <v>2.4849066497880004</v>
      </c>
      <c r="M300" s="6">
        <f>D73*D83/($B$27*$D$18)</f>
        <v>17.731999999999999</v>
      </c>
      <c r="N300" s="87">
        <f t="shared" si="122"/>
        <v>3.5463999999999996E-2</v>
      </c>
      <c r="O300" s="8">
        <f t="shared" si="125"/>
        <v>2.8753709168828072</v>
      </c>
      <c r="P300" s="6">
        <f t="shared" si="126"/>
        <v>-5.7319999999999993</v>
      </c>
      <c r="Q300" s="8">
        <f t="shared" si="127"/>
        <v>-1.3612168624865759</v>
      </c>
      <c r="R300" s="58">
        <f t="shared" si="128"/>
        <v>-9.3711424102753647</v>
      </c>
    </row>
    <row r="301" spans="7:21" x14ac:dyDescent="0.25">
      <c r="G301" s="6" t="str">
        <f>$A$14</f>
        <v>Negative</v>
      </c>
      <c r="H301" t="str">
        <f>$B$14</f>
        <v>Male</v>
      </c>
      <c r="I301" t="str">
        <f>$C$14</f>
        <v>Therapy 3</v>
      </c>
      <c r="J301" s="6">
        <f>$D$14</f>
        <v>17</v>
      </c>
      <c r="K301" s="87">
        <f t="shared" si="123"/>
        <v>3.4000000000000002E-2</v>
      </c>
      <c r="L301" s="8">
        <f t="shared" si="124"/>
        <v>2.8332133440562162</v>
      </c>
      <c r="M301" s="6">
        <f>D73*D84/($B$27*$D$18)</f>
        <v>37.18</v>
      </c>
      <c r="N301" s="87">
        <f t="shared" si="122"/>
        <v>7.4359999999999996E-2</v>
      </c>
      <c r="O301" s="8">
        <f t="shared" si="125"/>
        <v>3.6157709822932977</v>
      </c>
      <c r="P301" s="6">
        <f t="shared" si="126"/>
        <v>-20.18</v>
      </c>
      <c r="Q301" s="8">
        <f t="shared" si="127"/>
        <v>-3.3095311200432449</v>
      </c>
      <c r="R301" s="58">
        <f t="shared" si="128"/>
        <v>-26.606959700060774</v>
      </c>
    </row>
    <row r="302" spans="7:21" x14ac:dyDescent="0.25">
      <c r="G302" s="6" t="str">
        <f>$A$15</f>
        <v>Negative</v>
      </c>
      <c r="H302" t="str">
        <f>$B$15</f>
        <v>Female</v>
      </c>
      <c r="I302" t="str">
        <f>$C$15</f>
        <v>Therapy 1</v>
      </c>
      <c r="J302" s="6">
        <f>$D$15</f>
        <v>16</v>
      </c>
      <c r="K302" s="87">
        <f t="shared" si="123"/>
        <v>3.2000000000000001E-2</v>
      </c>
      <c r="L302" s="8">
        <f t="shared" si="124"/>
        <v>2.7725887222397811</v>
      </c>
      <c r="M302" s="6">
        <f>M299</f>
        <v>16.588000000000001</v>
      </c>
      <c r="N302" s="87">
        <f t="shared" si="122"/>
        <v>3.3176000000000004E-2</v>
      </c>
      <c r="O302" s="8">
        <f t="shared" si="125"/>
        <v>2.8086795423841351</v>
      </c>
      <c r="P302" s="6">
        <f t="shared" si="126"/>
        <v>-0.58800000000000097</v>
      </c>
      <c r="Q302" s="8">
        <f t="shared" si="127"/>
        <v>-0.14437111570503178</v>
      </c>
      <c r="R302" s="58">
        <f t="shared" si="128"/>
        <v>-1.1549062446193261</v>
      </c>
    </row>
    <row r="303" spans="7:21" x14ac:dyDescent="0.25">
      <c r="G303" s="6" t="str">
        <f>$A$16</f>
        <v>Negative</v>
      </c>
      <c r="H303" t="str">
        <f>$B$16</f>
        <v>Female</v>
      </c>
      <c r="I303" t="str">
        <f>$C$16</f>
        <v>Therapy 2</v>
      </c>
      <c r="J303" s="6">
        <f>$D$16</f>
        <v>33</v>
      </c>
      <c r="K303" s="87">
        <f t="shared" si="123"/>
        <v>6.6000000000000003E-2</v>
      </c>
      <c r="L303" s="8">
        <f t="shared" si="124"/>
        <v>3.4965075614664802</v>
      </c>
      <c r="M303" s="6">
        <f>M300</f>
        <v>17.731999999999999</v>
      </c>
      <c r="N303" s="87">
        <f t="shared" si="122"/>
        <v>3.5463999999999996E-2</v>
      </c>
      <c r="O303" s="8">
        <f t="shared" si="125"/>
        <v>2.8753709168828072</v>
      </c>
      <c r="P303" s="6">
        <f t="shared" si="126"/>
        <v>15.268000000000001</v>
      </c>
      <c r="Q303" s="8">
        <f t="shared" si="127"/>
        <v>3.6257953692332596</v>
      </c>
      <c r="R303" s="58">
        <f t="shared" si="128"/>
        <v>40.995018542522416</v>
      </c>
    </row>
    <row r="304" spans="7:21" x14ac:dyDescent="0.25">
      <c r="G304" s="9" t="str">
        <f>$A$17</f>
        <v>Negative</v>
      </c>
      <c r="H304" s="10" t="str">
        <f>$B$17</f>
        <v>Female</v>
      </c>
      <c r="I304" s="10" t="str">
        <f>$C$17</f>
        <v>Therapy 3</v>
      </c>
      <c r="J304" s="9">
        <f>$D$17</f>
        <v>56</v>
      </c>
      <c r="K304" s="88">
        <f t="shared" si="123"/>
        <v>0.112</v>
      </c>
      <c r="L304" s="11">
        <f t="shared" si="124"/>
        <v>4.0253516907351496</v>
      </c>
      <c r="M304" s="9">
        <f>M301</f>
        <v>37.18</v>
      </c>
      <c r="N304" s="88">
        <f t="shared" si="122"/>
        <v>7.4359999999999996E-2</v>
      </c>
      <c r="O304" s="11">
        <f t="shared" si="125"/>
        <v>3.6157709822932977</v>
      </c>
      <c r="P304" s="112">
        <f t="shared" si="126"/>
        <v>18.82</v>
      </c>
      <c r="Q304" s="11">
        <f t="shared" si="127"/>
        <v>3.0864903706250679</v>
      </c>
      <c r="R304" s="54">
        <f t="shared" si="128"/>
        <v>45.873039345487413</v>
      </c>
    </row>
    <row r="305" spans="7:21" x14ac:dyDescent="0.25">
      <c r="R305">
        <f>SUM(R293:R304)</f>
        <v>65.129331533013399</v>
      </c>
    </row>
    <row r="307" spans="7:21" x14ac:dyDescent="0.25">
      <c r="G307" s="1" t="s">
        <v>224</v>
      </c>
    </row>
    <row r="309" spans="7:21" x14ac:dyDescent="0.25">
      <c r="J309" s="777" t="s">
        <v>132</v>
      </c>
      <c r="K309" s="778"/>
      <c r="L309" s="779"/>
      <c r="M309" s="777" t="s">
        <v>222</v>
      </c>
      <c r="N309" s="778"/>
      <c r="O309" s="779"/>
      <c r="P309" s="774" t="s">
        <v>133</v>
      </c>
      <c r="Q309" s="780"/>
    </row>
    <row r="310" spans="7:21" x14ac:dyDescent="0.25">
      <c r="G310" s="95" t="str">
        <f>$A$5</f>
        <v>Cure</v>
      </c>
      <c r="H310" s="82" t="str">
        <f>$B$5</f>
        <v>Gender</v>
      </c>
      <c r="I310" s="82" t="str">
        <f>$C$5</f>
        <v>Therapy</v>
      </c>
      <c r="J310" s="84" t="s">
        <v>220</v>
      </c>
      <c r="K310" s="85" t="s">
        <v>219</v>
      </c>
      <c r="L310" s="86" t="s">
        <v>137</v>
      </c>
      <c r="M310" s="84" t="s">
        <v>221</v>
      </c>
      <c r="N310" s="85" t="s">
        <v>219</v>
      </c>
      <c r="O310" s="86" t="s">
        <v>212</v>
      </c>
      <c r="P310" s="133" t="s">
        <v>118</v>
      </c>
      <c r="Q310" s="135" t="s">
        <v>231</v>
      </c>
      <c r="R310" s="90" t="s">
        <v>73</v>
      </c>
      <c r="T310" s="47" t="s">
        <v>73</v>
      </c>
      <c r="U310" s="94">
        <f>R323</f>
        <v>233.56671709648069</v>
      </c>
    </row>
    <row r="311" spans="7:21" x14ac:dyDescent="0.25">
      <c r="G311" s="6" t="str">
        <f>$A$6</f>
        <v>Positive</v>
      </c>
      <c r="H311" t="str">
        <f>$B$6</f>
        <v>Male</v>
      </c>
      <c r="I311" t="str">
        <f>$C$6</f>
        <v>Therapy 1</v>
      </c>
      <c r="J311" s="6">
        <f>$D$6</f>
        <v>59</v>
      </c>
      <c r="K311" s="87">
        <f>J311/$D$18</f>
        <v>0.11799999999999999</v>
      </c>
      <c r="L311" s="8">
        <f>LN(J311)</f>
        <v>4.0775374439057197</v>
      </c>
      <c r="M311" s="6">
        <f>D18/(A27*B27*C27)</f>
        <v>41.666666666666664</v>
      </c>
      <c r="N311" s="87">
        <f t="shared" ref="N311:N322" si="129">M311/D$44</f>
        <v>8.3333333333333329E-2</v>
      </c>
      <c r="O311" s="8">
        <f>LN(M311)</f>
        <v>3.7297014486341915</v>
      </c>
      <c r="P311" s="132">
        <f>J311-M311</f>
        <v>17.333333333333336</v>
      </c>
      <c r="Q311" s="131">
        <f>P311/SQRT(M311)</f>
        <v>2.685268453370476</v>
      </c>
      <c r="R311" s="58">
        <f>2*J311*(L311-O311)</f>
        <v>41.044647442040329</v>
      </c>
      <c r="T311" t="s">
        <v>41</v>
      </c>
      <c r="U311" s="58">
        <f>A27*B27*C27-1</f>
        <v>11</v>
      </c>
    </row>
    <row r="312" spans="7:21" x14ac:dyDescent="0.25">
      <c r="G312" s="6" t="str">
        <f>$A$7</f>
        <v>Positive</v>
      </c>
      <c r="H312" t="str">
        <f>$B$7</f>
        <v>Male</v>
      </c>
      <c r="I312" t="str">
        <f>$C$7</f>
        <v>Therapy 2</v>
      </c>
      <c r="J312" s="6">
        <f>$D$7</f>
        <v>55</v>
      </c>
      <c r="K312" s="87">
        <f t="shared" ref="K312:K322" si="130">J312/$D$18</f>
        <v>0.11</v>
      </c>
      <c r="L312" s="8">
        <f t="shared" ref="L312:L322" si="131">LN(J312)</f>
        <v>4.0073331852324712</v>
      </c>
      <c r="M312" s="6">
        <f>M311</f>
        <v>41.666666666666664</v>
      </c>
      <c r="N312" s="87">
        <f t="shared" si="129"/>
        <v>8.3333333333333329E-2</v>
      </c>
      <c r="O312" s="8">
        <f t="shared" ref="O312:O322" si="132">LN(M312)</f>
        <v>3.7297014486341915</v>
      </c>
      <c r="P312" s="6">
        <f t="shared" ref="P312:P322" si="133">J312-M312</f>
        <v>13.333333333333336</v>
      </c>
      <c r="Q312" s="8">
        <f t="shared" ref="Q312:Q322" si="134">P312/SQRT(M312)</f>
        <v>2.0655911179772897</v>
      </c>
      <c r="R312" s="58">
        <f t="shared" ref="R312:R322" si="135">2*J312*(L312-O312)</f>
        <v>30.539491025810761</v>
      </c>
      <c r="T312" s="24" t="s">
        <v>32</v>
      </c>
      <c r="U312" s="58">
        <v>0.05</v>
      </c>
    </row>
    <row r="313" spans="7:21" x14ac:dyDescent="0.25">
      <c r="G313" s="6" t="str">
        <f>$A$8</f>
        <v>Positive</v>
      </c>
      <c r="H313" t="str">
        <f>$B$8</f>
        <v>Male</v>
      </c>
      <c r="I313" t="str">
        <f>$C$8</f>
        <v>Therapy 3</v>
      </c>
      <c r="J313" s="6">
        <f>$D$8</f>
        <v>107</v>
      </c>
      <c r="K313" s="87">
        <f t="shared" si="130"/>
        <v>0.214</v>
      </c>
      <c r="L313" s="8">
        <f t="shared" si="131"/>
        <v>4.6728288344619058</v>
      </c>
      <c r="M313" s="6">
        <f t="shared" ref="M313:M322" si="136">M312</f>
        <v>41.666666666666664</v>
      </c>
      <c r="N313" s="87">
        <f t="shared" si="129"/>
        <v>8.3333333333333329E-2</v>
      </c>
      <c r="O313" s="8">
        <f t="shared" si="132"/>
        <v>3.7297014486341915</v>
      </c>
      <c r="P313" s="6">
        <f t="shared" si="133"/>
        <v>65.333333333333343</v>
      </c>
      <c r="Q313" s="8">
        <f t="shared" si="134"/>
        <v>10.121396478088718</v>
      </c>
      <c r="R313" s="58">
        <f t="shared" si="135"/>
        <v>201.82926056713086</v>
      </c>
      <c r="T313" s="75" t="s">
        <v>48</v>
      </c>
      <c r="U313" s="58">
        <f>CHIDIST(U310,U311)</f>
        <v>7.6366473422312161E-44</v>
      </c>
    </row>
    <row r="314" spans="7:21" x14ac:dyDescent="0.25">
      <c r="G314" s="6" t="str">
        <f>$A$9</f>
        <v>Positive</v>
      </c>
      <c r="H314" t="str">
        <f>$B$9</f>
        <v>Female</v>
      </c>
      <c r="I314" t="str">
        <f>$C$9</f>
        <v>Therapy 1</v>
      </c>
      <c r="J314" s="6">
        <f>$D$9</f>
        <v>32</v>
      </c>
      <c r="K314" s="87">
        <f t="shared" si="130"/>
        <v>6.4000000000000001E-2</v>
      </c>
      <c r="L314" s="8">
        <f t="shared" si="131"/>
        <v>3.4657359027997265</v>
      </c>
      <c r="M314" s="6">
        <f t="shared" si="136"/>
        <v>41.666666666666664</v>
      </c>
      <c r="N314" s="87">
        <f t="shared" si="129"/>
        <v>8.3333333333333329E-2</v>
      </c>
      <c r="O314" s="8">
        <f t="shared" si="132"/>
        <v>3.7297014486341915</v>
      </c>
      <c r="P314" s="6">
        <f t="shared" si="133"/>
        <v>-9.6666666666666643</v>
      </c>
      <c r="Q314" s="8">
        <f t="shared" si="134"/>
        <v>-1.4975535605335342</v>
      </c>
      <c r="R314" s="58">
        <f t="shared" si="135"/>
        <v>-16.893794933405758</v>
      </c>
      <c r="T314" s="47" t="s">
        <v>74</v>
      </c>
      <c r="U314" s="58">
        <f>CHIINV(U312,U311)</f>
        <v>19.675137572682498</v>
      </c>
    </row>
    <row r="315" spans="7:21" x14ac:dyDescent="0.25">
      <c r="G315" s="6" t="str">
        <f>$A$10</f>
        <v>Positive</v>
      </c>
      <c r="H315" t="str">
        <f>$B$10</f>
        <v>Female</v>
      </c>
      <c r="I315" t="str">
        <f>$C$10</f>
        <v>Therapy 2</v>
      </c>
      <c r="J315" s="6">
        <f>$D$10</f>
        <v>24</v>
      </c>
      <c r="K315" s="87">
        <f t="shared" si="130"/>
        <v>4.8000000000000001E-2</v>
      </c>
      <c r="L315" s="8">
        <f t="shared" si="131"/>
        <v>3.1780538303479458</v>
      </c>
      <c r="M315" s="6">
        <f t="shared" si="136"/>
        <v>41.666666666666664</v>
      </c>
      <c r="N315" s="87">
        <f t="shared" si="129"/>
        <v>8.3333333333333329E-2</v>
      </c>
      <c r="O315" s="8">
        <f t="shared" si="132"/>
        <v>3.7297014486341915</v>
      </c>
      <c r="P315" s="6">
        <f t="shared" si="133"/>
        <v>-17.666666666666664</v>
      </c>
      <c r="Q315" s="8">
        <f t="shared" si="134"/>
        <v>-2.7369082313199078</v>
      </c>
      <c r="R315" s="58">
        <f t="shared" si="135"/>
        <v>-26.479085677739796</v>
      </c>
      <c r="T315" s="75" t="s">
        <v>164</v>
      </c>
      <c r="U315" s="53" t="str">
        <f>IF(U313&lt;U312,"yes","no")</f>
        <v>yes</v>
      </c>
    </row>
    <row r="316" spans="7:21" x14ac:dyDescent="0.25">
      <c r="G316" s="6" t="str">
        <f>$A$11</f>
        <v>Positive</v>
      </c>
      <c r="H316" t="str">
        <f>$B$11</f>
        <v>Female</v>
      </c>
      <c r="I316" t="str">
        <f>$C$11</f>
        <v>Therapy 3</v>
      </c>
      <c r="J316" s="6">
        <f>$D$11</f>
        <v>80</v>
      </c>
      <c r="K316" s="87">
        <f t="shared" si="130"/>
        <v>0.16</v>
      </c>
      <c r="L316" s="8">
        <f t="shared" si="131"/>
        <v>4.3820266346738812</v>
      </c>
      <c r="M316" s="6">
        <f t="shared" si="136"/>
        <v>41.666666666666664</v>
      </c>
      <c r="N316" s="87">
        <f t="shared" si="129"/>
        <v>8.3333333333333329E-2</v>
      </c>
      <c r="O316" s="8">
        <f t="shared" si="132"/>
        <v>3.7297014486341915</v>
      </c>
      <c r="P316" s="6">
        <f t="shared" si="133"/>
        <v>38.333333333333336</v>
      </c>
      <c r="Q316" s="8">
        <f t="shared" si="134"/>
        <v>5.9385744641847067</v>
      </c>
      <c r="R316" s="58">
        <f t="shared" si="135"/>
        <v>104.37202976635035</v>
      </c>
    </row>
    <row r="317" spans="7:21" x14ac:dyDescent="0.25">
      <c r="G317" s="6" t="str">
        <f>$A$12</f>
        <v>Negative</v>
      </c>
      <c r="H317" t="str">
        <f>$B$12</f>
        <v>Male</v>
      </c>
      <c r="I317" t="str">
        <f>$C$12</f>
        <v>Therapy 1</v>
      </c>
      <c r="J317" s="6">
        <f>$D$12</f>
        <v>9</v>
      </c>
      <c r="K317" s="87">
        <f t="shared" si="130"/>
        <v>1.7999999999999999E-2</v>
      </c>
      <c r="L317" s="8">
        <f t="shared" si="131"/>
        <v>2.1972245773362196</v>
      </c>
      <c r="M317" s="6">
        <f t="shared" si="136"/>
        <v>41.666666666666664</v>
      </c>
      <c r="N317" s="87">
        <f t="shared" si="129"/>
        <v>8.3333333333333329E-2</v>
      </c>
      <c r="O317" s="8">
        <f t="shared" si="132"/>
        <v>3.7297014486341915</v>
      </c>
      <c r="P317" s="6">
        <f t="shared" si="133"/>
        <v>-32.666666666666664</v>
      </c>
      <c r="Q317" s="8">
        <f t="shared" si="134"/>
        <v>-5.060698239044358</v>
      </c>
      <c r="R317" s="58">
        <f t="shared" si="135"/>
        <v>-27.584583683363494</v>
      </c>
    </row>
    <row r="318" spans="7:21" x14ac:dyDescent="0.25">
      <c r="G318" s="6" t="str">
        <f>$A$13</f>
        <v>Negative</v>
      </c>
      <c r="H318" t="str">
        <f>$B$13</f>
        <v>Male</v>
      </c>
      <c r="I318" t="str">
        <f>$C$13</f>
        <v>Therapy 2</v>
      </c>
      <c r="J318" s="6">
        <f>$D$13</f>
        <v>12</v>
      </c>
      <c r="K318" s="87">
        <f t="shared" si="130"/>
        <v>2.4E-2</v>
      </c>
      <c r="L318" s="8">
        <f t="shared" si="131"/>
        <v>2.4849066497880004</v>
      </c>
      <c r="M318" s="6">
        <f t="shared" si="136"/>
        <v>41.666666666666664</v>
      </c>
      <c r="N318" s="87">
        <f t="shared" si="129"/>
        <v>8.3333333333333329E-2</v>
      </c>
      <c r="O318" s="8">
        <f t="shared" si="132"/>
        <v>3.7297014486341915</v>
      </c>
      <c r="P318" s="6">
        <f t="shared" si="133"/>
        <v>-29.666666666666664</v>
      </c>
      <c r="Q318" s="8">
        <f t="shared" si="134"/>
        <v>-4.5959402374994678</v>
      </c>
      <c r="R318" s="58">
        <f t="shared" si="135"/>
        <v>-29.875075172308588</v>
      </c>
    </row>
    <row r="319" spans="7:21" x14ac:dyDescent="0.25">
      <c r="G319" s="6" t="str">
        <f>$A$14</f>
        <v>Negative</v>
      </c>
      <c r="H319" t="str">
        <f>$B$14</f>
        <v>Male</v>
      </c>
      <c r="I319" t="str">
        <f>$C$14</f>
        <v>Therapy 3</v>
      </c>
      <c r="J319" s="6">
        <f>$D$14</f>
        <v>17</v>
      </c>
      <c r="K319" s="87">
        <f t="shared" si="130"/>
        <v>3.4000000000000002E-2</v>
      </c>
      <c r="L319" s="8">
        <f t="shared" si="131"/>
        <v>2.8332133440562162</v>
      </c>
      <c r="M319" s="6">
        <f t="shared" si="136"/>
        <v>41.666666666666664</v>
      </c>
      <c r="N319" s="87">
        <f t="shared" si="129"/>
        <v>8.3333333333333329E-2</v>
      </c>
      <c r="O319" s="8">
        <f t="shared" si="132"/>
        <v>3.7297014486341915</v>
      </c>
      <c r="P319" s="6">
        <f t="shared" si="133"/>
        <v>-24.666666666666664</v>
      </c>
      <c r="Q319" s="8">
        <f t="shared" si="134"/>
        <v>-3.8213435682579844</v>
      </c>
      <c r="R319" s="58">
        <f t="shared" si="135"/>
        <v>-30.480595555651163</v>
      </c>
    </row>
    <row r="320" spans="7:21" x14ac:dyDescent="0.25">
      <c r="G320" s="6" t="str">
        <f>$A$15</f>
        <v>Negative</v>
      </c>
      <c r="H320" t="str">
        <f>$B$15</f>
        <v>Female</v>
      </c>
      <c r="I320" t="str">
        <f>$C$15</f>
        <v>Therapy 1</v>
      </c>
      <c r="J320" s="6">
        <f>$D$15</f>
        <v>16</v>
      </c>
      <c r="K320" s="87">
        <f t="shared" si="130"/>
        <v>3.2000000000000001E-2</v>
      </c>
      <c r="L320" s="8">
        <f t="shared" si="131"/>
        <v>2.7725887222397811</v>
      </c>
      <c r="M320" s="6">
        <f t="shared" si="136"/>
        <v>41.666666666666664</v>
      </c>
      <c r="N320" s="87">
        <f t="shared" si="129"/>
        <v>8.3333333333333329E-2</v>
      </c>
      <c r="O320" s="8">
        <f t="shared" si="132"/>
        <v>3.7297014486341915</v>
      </c>
      <c r="P320" s="6">
        <f t="shared" si="133"/>
        <v>-25.666666666666664</v>
      </c>
      <c r="Q320" s="8">
        <f t="shared" si="134"/>
        <v>-3.976262902106281</v>
      </c>
      <c r="R320" s="58">
        <f t="shared" si="135"/>
        <v>-30.627607244621132</v>
      </c>
    </row>
    <row r="321" spans="7:25" x14ac:dyDescent="0.25">
      <c r="G321" s="6" t="str">
        <f>$A$16</f>
        <v>Negative</v>
      </c>
      <c r="H321" t="str">
        <f>$B$16</f>
        <v>Female</v>
      </c>
      <c r="I321" t="str">
        <f>$C$16</f>
        <v>Therapy 2</v>
      </c>
      <c r="J321" s="6">
        <f>$D$16</f>
        <v>33</v>
      </c>
      <c r="K321" s="87">
        <f t="shared" si="130"/>
        <v>6.6000000000000003E-2</v>
      </c>
      <c r="L321" s="8">
        <f t="shared" si="131"/>
        <v>3.4965075614664802</v>
      </c>
      <c r="M321" s="6">
        <f t="shared" si="136"/>
        <v>41.666666666666664</v>
      </c>
      <c r="N321" s="87">
        <f t="shared" si="129"/>
        <v>8.3333333333333329E-2</v>
      </c>
      <c r="O321" s="8">
        <f t="shared" si="132"/>
        <v>3.7297014486341915</v>
      </c>
      <c r="P321" s="6">
        <f t="shared" si="133"/>
        <v>-8.6666666666666643</v>
      </c>
      <c r="Q321" s="8">
        <f t="shared" si="134"/>
        <v>-1.3426342266852376</v>
      </c>
      <c r="R321" s="58">
        <f t="shared" si="135"/>
        <v>-15.390796553068945</v>
      </c>
    </row>
    <row r="322" spans="7:25" x14ac:dyDescent="0.25">
      <c r="G322" s="9" t="str">
        <f>$A$17</f>
        <v>Negative</v>
      </c>
      <c r="H322" s="10" t="str">
        <f>$B$17</f>
        <v>Female</v>
      </c>
      <c r="I322" s="10" t="str">
        <f>$C$17</f>
        <v>Therapy 3</v>
      </c>
      <c r="J322" s="9">
        <f>$D$17</f>
        <v>56</v>
      </c>
      <c r="K322" s="88">
        <f t="shared" si="130"/>
        <v>0.112</v>
      </c>
      <c r="L322" s="11">
        <f t="shared" si="131"/>
        <v>4.0253516907351496</v>
      </c>
      <c r="M322" s="9">
        <f t="shared" si="136"/>
        <v>41.666666666666664</v>
      </c>
      <c r="N322" s="88">
        <f t="shared" si="129"/>
        <v>8.3333333333333329E-2</v>
      </c>
      <c r="O322" s="11">
        <f t="shared" si="132"/>
        <v>3.7297014486341915</v>
      </c>
      <c r="P322" s="112">
        <f t="shared" si="133"/>
        <v>14.333333333333336</v>
      </c>
      <c r="Q322" s="11">
        <f t="shared" si="134"/>
        <v>2.2205104518255863</v>
      </c>
      <c r="R322" s="54">
        <f t="shared" si="135"/>
        <v>33.112827115307311</v>
      </c>
    </row>
    <row r="323" spans="7:25" x14ac:dyDescent="0.25">
      <c r="R323">
        <f>SUM(R311:R322)</f>
        <v>233.56671709648069</v>
      </c>
    </row>
    <row r="325" spans="7:25" x14ac:dyDescent="0.25">
      <c r="G325" s="1" t="s">
        <v>280</v>
      </c>
    </row>
    <row r="327" spans="7:25" x14ac:dyDescent="0.25">
      <c r="J327" s="777" t="s">
        <v>132</v>
      </c>
      <c r="K327" s="778"/>
      <c r="L327" s="779"/>
      <c r="M327" s="777" t="s">
        <v>222</v>
      </c>
      <c r="N327" s="778"/>
      <c r="O327" s="779"/>
      <c r="P327" s="774" t="s">
        <v>133</v>
      </c>
      <c r="Q327" s="780"/>
    </row>
    <row r="328" spans="7:25" x14ac:dyDescent="0.25">
      <c r="G328" s="95" t="str">
        <f>$A$5</f>
        <v>Cure</v>
      </c>
      <c r="H328" s="82" t="str">
        <f>$B$5</f>
        <v>Gender</v>
      </c>
      <c r="I328" s="82" t="str">
        <f>$C$5</f>
        <v>Therapy</v>
      </c>
      <c r="J328" s="84" t="s">
        <v>220</v>
      </c>
      <c r="K328" s="85" t="s">
        <v>219</v>
      </c>
      <c r="L328" s="86" t="s">
        <v>137</v>
      </c>
      <c r="M328" s="84" t="s">
        <v>221</v>
      </c>
      <c r="N328" s="85" t="s">
        <v>219</v>
      </c>
      <c r="O328" s="86" t="s">
        <v>212</v>
      </c>
      <c r="P328" s="133" t="s">
        <v>118</v>
      </c>
      <c r="Q328" s="135" t="s">
        <v>231</v>
      </c>
      <c r="R328" s="90" t="s">
        <v>73</v>
      </c>
      <c r="T328" s="47" t="s">
        <v>73</v>
      </c>
      <c r="U328" s="94">
        <f>R341</f>
        <v>1.1104339218748036</v>
      </c>
      <c r="W328" s="101">
        <f>'Log Lin 2.4'!J6</f>
        <v>60.468941219727789</v>
      </c>
      <c r="X328" s="127">
        <f>'Log Lin 2.4'!K6</f>
        <v>53.109416189162133</v>
      </c>
      <c r="Y328" s="122">
        <f>'Log Lin 2.4'!L6</f>
        <v>107.42164258226687</v>
      </c>
    </row>
    <row r="329" spans="7:25" x14ac:dyDescent="0.25">
      <c r="G329" s="6" t="str">
        <f>$A$6</f>
        <v>Positive</v>
      </c>
      <c r="H329" t="str">
        <f>$B$6</f>
        <v>Male</v>
      </c>
      <c r="I329" t="str">
        <f>$C$6</f>
        <v>Therapy 1</v>
      </c>
      <c r="J329" s="6">
        <f>$D$6</f>
        <v>59</v>
      </c>
      <c r="K329" s="87">
        <f>J329/$D$18</f>
        <v>0.11799999999999999</v>
      </c>
      <c r="L329" s="8">
        <f>LN(J329)</f>
        <v>4.0775374439057197</v>
      </c>
      <c r="M329" s="6">
        <f>W328</f>
        <v>60.468941219727789</v>
      </c>
      <c r="N329" s="87">
        <f t="shared" ref="N329:N340" si="137">M329/D$44</f>
        <v>0.12093788243945558</v>
      </c>
      <c r="O329" s="8">
        <f>LN(M329)</f>
        <v>4.1021298649492275</v>
      </c>
      <c r="P329" s="132">
        <f>J329-M329</f>
        <v>-1.4689412197277889</v>
      </c>
      <c r="Q329" s="131">
        <f>P329/SQRT(M329)</f>
        <v>-0.18890273049201523</v>
      </c>
      <c r="R329" s="58">
        <f>2*J329*(L329-O329)</f>
        <v>-2.9019056831339185</v>
      </c>
      <c r="T329" t="s">
        <v>41</v>
      </c>
      <c r="U329" s="58">
        <f>(A27-1)*(B27-1)*(C27-1)</f>
        <v>2</v>
      </c>
      <c r="W329" s="6">
        <f>'Log Lin 2.4'!J7</f>
        <v>30.531058777114517</v>
      </c>
      <c r="X329" s="7">
        <f>'Log Lin 2.4'!K7</f>
        <v>25.890583824262364</v>
      </c>
      <c r="Y329" s="8">
        <f>'Log Lin 2.4'!L7</f>
        <v>79.578357410410149</v>
      </c>
    </row>
    <row r="330" spans="7:25" x14ac:dyDescent="0.25">
      <c r="G330" s="6" t="str">
        <f>$A$7</f>
        <v>Positive</v>
      </c>
      <c r="H330" t="str">
        <f>$B$7</f>
        <v>Male</v>
      </c>
      <c r="I330" t="str">
        <f>$C$7</f>
        <v>Therapy 2</v>
      </c>
      <c r="J330" s="6">
        <f>$D$7</f>
        <v>55</v>
      </c>
      <c r="K330" s="87">
        <f t="shared" ref="K330:K340" si="138">J330/$D$18</f>
        <v>0.11</v>
      </c>
      <c r="L330" s="8">
        <f t="shared" ref="L330:L340" si="139">LN(J330)</f>
        <v>4.0073331852324712</v>
      </c>
      <c r="M330" s="6">
        <f>X328</f>
        <v>53.109416189162133</v>
      </c>
      <c r="N330" s="87">
        <f t="shared" si="137"/>
        <v>0.10621883237832426</v>
      </c>
      <c r="O330" s="8">
        <f t="shared" ref="O330:O340" si="140">LN(M330)</f>
        <v>3.972354241889652</v>
      </c>
      <c r="P330" s="6">
        <f t="shared" ref="P330:P340" si="141">J330-M330</f>
        <v>1.8905838108378674</v>
      </c>
      <c r="Q330" s="8">
        <f t="shared" ref="Q330:Q340" si="142">P330/SQRT(M330)</f>
        <v>0.25942401173339852</v>
      </c>
      <c r="R330" s="58">
        <f t="shared" ref="R330:R340" si="143">2*J330*(L330-O330)</f>
        <v>3.8476837677101061</v>
      </c>
      <c r="T330" s="24" t="s">
        <v>32</v>
      </c>
      <c r="U330" s="58">
        <v>0.05</v>
      </c>
      <c r="W330" s="6">
        <f>'Log Lin 2.4'!J8</f>
        <v>7.5310587802722173</v>
      </c>
      <c r="X330" s="7">
        <f>'Log Lin 2.4'!K8</f>
        <v>13.890583810837864</v>
      </c>
      <c r="Y330" s="8">
        <f>'Log Lin 2.4'!L8</f>
        <v>16.57835741773313</v>
      </c>
    </row>
    <row r="331" spans="7:25" x14ac:dyDescent="0.25">
      <c r="G331" s="6" t="str">
        <f>$A$8</f>
        <v>Positive</v>
      </c>
      <c r="H331" t="str">
        <f>$B$8</f>
        <v>Male</v>
      </c>
      <c r="I331" t="str">
        <f>$C$8</f>
        <v>Therapy 3</v>
      </c>
      <c r="J331" s="6">
        <f>$D$8</f>
        <v>107</v>
      </c>
      <c r="K331" s="87">
        <f t="shared" si="138"/>
        <v>0.214</v>
      </c>
      <c r="L331" s="8">
        <f t="shared" si="139"/>
        <v>4.6728288344619058</v>
      </c>
      <c r="M331" s="6">
        <f>Y328</f>
        <v>107.42164258226687</v>
      </c>
      <c r="N331" s="87">
        <f t="shared" si="137"/>
        <v>0.21484328516453374</v>
      </c>
      <c r="O331" s="8">
        <f t="shared" si="140"/>
        <v>4.6767616755749533</v>
      </c>
      <c r="P331" s="6">
        <f t="shared" si="141"/>
        <v>-0.42164258226686968</v>
      </c>
      <c r="Q331" s="8">
        <f t="shared" si="142"/>
        <v>-4.0681651020757006E-2</v>
      </c>
      <c r="R331" s="58">
        <f t="shared" si="143"/>
        <v>-0.84162799819216083</v>
      </c>
      <c r="T331" s="75" t="s">
        <v>48</v>
      </c>
      <c r="U331" s="58">
        <f>CHIDIST(U328,U329)</f>
        <v>0.57394772345091205</v>
      </c>
      <c r="W331" s="112">
        <f>'Log Lin 2.4'!J9</f>
        <v>17.468941222885476</v>
      </c>
      <c r="X331" s="10">
        <f>'Log Lin 2.4'!K9</f>
        <v>31.109416175737632</v>
      </c>
      <c r="Y331" s="120">
        <f>'Log Lin 2.4'!L9</f>
        <v>56.421642589589844</v>
      </c>
    </row>
    <row r="332" spans="7:25" x14ac:dyDescent="0.25">
      <c r="G332" s="6" t="str">
        <f>$A$9</f>
        <v>Positive</v>
      </c>
      <c r="H332" t="str">
        <f>$B$9</f>
        <v>Female</v>
      </c>
      <c r="I332" t="str">
        <f>$C$9</f>
        <v>Therapy 1</v>
      </c>
      <c r="J332" s="6">
        <f>$D$9</f>
        <v>32</v>
      </c>
      <c r="K332" s="87">
        <f t="shared" si="138"/>
        <v>6.4000000000000001E-2</v>
      </c>
      <c r="L332" s="8">
        <f t="shared" si="139"/>
        <v>3.4657359027997265</v>
      </c>
      <c r="M332" s="6">
        <f>W329</f>
        <v>30.531058777114517</v>
      </c>
      <c r="N332" s="87">
        <f t="shared" si="137"/>
        <v>6.106211755422903E-2</v>
      </c>
      <c r="O332" s="8">
        <f t="shared" si="140"/>
        <v>3.4187444860378382</v>
      </c>
      <c r="P332" s="6">
        <f t="shared" si="141"/>
        <v>1.4689412228854835</v>
      </c>
      <c r="Q332" s="8">
        <f t="shared" si="142"/>
        <v>0.26584805418548402</v>
      </c>
      <c r="R332" s="58">
        <f t="shared" si="143"/>
        <v>3.0074506727608536</v>
      </c>
      <c r="T332" s="47" t="s">
        <v>74</v>
      </c>
      <c r="U332" s="58">
        <f>CHIINV(U330,U329)</f>
        <v>5.9914645471079817</v>
      </c>
    </row>
    <row r="333" spans="7:25" x14ac:dyDescent="0.25">
      <c r="G333" s="6" t="str">
        <f>$A$10</f>
        <v>Positive</v>
      </c>
      <c r="H333" t="str">
        <f>$B$10</f>
        <v>Female</v>
      </c>
      <c r="I333" t="str">
        <f>$C$10</f>
        <v>Therapy 2</v>
      </c>
      <c r="J333" s="6">
        <f>$D$10</f>
        <v>24</v>
      </c>
      <c r="K333" s="87">
        <f t="shared" si="138"/>
        <v>4.8000000000000001E-2</v>
      </c>
      <c r="L333" s="8">
        <f t="shared" si="139"/>
        <v>3.1780538303479458</v>
      </c>
      <c r="M333" s="6">
        <f>X329</f>
        <v>25.890583824262364</v>
      </c>
      <c r="N333" s="87">
        <f t="shared" si="137"/>
        <v>5.178116764852473E-2</v>
      </c>
      <c r="O333" s="8">
        <f t="shared" si="140"/>
        <v>3.2538793436931406</v>
      </c>
      <c r="P333" s="6">
        <f t="shared" si="141"/>
        <v>-1.8905838242623645</v>
      </c>
      <c r="Q333" s="8">
        <f t="shared" si="142"/>
        <v>-0.37155663060278299</v>
      </c>
      <c r="R333" s="58">
        <f t="shared" si="143"/>
        <v>-3.6396246405693518</v>
      </c>
      <c r="T333" s="75" t="s">
        <v>164</v>
      </c>
      <c r="U333" s="53" t="str">
        <f>IF(U331&lt;U330,"yes","no")</f>
        <v>no</v>
      </c>
    </row>
    <row r="334" spans="7:25" x14ac:dyDescent="0.25">
      <c r="G334" s="6" t="str">
        <f>$A$11</f>
        <v>Positive</v>
      </c>
      <c r="H334" t="str">
        <f>$B$11</f>
        <v>Female</v>
      </c>
      <c r="I334" t="str">
        <f>$C$11</f>
        <v>Therapy 3</v>
      </c>
      <c r="J334" s="6">
        <f>$D$11</f>
        <v>80</v>
      </c>
      <c r="K334" s="87">
        <f t="shared" si="138"/>
        <v>0.16</v>
      </c>
      <c r="L334" s="8">
        <f t="shared" si="139"/>
        <v>4.3820266346738812</v>
      </c>
      <c r="M334" s="6">
        <f>Y329</f>
        <v>79.578357410410149</v>
      </c>
      <c r="N334" s="87">
        <f t="shared" si="137"/>
        <v>0.15915671482082031</v>
      </c>
      <c r="O334" s="8">
        <f t="shared" si="140"/>
        <v>4.3767421640520343</v>
      </c>
      <c r="P334" s="6">
        <f t="shared" si="141"/>
        <v>0.42164258958985101</v>
      </c>
      <c r="Q334" s="8">
        <f t="shared" si="142"/>
        <v>4.7265797139122663E-2</v>
      </c>
      <c r="R334" s="58">
        <f t="shared" si="143"/>
        <v>0.84551529949550286</v>
      </c>
    </row>
    <row r="335" spans="7:25" x14ac:dyDescent="0.25">
      <c r="G335" s="6" t="str">
        <f>$A$12</f>
        <v>Negative</v>
      </c>
      <c r="H335" t="str">
        <f>$B$12</f>
        <v>Male</v>
      </c>
      <c r="I335" t="str">
        <f>$C$12</f>
        <v>Therapy 1</v>
      </c>
      <c r="J335" s="6">
        <f>$D$12</f>
        <v>9</v>
      </c>
      <c r="K335" s="87">
        <f t="shared" si="138"/>
        <v>1.7999999999999999E-2</v>
      </c>
      <c r="L335" s="8">
        <f t="shared" si="139"/>
        <v>2.1972245773362196</v>
      </c>
      <c r="M335" s="6">
        <f>W330</f>
        <v>7.5310587802722173</v>
      </c>
      <c r="N335" s="87">
        <f t="shared" si="137"/>
        <v>1.5062117560544435E-2</v>
      </c>
      <c r="O335" s="8">
        <f t="shared" si="140"/>
        <v>2.0190356401972687</v>
      </c>
      <c r="P335" s="6">
        <f t="shared" si="141"/>
        <v>1.4689412197277827</v>
      </c>
      <c r="Q335" s="8">
        <f t="shared" si="142"/>
        <v>0.535274308398071</v>
      </c>
      <c r="R335" s="58">
        <f t="shared" si="143"/>
        <v>3.2074008685011162</v>
      </c>
    </row>
    <row r="336" spans="7:25" x14ac:dyDescent="0.25">
      <c r="G336" s="6" t="str">
        <f>$A$13</f>
        <v>Negative</v>
      </c>
      <c r="H336" t="str">
        <f>$B$13</f>
        <v>Male</v>
      </c>
      <c r="I336" t="str">
        <f>$C$13</f>
        <v>Therapy 2</v>
      </c>
      <c r="J336" s="6">
        <f>$D$13</f>
        <v>12</v>
      </c>
      <c r="K336" s="87">
        <f t="shared" si="138"/>
        <v>2.4E-2</v>
      </c>
      <c r="L336" s="8">
        <f t="shared" si="139"/>
        <v>2.4849066497880004</v>
      </c>
      <c r="M336" s="6">
        <f>X330</f>
        <v>13.890583810837864</v>
      </c>
      <c r="N336" s="87">
        <f t="shared" si="137"/>
        <v>2.7781167621675727E-2</v>
      </c>
      <c r="O336" s="8">
        <f t="shared" si="140"/>
        <v>2.6312111869008188</v>
      </c>
      <c r="P336" s="6">
        <f t="shared" si="141"/>
        <v>-1.8905838108378639</v>
      </c>
      <c r="Q336" s="8">
        <f t="shared" si="142"/>
        <v>-0.50726591918647645</v>
      </c>
      <c r="R336" s="58">
        <f t="shared" si="143"/>
        <v>-3.5113088907076424</v>
      </c>
    </row>
    <row r="337" spans="7:18" x14ac:dyDescent="0.25">
      <c r="G337" s="6" t="str">
        <f>$A$14</f>
        <v>Negative</v>
      </c>
      <c r="H337" t="str">
        <f>$B$14</f>
        <v>Male</v>
      </c>
      <c r="I337" t="str">
        <f>$C$14</f>
        <v>Therapy 3</v>
      </c>
      <c r="J337" s="6">
        <f>$D$14</f>
        <v>17</v>
      </c>
      <c r="K337" s="87">
        <f t="shared" si="138"/>
        <v>3.4000000000000002E-2</v>
      </c>
      <c r="L337" s="8">
        <f t="shared" si="139"/>
        <v>2.8332133440562162</v>
      </c>
      <c r="M337" s="6">
        <f>Y330</f>
        <v>16.57835741773313</v>
      </c>
      <c r="N337" s="87">
        <f t="shared" si="137"/>
        <v>3.3156714835466262E-2</v>
      </c>
      <c r="O337" s="8">
        <f t="shared" si="140"/>
        <v>2.8080980746988473</v>
      </c>
      <c r="P337" s="6">
        <f t="shared" si="141"/>
        <v>0.42164258226686968</v>
      </c>
      <c r="Q337" s="8">
        <f t="shared" si="142"/>
        <v>0.10355563001304159</v>
      </c>
      <c r="R337" s="58">
        <f t="shared" si="143"/>
        <v>0.85391915815054098</v>
      </c>
    </row>
    <row r="338" spans="7:18" x14ac:dyDescent="0.25">
      <c r="G338" s="6" t="str">
        <f>$A$15</f>
        <v>Negative</v>
      </c>
      <c r="H338" t="str">
        <f>$B$15</f>
        <v>Female</v>
      </c>
      <c r="I338" t="str">
        <f>$C$15</f>
        <v>Therapy 1</v>
      </c>
      <c r="J338" s="6">
        <f>$D$15</f>
        <v>16</v>
      </c>
      <c r="K338" s="87">
        <f t="shared" si="138"/>
        <v>3.2000000000000001E-2</v>
      </c>
      <c r="L338" s="8">
        <f t="shared" si="139"/>
        <v>2.7725887222397811</v>
      </c>
      <c r="M338" s="6">
        <f>W331</f>
        <v>17.468941222885476</v>
      </c>
      <c r="N338" s="87">
        <f t="shared" si="137"/>
        <v>3.4937882445770951E-2</v>
      </c>
      <c r="O338" s="8">
        <f t="shared" si="140"/>
        <v>2.8604245168649323</v>
      </c>
      <c r="P338" s="6">
        <f t="shared" si="141"/>
        <v>-1.4689412228854763</v>
      </c>
      <c r="Q338" s="8">
        <f t="shared" si="142"/>
        <v>-0.35145613344243143</v>
      </c>
      <c r="R338" s="58">
        <f t="shared" si="143"/>
        <v>-2.8107454280048358</v>
      </c>
    </row>
    <row r="339" spans="7:18" x14ac:dyDescent="0.25">
      <c r="G339" s="6" t="str">
        <f>$A$16</f>
        <v>Negative</v>
      </c>
      <c r="H339" t="str">
        <f>$B$16</f>
        <v>Female</v>
      </c>
      <c r="I339" t="str">
        <f>$C$16</f>
        <v>Therapy 2</v>
      </c>
      <c r="J339" s="6">
        <f>$D$16</f>
        <v>33</v>
      </c>
      <c r="K339" s="87">
        <f t="shared" si="138"/>
        <v>6.6000000000000003E-2</v>
      </c>
      <c r="L339" s="8">
        <f t="shared" si="139"/>
        <v>3.4965075614664802</v>
      </c>
      <c r="M339" s="6">
        <f>X331</f>
        <v>31.109416175737632</v>
      </c>
      <c r="N339" s="87">
        <f t="shared" si="137"/>
        <v>6.2218832351475267E-2</v>
      </c>
      <c r="O339" s="8">
        <f t="shared" si="140"/>
        <v>3.4375105442833616</v>
      </c>
      <c r="P339" s="6">
        <f t="shared" si="141"/>
        <v>1.890583824262368</v>
      </c>
      <c r="Q339" s="8">
        <f t="shared" si="142"/>
        <v>0.33896121470584523</v>
      </c>
      <c r="R339" s="58">
        <f t="shared" si="143"/>
        <v>3.8938031340858323</v>
      </c>
    </row>
    <row r="340" spans="7:18" x14ac:dyDescent="0.25">
      <c r="G340" s="9" t="str">
        <f>$A$17</f>
        <v>Negative</v>
      </c>
      <c r="H340" s="10" t="str">
        <f>$B$17</f>
        <v>Female</v>
      </c>
      <c r="I340" s="10" t="str">
        <f>$C$17</f>
        <v>Therapy 3</v>
      </c>
      <c r="J340" s="9">
        <f>$D$17</f>
        <v>56</v>
      </c>
      <c r="K340" s="88">
        <f t="shared" si="138"/>
        <v>0.112</v>
      </c>
      <c r="L340" s="11">
        <f t="shared" si="139"/>
        <v>4.0253516907351496</v>
      </c>
      <c r="M340" s="112">
        <f>Y331</f>
        <v>56.421642589589844</v>
      </c>
      <c r="N340" s="88">
        <f t="shared" si="137"/>
        <v>0.11284328517917969</v>
      </c>
      <c r="O340" s="11">
        <f t="shared" si="140"/>
        <v>4.0328528187549821</v>
      </c>
      <c r="P340" s="112">
        <f t="shared" si="141"/>
        <v>-0.42164258958984391</v>
      </c>
      <c r="Q340" s="11">
        <f t="shared" si="142"/>
        <v>-5.6133433731185761E-2</v>
      </c>
      <c r="R340" s="54">
        <f t="shared" si="143"/>
        <v>-0.84012633822123917</v>
      </c>
    </row>
    <row r="341" spans="7:18" x14ac:dyDescent="0.25">
      <c r="R341">
        <f>SUM(R329:R340)</f>
        <v>1.1104339218748036</v>
      </c>
    </row>
  </sheetData>
  <mergeCells count="57">
    <mergeCell ref="J327:L327"/>
    <mergeCell ref="M327:O327"/>
    <mergeCell ref="P327:Q327"/>
    <mergeCell ref="J291:L291"/>
    <mergeCell ref="M291:O291"/>
    <mergeCell ref="P291:Q291"/>
    <mergeCell ref="J309:L309"/>
    <mergeCell ref="M309:O309"/>
    <mergeCell ref="P309:Q309"/>
    <mergeCell ref="J255:L255"/>
    <mergeCell ref="M255:O255"/>
    <mergeCell ref="P255:Q255"/>
    <mergeCell ref="J273:L273"/>
    <mergeCell ref="M273:O273"/>
    <mergeCell ref="P273:Q273"/>
    <mergeCell ref="J219:L219"/>
    <mergeCell ref="M219:O219"/>
    <mergeCell ref="P219:Q219"/>
    <mergeCell ref="J237:L237"/>
    <mergeCell ref="M237:O237"/>
    <mergeCell ref="P237:Q237"/>
    <mergeCell ref="J183:L183"/>
    <mergeCell ref="M183:O183"/>
    <mergeCell ref="P183:Q183"/>
    <mergeCell ref="J201:L201"/>
    <mergeCell ref="M201:O201"/>
    <mergeCell ref="P201:Q201"/>
    <mergeCell ref="J147:L147"/>
    <mergeCell ref="M147:O147"/>
    <mergeCell ref="P147:Q147"/>
    <mergeCell ref="J165:L165"/>
    <mergeCell ref="M165:O165"/>
    <mergeCell ref="P165:Q165"/>
    <mergeCell ref="J111:L111"/>
    <mergeCell ref="M111:O111"/>
    <mergeCell ref="P111:Q111"/>
    <mergeCell ref="J129:L129"/>
    <mergeCell ref="M129:O129"/>
    <mergeCell ref="P129:Q129"/>
    <mergeCell ref="J75:L75"/>
    <mergeCell ref="M75:O75"/>
    <mergeCell ref="P75:Q75"/>
    <mergeCell ref="J93:L93"/>
    <mergeCell ref="M93:O93"/>
    <mergeCell ref="P93:Q93"/>
    <mergeCell ref="J40:L40"/>
    <mergeCell ref="M40:O40"/>
    <mergeCell ref="P40:Q40"/>
    <mergeCell ref="J57:L57"/>
    <mergeCell ref="M57:O57"/>
    <mergeCell ref="P57:Q57"/>
    <mergeCell ref="J6:L6"/>
    <mergeCell ref="M6:O6"/>
    <mergeCell ref="P6:Q6"/>
    <mergeCell ref="J23:L23"/>
    <mergeCell ref="M23:O23"/>
    <mergeCell ref="P23:Q23"/>
  </mergeCells>
  <pageMargins left="0.7" right="0.7" top="0.75" bottom="0.75" header="0.3" footer="0.3"/>
  <ignoredErrors>
    <ignoredError sqref="D127" evalError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M84"/>
  <sheetViews>
    <sheetView workbookViewId="0"/>
  </sheetViews>
  <sheetFormatPr defaultRowHeight="15" x14ac:dyDescent="0.25"/>
  <sheetData>
    <row r="1" spans="1:13" x14ac:dyDescent="0.25">
      <c r="A1" s="1" t="s">
        <v>288</v>
      </c>
    </row>
    <row r="2" spans="1:13" x14ac:dyDescent="0.25">
      <c r="A2" s="1"/>
    </row>
    <row r="3" spans="1:13" x14ac:dyDescent="0.25">
      <c r="A3" s="15" t="s">
        <v>55</v>
      </c>
      <c r="H3" t="s">
        <v>289</v>
      </c>
    </row>
    <row r="5" spans="1:13" x14ac:dyDescent="0.25">
      <c r="C5" s="12" t="s">
        <v>79</v>
      </c>
      <c r="D5" s="12" t="s">
        <v>80</v>
      </c>
      <c r="E5" s="12" t="s">
        <v>247</v>
      </c>
      <c r="J5" s="12" t="s">
        <v>79</v>
      </c>
      <c r="K5" s="12" t="s">
        <v>80</v>
      </c>
      <c r="L5" s="12" t="s">
        <v>247</v>
      </c>
    </row>
    <row r="6" spans="1:13" x14ac:dyDescent="0.25">
      <c r="A6" t="s">
        <v>249</v>
      </c>
      <c r="B6" t="s">
        <v>94</v>
      </c>
      <c r="C6" s="101">
        <v>59</v>
      </c>
      <c r="D6" s="127">
        <v>55</v>
      </c>
      <c r="E6" s="122">
        <v>107</v>
      </c>
      <c r="F6">
        <f>SUM(C6:E6)</f>
        <v>221</v>
      </c>
      <c r="H6" t="s">
        <v>249</v>
      </c>
      <c r="I6" t="s">
        <v>94</v>
      </c>
      <c r="J6" s="132">
        <f>$M6*J12/$M12</f>
        <v>56.333333333333336</v>
      </c>
      <c r="K6" s="136">
        <f>$M6*K12/$M12</f>
        <v>48.904761904761905</v>
      </c>
      <c r="L6" s="131">
        <f>$M6*L12/$M12</f>
        <v>115.76190476190476</v>
      </c>
      <c r="M6">
        <f>F6</f>
        <v>221</v>
      </c>
    </row>
    <row r="7" spans="1:13" x14ac:dyDescent="0.25">
      <c r="A7" t="s">
        <v>249</v>
      </c>
      <c r="B7" t="s">
        <v>72</v>
      </c>
      <c r="C7" s="6">
        <v>32</v>
      </c>
      <c r="D7" s="7">
        <v>24</v>
      </c>
      <c r="E7" s="8">
        <v>80</v>
      </c>
      <c r="F7">
        <f t="shared" ref="F7:F16" si="0">SUM(C7:E7)</f>
        <v>136</v>
      </c>
      <c r="H7" t="s">
        <v>249</v>
      </c>
      <c r="I7" t="s">
        <v>72</v>
      </c>
      <c r="J7" s="6">
        <f t="shared" ref="J7:L8" si="1">$M7*J12/$M12</f>
        <v>34.666666666666664</v>
      </c>
      <c r="K7" s="7">
        <f t="shared" si="1"/>
        <v>30.095238095238095</v>
      </c>
      <c r="L7" s="8">
        <f t="shared" si="1"/>
        <v>71.238095238095241</v>
      </c>
      <c r="M7">
        <f>F7</f>
        <v>136</v>
      </c>
    </row>
    <row r="8" spans="1:13" x14ac:dyDescent="0.25">
      <c r="A8" t="s">
        <v>250</v>
      </c>
      <c r="B8" t="s">
        <v>94</v>
      </c>
      <c r="C8" s="6">
        <v>9</v>
      </c>
      <c r="D8" s="7">
        <v>12</v>
      </c>
      <c r="E8" s="8">
        <v>17</v>
      </c>
      <c r="F8">
        <f t="shared" si="0"/>
        <v>38</v>
      </c>
      <c r="H8" t="s">
        <v>250</v>
      </c>
      <c r="I8" t="s">
        <v>94</v>
      </c>
      <c r="J8" s="6">
        <f t="shared" si="1"/>
        <v>6.6433566433566433</v>
      </c>
      <c r="K8" s="7">
        <f t="shared" si="1"/>
        <v>11.958041958041958</v>
      </c>
      <c r="L8" s="8">
        <f t="shared" si="1"/>
        <v>19.3986013986014</v>
      </c>
      <c r="M8">
        <f>F8</f>
        <v>38</v>
      </c>
    </row>
    <row r="9" spans="1:13" x14ac:dyDescent="0.25">
      <c r="A9" t="s">
        <v>250</v>
      </c>
      <c r="B9" t="s">
        <v>72</v>
      </c>
      <c r="C9" s="112">
        <v>16</v>
      </c>
      <c r="D9" s="10">
        <v>33</v>
      </c>
      <c r="E9" s="120">
        <v>56</v>
      </c>
      <c r="F9">
        <f t="shared" si="0"/>
        <v>105</v>
      </c>
      <c r="H9" t="s">
        <v>250</v>
      </c>
      <c r="I9" t="s">
        <v>72</v>
      </c>
      <c r="J9" s="112">
        <f>$M9*J13/$M13</f>
        <v>18.356643356643357</v>
      </c>
      <c r="K9" s="10">
        <f>$M9*K13/$M13</f>
        <v>33.04195804195804</v>
      </c>
      <c r="L9" s="11">
        <f>$M9*L13/$M13</f>
        <v>53.6013986013986</v>
      </c>
      <c r="M9">
        <f>F9</f>
        <v>105</v>
      </c>
    </row>
    <row r="10" spans="1:13" x14ac:dyDescent="0.25">
      <c r="C10">
        <f>SUM(C6:C9)</f>
        <v>116</v>
      </c>
      <c r="D10">
        <f>SUM(D6:D9)</f>
        <v>124</v>
      </c>
      <c r="E10">
        <f>SUM(E6:E9)</f>
        <v>260</v>
      </c>
      <c r="F10">
        <f t="shared" si="0"/>
        <v>500</v>
      </c>
      <c r="J10">
        <f>C10</f>
        <v>116</v>
      </c>
      <c r="K10">
        <f>D10</f>
        <v>124</v>
      </c>
      <c r="L10">
        <f>E10</f>
        <v>260</v>
      </c>
      <c r="M10">
        <f>F10</f>
        <v>500</v>
      </c>
    </row>
    <row r="12" spans="1:13" x14ac:dyDescent="0.25">
      <c r="A12" t="s">
        <v>249</v>
      </c>
      <c r="C12" s="96">
        <f>SUM(C6:C7)</f>
        <v>91</v>
      </c>
      <c r="D12" s="98">
        <f>SUM(D6:D7)</f>
        <v>79</v>
      </c>
      <c r="E12" s="99">
        <f>SUM(E6:E7)</f>
        <v>187</v>
      </c>
      <c r="F12">
        <f t="shared" si="0"/>
        <v>357</v>
      </c>
      <c r="H12" t="s">
        <v>249</v>
      </c>
      <c r="J12" s="132">
        <f t="shared" ref="J12:M13" si="2">C12</f>
        <v>91</v>
      </c>
      <c r="K12" s="136">
        <f t="shared" si="2"/>
        <v>79</v>
      </c>
      <c r="L12" s="131">
        <f t="shared" si="2"/>
        <v>187</v>
      </c>
      <c r="M12" s="7">
        <f t="shared" si="2"/>
        <v>357</v>
      </c>
    </row>
    <row r="13" spans="1:13" x14ac:dyDescent="0.25">
      <c r="A13" t="s">
        <v>250</v>
      </c>
      <c r="C13" s="9">
        <f>SUM(C8:C9)</f>
        <v>25</v>
      </c>
      <c r="D13" s="10">
        <f>SUM(D8:D9)</f>
        <v>45</v>
      </c>
      <c r="E13" s="11">
        <f>SUM(E8:E9)</f>
        <v>73</v>
      </c>
      <c r="F13">
        <f t="shared" si="0"/>
        <v>143</v>
      </c>
      <c r="H13" t="s">
        <v>250</v>
      </c>
      <c r="J13" s="112">
        <f t="shared" si="2"/>
        <v>25</v>
      </c>
      <c r="K13" s="10">
        <f t="shared" si="2"/>
        <v>45</v>
      </c>
      <c r="L13" s="11">
        <f t="shared" si="2"/>
        <v>73</v>
      </c>
      <c r="M13" s="7">
        <f t="shared" si="2"/>
        <v>143</v>
      </c>
    </row>
    <row r="15" spans="1:13" x14ac:dyDescent="0.25">
      <c r="B15" t="s">
        <v>94</v>
      </c>
      <c r="C15" s="96">
        <f t="shared" ref="C15:E16" si="3">C6+C8</f>
        <v>68</v>
      </c>
      <c r="D15" s="98">
        <f t="shared" si="3"/>
        <v>67</v>
      </c>
      <c r="E15" s="99">
        <f t="shared" si="3"/>
        <v>124</v>
      </c>
      <c r="F15">
        <f t="shared" si="0"/>
        <v>259</v>
      </c>
      <c r="I15" t="s">
        <v>94</v>
      </c>
      <c r="J15" s="132">
        <f t="shared" ref="J15:M16" si="4">C15</f>
        <v>68</v>
      </c>
      <c r="K15" s="136">
        <f t="shared" si="4"/>
        <v>67</v>
      </c>
      <c r="L15" s="131">
        <f t="shared" si="4"/>
        <v>124</v>
      </c>
      <c r="M15" s="7">
        <f t="shared" si="4"/>
        <v>259</v>
      </c>
    </row>
    <row r="16" spans="1:13" x14ac:dyDescent="0.25">
      <c r="B16" t="s">
        <v>72</v>
      </c>
      <c r="C16" s="9">
        <f t="shared" si="3"/>
        <v>48</v>
      </c>
      <c r="D16" s="10">
        <f t="shared" si="3"/>
        <v>57</v>
      </c>
      <c r="E16" s="11">
        <f t="shared" si="3"/>
        <v>136</v>
      </c>
      <c r="F16">
        <f t="shared" si="0"/>
        <v>241</v>
      </c>
      <c r="I16" t="s">
        <v>72</v>
      </c>
      <c r="J16" s="112">
        <f t="shared" si="4"/>
        <v>48</v>
      </c>
      <c r="K16" s="10">
        <f t="shared" si="4"/>
        <v>57</v>
      </c>
      <c r="L16" s="11">
        <f t="shared" si="4"/>
        <v>136</v>
      </c>
      <c r="M16" s="7">
        <f t="shared" si="4"/>
        <v>241</v>
      </c>
    </row>
    <row r="18" spans="1:13" x14ac:dyDescent="0.25">
      <c r="A18" s="1" t="s">
        <v>290</v>
      </c>
    </row>
    <row r="20" spans="1:13" x14ac:dyDescent="0.25">
      <c r="A20" s="15" t="s">
        <v>55</v>
      </c>
      <c r="H20" t="s">
        <v>289</v>
      </c>
    </row>
    <row r="22" spans="1:13" x14ac:dyDescent="0.25">
      <c r="C22" s="12" t="s">
        <v>79</v>
      </c>
      <c r="D22" s="12" t="s">
        <v>80</v>
      </c>
      <c r="E22" s="12" t="s">
        <v>247</v>
      </c>
      <c r="J22" s="12" t="s">
        <v>79</v>
      </c>
      <c r="K22" s="12" t="s">
        <v>80</v>
      </c>
      <c r="L22" s="12" t="s">
        <v>247</v>
      </c>
    </row>
    <row r="23" spans="1:13" x14ac:dyDescent="0.25">
      <c r="A23" t="s">
        <v>249</v>
      </c>
      <c r="B23" t="s">
        <v>94</v>
      </c>
      <c r="C23" s="101">
        <v>59</v>
      </c>
      <c r="D23" s="127">
        <v>55</v>
      </c>
      <c r="E23" s="122">
        <v>107</v>
      </c>
      <c r="F23">
        <f>SUM(C23:E23)</f>
        <v>221</v>
      </c>
      <c r="H23" t="s">
        <v>249</v>
      </c>
      <c r="I23" t="s">
        <v>94</v>
      </c>
      <c r="J23" s="132">
        <f>J$32*$M$29/$M$27</f>
        <v>48.552</v>
      </c>
      <c r="K23" s="136">
        <f>K$32*$M$29/$M$27</f>
        <v>47.838000000000001</v>
      </c>
      <c r="L23" s="131">
        <f>L$32*$M$29/$M$27</f>
        <v>88.536000000000001</v>
      </c>
      <c r="M23">
        <f>F23</f>
        <v>221</v>
      </c>
    </row>
    <row r="24" spans="1:13" x14ac:dyDescent="0.25">
      <c r="A24" t="s">
        <v>249</v>
      </c>
      <c r="B24" t="s">
        <v>72</v>
      </c>
      <c r="C24" s="6">
        <v>32</v>
      </c>
      <c r="D24" s="7">
        <v>24</v>
      </c>
      <c r="E24" s="8">
        <v>80</v>
      </c>
      <c r="F24">
        <f>SUM(C24:E24)</f>
        <v>136</v>
      </c>
      <c r="H24" t="s">
        <v>249</v>
      </c>
      <c r="I24" t="s">
        <v>72</v>
      </c>
      <c r="J24" s="6">
        <f>J$33*$M$29/$M$27</f>
        <v>34.271999999999998</v>
      </c>
      <c r="K24" s="7">
        <f>K$33*$M$29/$M$27</f>
        <v>40.698</v>
      </c>
      <c r="L24" s="8">
        <f>L$33*$M$29/$M$27</f>
        <v>97.103999999999999</v>
      </c>
      <c r="M24">
        <f>F24</f>
        <v>136</v>
      </c>
    </row>
    <row r="25" spans="1:13" x14ac:dyDescent="0.25">
      <c r="A25" t="s">
        <v>250</v>
      </c>
      <c r="B25" t="s">
        <v>94</v>
      </c>
      <c r="C25" s="6">
        <v>9</v>
      </c>
      <c r="D25" s="7">
        <v>12</v>
      </c>
      <c r="E25" s="8">
        <v>17</v>
      </c>
      <c r="F25">
        <f>SUM(C25:E25)</f>
        <v>38</v>
      </c>
      <c r="H25" t="s">
        <v>250</v>
      </c>
      <c r="I25" t="s">
        <v>94</v>
      </c>
      <c r="J25" s="6">
        <f>J$32*$M$30/$M$27</f>
        <v>19.448</v>
      </c>
      <c r="K25" s="7">
        <f>K$32*$M$30/$M$27</f>
        <v>19.161999999999999</v>
      </c>
      <c r="L25" s="8">
        <f>L$32*$M$30/$M$27</f>
        <v>35.463999999999999</v>
      </c>
      <c r="M25">
        <f>F25</f>
        <v>38</v>
      </c>
    </row>
    <row r="26" spans="1:13" x14ac:dyDescent="0.25">
      <c r="A26" t="s">
        <v>250</v>
      </c>
      <c r="B26" t="s">
        <v>72</v>
      </c>
      <c r="C26" s="112">
        <v>16</v>
      </c>
      <c r="D26" s="10">
        <v>33</v>
      </c>
      <c r="E26" s="120">
        <v>56</v>
      </c>
      <c r="F26">
        <f>SUM(C26:E26)</f>
        <v>105</v>
      </c>
      <c r="H26" t="s">
        <v>250</v>
      </c>
      <c r="I26" t="s">
        <v>72</v>
      </c>
      <c r="J26" s="112">
        <f>J$33*$M$30/$M$27</f>
        <v>13.728</v>
      </c>
      <c r="K26" s="10">
        <f>K$33*$M$30/$M$27</f>
        <v>16.302</v>
      </c>
      <c r="L26" s="11">
        <f>L$33*$M$30/$M$27</f>
        <v>38.896000000000001</v>
      </c>
      <c r="M26">
        <f>F26</f>
        <v>105</v>
      </c>
    </row>
    <row r="27" spans="1:13" x14ac:dyDescent="0.25">
      <c r="C27">
        <f>SUM(C23:C26)</f>
        <v>116</v>
      </c>
      <c r="D27">
        <f>SUM(D23:D26)</f>
        <v>124</v>
      </c>
      <c r="E27">
        <f>SUM(E23:E26)</f>
        <v>260</v>
      </c>
      <c r="F27">
        <f>SUM(C27:E27)</f>
        <v>500</v>
      </c>
      <c r="J27">
        <f>C27</f>
        <v>116</v>
      </c>
      <c r="K27">
        <f>D27</f>
        <v>124</v>
      </c>
      <c r="L27">
        <f>E27</f>
        <v>260</v>
      </c>
      <c r="M27">
        <f>F27</f>
        <v>500</v>
      </c>
    </row>
    <row r="29" spans="1:13" x14ac:dyDescent="0.25">
      <c r="A29" t="s">
        <v>249</v>
      </c>
      <c r="C29" s="96">
        <f>SUM(C23:C24)</f>
        <v>91</v>
      </c>
      <c r="D29" s="98">
        <f>SUM(D23:D24)</f>
        <v>79</v>
      </c>
      <c r="E29" s="99">
        <f>SUM(E23:E24)</f>
        <v>187</v>
      </c>
      <c r="F29">
        <f>SUM(C29:E29)</f>
        <v>357</v>
      </c>
      <c r="H29" t="s">
        <v>249</v>
      </c>
      <c r="J29" s="132">
        <f t="shared" ref="J29:M30" si="5">C29</f>
        <v>91</v>
      </c>
      <c r="K29" s="136">
        <f t="shared" si="5"/>
        <v>79</v>
      </c>
      <c r="L29" s="131">
        <f t="shared" si="5"/>
        <v>187</v>
      </c>
      <c r="M29" s="7">
        <f t="shared" si="5"/>
        <v>357</v>
      </c>
    </row>
    <row r="30" spans="1:13" x14ac:dyDescent="0.25">
      <c r="A30" t="s">
        <v>250</v>
      </c>
      <c r="C30" s="9">
        <f>SUM(C25:C26)</f>
        <v>25</v>
      </c>
      <c r="D30" s="10">
        <f>SUM(D25:D26)</f>
        <v>45</v>
      </c>
      <c r="E30" s="11">
        <f>SUM(E25:E26)</f>
        <v>73</v>
      </c>
      <c r="F30">
        <f>SUM(C30:E30)</f>
        <v>143</v>
      </c>
      <c r="H30" t="s">
        <v>250</v>
      </c>
      <c r="J30" s="112">
        <f t="shared" si="5"/>
        <v>25</v>
      </c>
      <c r="K30" s="10">
        <f t="shared" si="5"/>
        <v>45</v>
      </c>
      <c r="L30" s="11">
        <f t="shared" si="5"/>
        <v>73</v>
      </c>
      <c r="M30" s="7">
        <f t="shared" si="5"/>
        <v>143</v>
      </c>
    </row>
    <row r="32" spans="1:13" x14ac:dyDescent="0.25">
      <c r="B32" t="s">
        <v>94</v>
      </c>
      <c r="C32" s="96">
        <f t="shared" ref="C32:E33" si="6">C23+C25</f>
        <v>68</v>
      </c>
      <c r="D32" s="98">
        <f t="shared" si="6"/>
        <v>67</v>
      </c>
      <c r="E32" s="99">
        <f t="shared" si="6"/>
        <v>124</v>
      </c>
      <c r="F32">
        <f>SUM(C32:E32)</f>
        <v>259</v>
      </c>
      <c r="I32" t="s">
        <v>94</v>
      </c>
      <c r="J32" s="132">
        <f t="shared" ref="J32:M33" si="7">C32</f>
        <v>68</v>
      </c>
      <c r="K32" s="136">
        <f t="shared" si="7"/>
        <v>67</v>
      </c>
      <c r="L32" s="131">
        <f t="shared" si="7"/>
        <v>124</v>
      </c>
      <c r="M32" s="7">
        <f t="shared" si="7"/>
        <v>259</v>
      </c>
    </row>
    <row r="33" spans="1:13" x14ac:dyDescent="0.25">
      <c r="B33" t="s">
        <v>72</v>
      </c>
      <c r="C33" s="9">
        <f t="shared" si="6"/>
        <v>48</v>
      </c>
      <c r="D33" s="10">
        <f t="shared" si="6"/>
        <v>57</v>
      </c>
      <c r="E33" s="11">
        <f t="shared" si="6"/>
        <v>136</v>
      </c>
      <c r="F33">
        <f>SUM(C33:E33)</f>
        <v>241</v>
      </c>
      <c r="I33" t="s">
        <v>72</v>
      </c>
      <c r="J33" s="112">
        <f t="shared" si="7"/>
        <v>48</v>
      </c>
      <c r="K33" s="10">
        <f t="shared" si="7"/>
        <v>57</v>
      </c>
      <c r="L33" s="11">
        <f t="shared" si="7"/>
        <v>136</v>
      </c>
      <c r="M33" s="7">
        <f t="shared" si="7"/>
        <v>241</v>
      </c>
    </row>
    <row r="35" spans="1:13" x14ac:dyDescent="0.25">
      <c r="A35" s="1" t="s">
        <v>291</v>
      </c>
    </row>
    <row r="37" spans="1:13" x14ac:dyDescent="0.25">
      <c r="A37" s="15" t="s">
        <v>55</v>
      </c>
      <c r="H37" t="s">
        <v>289</v>
      </c>
    </row>
    <row r="39" spans="1:13" x14ac:dyDescent="0.25">
      <c r="C39" s="12" t="s">
        <v>79</v>
      </c>
      <c r="D39" s="12" t="s">
        <v>80</v>
      </c>
      <c r="E39" s="12" t="s">
        <v>247</v>
      </c>
      <c r="J39" s="12" t="s">
        <v>79</v>
      </c>
      <c r="K39" s="12" t="s">
        <v>80</v>
      </c>
      <c r="L39" s="12" t="s">
        <v>247</v>
      </c>
    </row>
    <row r="40" spans="1:13" x14ac:dyDescent="0.25">
      <c r="A40" t="s">
        <v>249</v>
      </c>
      <c r="B40" t="s">
        <v>94</v>
      </c>
      <c r="C40" s="101">
        <v>59</v>
      </c>
      <c r="D40" s="127">
        <v>55</v>
      </c>
      <c r="E40" s="122">
        <v>107</v>
      </c>
      <c r="F40">
        <f>SUM(C40:E40)</f>
        <v>221</v>
      </c>
      <c r="H40" t="s">
        <v>249</v>
      </c>
      <c r="I40" t="s">
        <v>94</v>
      </c>
      <c r="J40" s="132">
        <f>$M$46*$M$49*J$44/$M$44^2</f>
        <v>42.902831999999997</v>
      </c>
      <c r="K40" s="136">
        <f>$M$46*$M$49*K$44/$M$44^2</f>
        <v>45.861648000000002</v>
      </c>
      <c r="L40" s="131">
        <f>$M$46*$M$49*L$44/$M$44^2</f>
        <v>96.161519999999996</v>
      </c>
      <c r="M40">
        <f>F40</f>
        <v>221</v>
      </c>
    </row>
    <row r="41" spans="1:13" x14ac:dyDescent="0.25">
      <c r="A41" t="s">
        <v>249</v>
      </c>
      <c r="B41" t="s">
        <v>72</v>
      </c>
      <c r="C41" s="6">
        <v>32</v>
      </c>
      <c r="D41" s="7">
        <v>24</v>
      </c>
      <c r="E41" s="8">
        <v>80</v>
      </c>
      <c r="F41">
        <f>SUM(C41:E41)</f>
        <v>136</v>
      </c>
      <c r="H41" t="s">
        <v>249</v>
      </c>
      <c r="I41" t="s">
        <v>72</v>
      </c>
      <c r="J41" s="6">
        <f>$M$46*$M$50*J$44/$M$44^2</f>
        <v>39.921168000000002</v>
      </c>
      <c r="K41" s="7">
        <f>$M$46*$M$50*K$44/$M$44^2</f>
        <v>42.674351999999999</v>
      </c>
      <c r="L41" s="8">
        <f>$M$46*$M$50*L$44/$M$44^2</f>
        <v>89.478480000000005</v>
      </c>
      <c r="M41">
        <f>F41</f>
        <v>136</v>
      </c>
    </row>
    <row r="42" spans="1:13" x14ac:dyDescent="0.25">
      <c r="A42" t="s">
        <v>250</v>
      </c>
      <c r="B42" t="s">
        <v>94</v>
      </c>
      <c r="C42" s="6">
        <v>9</v>
      </c>
      <c r="D42" s="7">
        <v>12</v>
      </c>
      <c r="E42" s="8">
        <v>17</v>
      </c>
      <c r="F42">
        <f>SUM(C42:E42)</f>
        <v>38</v>
      </c>
      <c r="H42" t="s">
        <v>250</v>
      </c>
      <c r="I42" t="s">
        <v>94</v>
      </c>
      <c r="J42" s="6">
        <f>$M$47*$M$49*J$44/$M$44^2</f>
        <v>17.185168000000001</v>
      </c>
      <c r="K42" s="7">
        <f>$M$47*$M$49*K$44/$M$44^2</f>
        <v>18.370352</v>
      </c>
      <c r="L42" s="8">
        <f>$M$47*$M$49*L$44/$M$44^2</f>
        <v>38.518479999999997</v>
      </c>
      <c r="M42">
        <f>F42</f>
        <v>38</v>
      </c>
    </row>
    <row r="43" spans="1:13" x14ac:dyDescent="0.25">
      <c r="A43" t="s">
        <v>250</v>
      </c>
      <c r="B43" t="s">
        <v>72</v>
      </c>
      <c r="C43" s="112">
        <v>16</v>
      </c>
      <c r="D43" s="10">
        <v>33</v>
      </c>
      <c r="E43" s="120">
        <v>56</v>
      </c>
      <c r="F43">
        <f>SUM(C43:E43)</f>
        <v>105</v>
      </c>
      <c r="H43" t="s">
        <v>250</v>
      </c>
      <c r="I43" t="s">
        <v>72</v>
      </c>
      <c r="J43" s="112">
        <f>$M$47*$M$50*J$44/$M$44^2</f>
        <v>15.990831999999999</v>
      </c>
      <c r="K43" s="10">
        <f>$M$47*$M$50*K$44/$M$44^2</f>
        <v>17.093648000000002</v>
      </c>
      <c r="L43" s="11">
        <f>$M$47*$M$50*L$44/$M$44^2</f>
        <v>35.841520000000003</v>
      </c>
      <c r="M43">
        <f>F43</f>
        <v>105</v>
      </c>
    </row>
    <row r="44" spans="1:13" x14ac:dyDescent="0.25">
      <c r="C44">
        <f>SUM(C40:C43)</f>
        <v>116</v>
      </c>
      <c r="D44">
        <f>SUM(D40:D43)</f>
        <v>124</v>
      </c>
      <c r="E44">
        <f>SUM(E40:E43)</f>
        <v>260</v>
      </c>
      <c r="F44">
        <f>SUM(C44:E44)</f>
        <v>500</v>
      </c>
      <c r="J44">
        <f>C44</f>
        <v>116</v>
      </c>
      <c r="K44">
        <f>D44</f>
        <v>124</v>
      </c>
      <c r="L44">
        <f>E44</f>
        <v>260</v>
      </c>
      <c r="M44">
        <f>F44</f>
        <v>500</v>
      </c>
    </row>
    <row r="46" spans="1:13" x14ac:dyDescent="0.25">
      <c r="A46" t="s">
        <v>249</v>
      </c>
      <c r="C46" s="96">
        <f>SUM(C40:C41)</f>
        <v>91</v>
      </c>
      <c r="D46" s="98">
        <f>SUM(D40:D41)</f>
        <v>79</v>
      </c>
      <c r="E46" s="99">
        <f>SUM(E40:E41)</f>
        <v>187</v>
      </c>
      <c r="F46">
        <f>SUM(C46:E46)</f>
        <v>357</v>
      </c>
      <c r="H46" t="s">
        <v>249</v>
      </c>
      <c r="J46" s="132">
        <f t="shared" ref="J46:M47" si="8">C46</f>
        <v>91</v>
      </c>
      <c r="K46" s="136">
        <f t="shared" si="8"/>
        <v>79</v>
      </c>
      <c r="L46" s="131">
        <f t="shared" si="8"/>
        <v>187</v>
      </c>
      <c r="M46" s="7">
        <f t="shared" si="8"/>
        <v>357</v>
      </c>
    </row>
    <row r="47" spans="1:13" x14ac:dyDescent="0.25">
      <c r="A47" t="s">
        <v>250</v>
      </c>
      <c r="C47" s="9">
        <f>SUM(C42:C43)</f>
        <v>25</v>
      </c>
      <c r="D47" s="10">
        <f>SUM(D42:D43)</f>
        <v>45</v>
      </c>
      <c r="E47" s="11">
        <f>SUM(E42:E43)</f>
        <v>73</v>
      </c>
      <c r="F47">
        <f>SUM(C47:E47)</f>
        <v>143</v>
      </c>
      <c r="H47" t="s">
        <v>250</v>
      </c>
      <c r="J47" s="112">
        <f t="shared" si="8"/>
        <v>25</v>
      </c>
      <c r="K47" s="10">
        <f t="shared" si="8"/>
        <v>45</v>
      </c>
      <c r="L47" s="11">
        <f t="shared" si="8"/>
        <v>73</v>
      </c>
      <c r="M47" s="7">
        <f t="shared" si="8"/>
        <v>143</v>
      </c>
    </row>
    <row r="49" spans="1:13" x14ac:dyDescent="0.25">
      <c r="B49" t="s">
        <v>94</v>
      </c>
      <c r="C49" s="96">
        <f t="shared" ref="C49:E50" si="9">C40+C42</f>
        <v>68</v>
      </c>
      <c r="D49" s="98">
        <f t="shared" si="9"/>
        <v>67</v>
      </c>
      <c r="E49" s="99">
        <f t="shared" si="9"/>
        <v>124</v>
      </c>
      <c r="F49">
        <f>SUM(C49:E49)</f>
        <v>259</v>
      </c>
      <c r="I49" t="s">
        <v>94</v>
      </c>
      <c r="J49" s="132">
        <f t="shared" ref="J49:M50" si="10">C49</f>
        <v>68</v>
      </c>
      <c r="K49" s="136">
        <f t="shared" si="10"/>
        <v>67</v>
      </c>
      <c r="L49" s="131">
        <f t="shared" si="10"/>
        <v>124</v>
      </c>
      <c r="M49" s="7">
        <f t="shared" si="10"/>
        <v>259</v>
      </c>
    </row>
    <row r="50" spans="1:13" x14ac:dyDescent="0.25">
      <c r="B50" t="s">
        <v>72</v>
      </c>
      <c r="C50" s="9">
        <f t="shared" si="9"/>
        <v>48</v>
      </c>
      <c r="D50" s="10">
        <f t="shared" si="9"/>
        <v>57</v>
      </c>
      <c r="E50" s="11">
        <f t="shared" si="9"/>
        <v>136</v>
      </c>
      <c r="F50">
        <f>SUM(C50:E50)</f>
        <v>241</v>
      </c>
      <c r="I50" t="s">
        <v>72</v>
      </c>
      <c r="J50" s="112">
        <f t="shared" si="10"/>
        <v>48</v>
      </c>
      <c r="K50" s="10">
        <f t="shared" si="10"/>
        <v>57</v>
      </c>
      <c r="L50" s="11">
        <f t="shared" si="10"/>
        <v>136</v>
      </c>
      <c r="M50" s="7">
        <f t="shared" si="10"/>
        <v>241</v>
      </c>
    </row>
    <row r="52" spans="1:13" x14ac:dyDescent="0.25">
      <c r="A52" s="1" t="s">
        <v>293</v>
      </c>
    </row>
    <row r="54" spans="1:13" x14ac:dyDescent="0.25">
      <c r="A54" s="15" t="s">
        <v>55</v>
      </c>
      <c r="H54" t="s">
        <v>289</v>
      </c>
    </row>
    <row r="56" spans="1:13" x14ac:dyDescent="0.25">
      <c r="C56" s="12" t="s">
        <v>79</v>
      </c>
      <c r="D56" s="12" t="s">
        <v>80</v>
      </c>
      <c r="E56" s="12" t="s">
        <v>247</v>
      </c>
      <c r="J56" s="12" t="s">
        <v>79</v>
      </c>
      <c r="K56" s="12" t="s">
        <v>80</v>
      </c>
      <c r="L56" s="12" t="s">
        <v>247</v>
      </c>
    </row>
    <row r="57" spans="1:13" x14ac:dyDescent="0.25">
      <c r="A57" t="s">
        <v>249</v>
      </c>
      <c r="B57" t="s">
        <v>94</v>
      </c>
      <c r="C57" s="101">
        <v>59</v>
      </c>
      <c r="D57" s="127">
        <v>55</v>
      </c>
      <c r="E57" s="122">
        <v>107</v>
      </c>
      <c r="F57">
        <f>SUM(C57:E57)</f>
        <v>221</v>
      </c>
      <c r="H57" t="s">
        <v>249</v>
      </c>
      <c r="I57" t="s">
        <v>94</v>
      </c>
      <c r="J57" s="132">
        <f>'Log Lin 2.4'!J6</f>
        <v>60.468941219727789</v>
      </c>
      <c r="K57" s="136">
        <f>'Log Lin 2.4'!K6</f>
        <v>53.109416189162133</v>
      </c>
      <c r="L57" s="131">
        <f>'Log Lin 2.4'!L6</f>
        <v>107.42164258226687</v>
      </c>
      <c r="M57">
        <f>F57</f>
        <v>221</v>
      </c>
    </row>
    <row r="58" spans="1:13" x14ac:dyDescent="0.25">
      <c r="A58" t="s">
        <v>249</v>
      </c>
      <c r="B58" t="s">
        <v>72</v>
      </c>
      <c r="C58" s="6">
        <v>32</v>
      </c>
      <c r="D58" s="7">
        <v>24</v>
      </c>
      <c r="E58" s="8">
        <v>80</v>
      </c>
      <c r="F58">
        <f>SUM(C58:E58)</f>
        <v>136</v>
      </c>
      <c r="H58" t="s">
        <v>249</v>
      </c>
      <c r="I58" t="s">
        <v>72</v>
      </c>
      <c r="J58" s="6">
        <f>'Log Lin 2.4'!J7</f>
        <v>30.531058777114517</v>
      </c>
      <c r="K58" s="7">
        <f>'Log Lin 2.4'!K7</f>
        <v>25.890583824262364</v>
      </c>
      <c r="L58" s="8">
        <f>'Log Lin 2.4'!L7</f>
        <v>79.578357410410149</v>
      </c>
      <c r="M58">
        <f>F58</f>
        <v>136</v>
      </c>
    </row>
    <row r="59" spans="1:13" x14ac:dyDescent="0.25">
      <c r="A59" t="s">
        <v>250</v>
      </c>
      <c r="B59" t="s">
        <v>94</v>
      </c>
      <c r="C59" s="6">
        <v>9</v>
      </c>
      <c r="D59" s="7">
        <v>12</v>
      </c>
      <c r="E59" s="8">
        <v>17</v>
      </c>
      <c r="F59">
        <f>SUM(C59:E59)</f>
        <v>38</v>
      </c>
      <c r="H59" t="s">
        <v>250</v>
      </c>
      <c r="I59" t="s">
        <v>94</v>
      </c>
      <c r="J59" s="6">
        <f>'Log Lin 2.4'!J8</f>
        <v>7.5310587802722173</v>
      </c>
      <c r="K59" s="7">
        <f>'Log Lin 2.4'!K8</f>
        <v>13.890583810837864</v>
      </c>
      <c r="L59" s="8">
        <f>'Log Lin 2.4'!L8</f>
        <v>16.57835741773313</v>
      </c>
      <c r="M59">
        <f>F59</f>
        <v>38</v>
      </c>
    </row>
    <row r="60" spans="1:13" x14ac:dyDescent="0.25">
      <c r="A60" t="s">
        <v>250</v>
      </c>
      <c r="B60" t="s">
        <v>72</v>
      </c>
      <c r="C60" s="112">
        <v>16</v>
      </c>
      <c r="D60" s="10">
        <v>33</v>
      </c>
      <c r="E60" s="120">
        <v>56</v>
      </c>
      <c r="F60">
        <f>SUM(C60:E60)</f>
        <v>105</v>
      </c>
      <c r="H60" t="s">
        <v>250</v>
      </c>
      <c r="I60" t="s">
        <v>72</v>
      </c>
      <c r="J60" s="112">
        <f>'Log Lin 2.4'!J9</f>
        <v>17.468941222885476</v>
      </c>
      <c r="K60" s="10">
        <f>'Log Lin 2.4'!K9</f>
        <v>31.109416175737632</v>
      </c>
      <c r="L60" s="11">
        <f>'Log Lin 2.4'!L9</f>
        <v>56.421642589589844</v>
      </c>
      <c r="M60">
        <f>F60</f>
        <v>105</v>
      </c>
    </row>
    <row r="61" spans="1:13" x14ac:dyDescent="0.25">
      <c r="C61">
        <f>SUM(C57:C60)</f>
        <v>116</v>
      </c>
      <c r="D61">
        <f>SUM(D57:D60)</f>
        <v>124</v>
      </c>
      <c r="E61">
        <f>SUM(E57:E60)</f>
        <v>260</v>
      </c>
      <c r="F61">
        <f>SUM(C61:E61)</f>
        <v>500</v>
      </c>
      <c r="J61">
        <f>C61</f>
        <v>116</v>
      </c>
      <c r="K61">
        <f>D61</f>
        <v>124</v>
      </c>
      <c r="L61">
        <f>E61</f>
        <v>260</v>
      </c>
      <c r="M61">
        <f>F61</f>
        <v>500</v>
      </c>
    </row>
    <row r="63" spans="1:13" x14ac:dyDescent="0.25">
      <c r="A63" t="s">
        <v>249</v>
      </c>
      <c r="C63" s="96">
        <f>SUM(C57:C58)</f>
        <v>91</v>
      </c>
      <c r="D63" s="98">
        <f>SUM(D57:D58)</f>
        <v>79</v>
      </c>
      <c r="E63" s="99">
        <f>SUM(E57:E58)</f>
        <v>187</v>
      </c>
      <c r="F63">
        <f>SUM(C63:E63)</f>
        <v>357</v>
      </c>
      <c r="H63" t="s">
        <v>249</v>
      </c>
      <c r="J63" s="132">
        <f t="shared" ref="J63:M64" si="11">C63</f>
        <v>91</v>
      </c>
      <c r="K63" s="136">
        <f t="shared" si="11"/>
        <v>79</v>
      </c>
      <c r="L63" s="131">
        <f t="shared" si="11"/>
        <v>187</v>
      </c>
      <c r="M63" s="7">
        <f t="shared" si="11"/>
        <v>357</v>
      </c>
    </row>
    <row r="64" spans="1:13" x14ac:dyDescent="0.25">
      <c r="A64" t="s">
        <v>250</v>
      </c>
      <c r="C64" s="9">
        <f>SUM(C59:C60)</f>
        <v>25</v>
      </c>
      <c r="D64" s="10">
        <f>SUM(D59:D60)</f>
        <v>45</v>
      </c>
      <c r="E64" s="11">
        <f>SUM(E59:E60)</f>
        <v>73</v>
      </c>
      <c r="F64">
        <f>SUM(C64:E64)</f>
        <v>143</v>
      </c>
      <c r="H64" t="s">
        <v>250</v>
      </c>
      <c r="J64" s="112">
        <f t="shared" si="11"/>
        <v>25</v>
      </c>
      <c r="K64" s="10">
        <f t="shared" si="11"/>
        <v>45</v>
      </c>
      <c r="L64" s="11">
        <f t="shared" si="11"/>
        <v>73</v>
      </c>
      <c r="M64" s="7">
        <f t="shared" si="11"/>
        <v>143</v>
      </c>
    </row>
    <row r="66" spans="1:13" x14ac:dyDescent="0.25">
      <c r="B66" t="s">
        <v>94</v>
      </c>
      <c r="C66" s="96">
        <f t="shared" ref="C66:E67" si="12">C57+C59</f>
        <v>68</v>
      </c>
      <c r="D66" s="98">
        <f t="shared" si="12"/>
        <v>67</v>
      </c>
      <c r="E66" s="99">
        <f t="shared" si="12"/>
        <v>124</v>
      </c>
      <c r="F66">
        <f>SUM(C66:E66)</f>
        <v>259</v>
      </c>
      <c r="I66" t="s">
        <v>94</v>
      </c>
      <c r="J66" s="132">
        <f t="shared" ref="J66:M67" si="13">C66</f>
        <v>68</v>
      </c>
      <c r="K66" s="136">
        <f t="shared" si="13"/>
        <v>67</v>
      </c>
      <c r="L66" s="131">
        <f t="shared" si="13"/>
        <v>124</v>
      </c>
      <c r="M66" s="7">
        <f t="shared" si="13"/>
        <v>259</v>
      </c>
    </row>
    <row r="67" spans="1:13" x14ac:dyDescent="0.25">
      <c r="B67" t="s">
        <v>72</v>
      </c>
      <c r="C67" s="9">
        <f t="shared" si="12"/>
        <v>48</v>
      </c>
      <c r="D67" s="10">
        <f t="shared" si="12"/>
        <v>57</v>
      </c>
      <c r="E67" s="11">
        <f t="shared" si="12"/>
        <v>136</v>
      </c>
      <c r="F67">
        <f>SUM(C67:E67)</f>
        <v>241</v>
      </c>
      <c r="I67" t="s">
        <v>72</v>
      </c>
      <c r="J67" s="112">
        <f t="shared" si="13"/>
        <v>48</v>
      </c>
      <c r="K67" s="10">
        <f t="shared" si="13"/>
        <v>57</v>
      </c>
      <c r="L67" s="11">
        <f t="shared" si="13"/>
        <v>136</v>
      </c>
      <c r="M67" s="7">
        <f t="shared" si="13"/>
        <v>241</v>
      </c>
    </row>
    <row r="69" spans="1:13" x14ac:dyDescent="0.25">
      <c r="A69" s="1" t="s">
        <v>292</v>
      </c>
    </row>
    <row r="71" spans="1:13" x14ac:dyDescent="0.25">
      <c r="A71" s="15" t="s">
        <v>55</v>
      </c>
      <c r="H71" t="s">
        <v>289</v>
      </c>
    </row>
    <row r="73" spans="1:13" x14ac:dyDescent="0.25">
      <c r="C73" s="12" t="s">
        <v>79</v>
      </c>
      <c r="D73" s="12" t="s">
        <v>80</v>
      </c>
      <c r="E73" s="12" t="s">
        <v>247</v>
      </c>
      <c r="J73" s="12" t="s">
        <v>79</v>
      </c>
      <c r="K73" s="12" t="s">
        <v>80</v>
      </c>
      <c r="L73" s="12" t="s">
        <v>247</v>
      </c>
    </row>
    <row r="74" spans="1:13" x14ac:dyDescent="0.25">
      <c r="A74" t="s">
        <v>249</v>
      </c>
      <c r="B74" t="s">
        <v>94</v>
      </c>
      <c r="C74" s="101">
        <v>59</v>
      </c>
      <c r="D74" s="127">
        <v>55</v>
      </c>
      <c r="E74" s="122">
        <v>107</v>
      </c>
      <c r="F74">
        <f>SUM(C74:E74)</f>
        <v>221</v>
      </c>
      <c r="H74" t="s">
        <v>249</v>
      </c>
      <c r="I74" t="s">
        <v>94</v>
      </c>
      <c r="J74" s="132">
        <f>$M80*J$78/(COUNTA($I$83:$I$84)*$M$78)</f>
        <v>41.411999999999999</v>
      </c>
      <c r="K74" s="136">
        <f>$M80*K$78/(COUNTA($I$83:$I$84)*$M$78)</f>
        <v>44.268000000000001</v>
      </c>
      <c r="L74" s="131">
        <f>$M80*L$78/(COUNTA($I$83:$I$84)*$M$78)</f>
        <v>92.82</v>
      </c>
      <c r="M74">
        <f>F74</f>
        <v>221</v>
      </c>
    </row>
    <row r="75" spans="1:13" x14ac:dyDescent="0.25">
      <c r="A75" t="s">
        <v>249</v>
      </c>
      <c r="B75" t="s">
        <v>72</v>
      </c>
      <c r="C75" s="6">
        <v>32</v>
      </c>
      <c r="D75" s="7">
        <v>24</v>
      </c>
      <c r="E75" s="8">
        <v>80</v>
      </c>
      <c r="F75">
        <f>SUM(C75:E75)</f>
        <v>136</v>
      </c>
      <c r="H75" t="s">
        <v>249</v>
      </c>
      <c r="I75" t="s">
        <v>72</v>
      </c>
      <c r="J75" s="6">
        <f t="shared" ref="J75:L76" si="14">$M80*J$78/(COUNTA($I$83:$I$84)*$M$78)</f>
        <v>41.411999999999999</v>
      </c>
      <c r="K75" s="7">
        <f t="shared" si="14"/>
        <v>44.268000000000001</v>
      </c>
      <c r="L75" s="8">
        <f t="shared" si="14"/>
        <v>92.82</v>
      </c>
      <c r="M75">
        <f>F75</f>
        <v>136</v>
      </c>
    </row>
    <row r="76" spans="1:13" x14ac:dyDescent="0.25">
      <c r="A76" t="s">
        <v>250</v>
      </c>
      <c r="B76" t="s">
        <v>94</v>
      </c>
      <c r="C76" s="6">
        <v>9</v>
      </c>
      <c r="D76" s="7">
        <v>12</v>
      </c>
      <c r="E76" s="8">
        <v>17</v>
      </c>
      <c r="F76">
        <f>SUM(C76:E76)</f>
        <v>38</v>
      </c>
      <c r="H76" t="s">
        <v>250</v>
      </c>
      <c r="I76" t="s">
        <v>94</v>
      </c>
      <c r="J76" s="6">
        <f t="shared" si="14"/>
        <v>16.588000000000001</v>
      </c>
      <c r="K76" s="7">
        <f t="shared" si="14"/>
        <v>17.731999999999999</v>
      </c>
      <c r="L76" s="8">
        <f t="shared" si="14"/>
        <v>37.18</v>
      </c>
      <c r="M76">
        <f>F76</f>
        <v>38</v>
      </c>
    </row>
    <row r="77" spans="1:13" x14ac:dyDescent="0.25">
      <c r="A77" t="s">
        <v>250</v>
      </c>
      <c r="B77" t="s">
        <v>72</v>
      </c>
      <c r="C77" s="112">
        <v>16</v>
      </c>
      <c r="D77" s="10">
        <v>33</v>
      </c>
      <c r="E77" s="120">
        <v>56</v>
      </c>
      <c r="F77">
        <f>SUM(C77:E77)</f>
        <v>105</v>
      </c>
      <c r="H77" t="s">
        <v>250</v>
      </c>
      <c r="I77" t="s">
        <v>72</v>
      </c>
      <c r="J77" s="112">
        <f>$M81*J$78/(COUNTA($I$83:$I$84)*$M$78)</f>
        <v>16.588000000000001</v>
      </c>
      <c r="K77" s="10">
        <f>$M81*K$78/(COUNTA($I$83:$I$84)*$M$78)</f>
        <v>17.731999999999999</v>
      </c>
      <c r="L77" s="11">
        <f>$M81*L$78/(COUNTA($I$83:$I$84)*$M$78)</f>
        <v>37.18</v>
      </c>
      <c r="M77">
        <f>F77</f>
        <v>105</v>
      </c>
    </row>
    <row r="78" spans="1:13" x14ac:dyDescent="0.25">
      <c r="C78">
        <f>SUM(C74:C77)</f>
        <v>116</v>
      </c>
      <c r="D78">
        <f>SUM(D74:D77)</f>
        <v>124</v>
      </c>
      <c r="E78">
        <f>SUM(E74:E77)</f>
        <v>260</v>
      </c>
      <c r="F78">
        <f>SUM(C78:E78)</f>
        <v>500</v>
      </c>
      <c r="J78">
        <f>C78</f>
        <v>116</v>
      </c>
      <c r="K78">
        <f>D78</f>
        <v>124</v>
      </c>
      <c r="L78">
        <f>E78</f>
        <v>260</v>
      </c>
      <c r="M78">
        <f>F78</f>
        <v>500</v>
      </c>
    </row>
    <row r="80" spans="1:13" x14ac:dyDescent="0.25">
      <c r="A80" t="s">
        <v>249</v>
      </c>
      <c r="C80" s="96">
        <f>SUM(C74:C75)</f>
        <v>91</v>
      </c>
      <c r="D80" s="98">
        <f>SUM(D74:D75)</f>
        <v>79</v>
      </c>
      <c r="E80" s="99">
        <f>SUM(E74:E75)</f>
        <v>187</v>
      </c>
      <c r="F80">
        <f>SUM(C80:E80)</f>
        <v>357</v>
      </c>
      <c r="H80" t="s">
        <v>249</v>
      </c>
      <c r="J80" s="132">
        <f t="shared" ref="J80:M81" si="15">C80</f>
        <v>91</v>
      </c>
      <c r="K80" s="136">
        <f t="shared" si="15"/>
        <v>79</v>
      </c>
      <c r="L80" s="131">
        <f t="shared" si="15"/>
        <v>187</v>
      </c>
      <c r="M80" s="7">
        <f t="shared" si="15"/>
        <v>357</v>
      </c>
    </row>
    <row r="81" spans="1:13" x14ac:dyDescent="0.25">
      <c r="A81" t="s">
        <v>250</v>
      </c>
      <c r="C81" s="9">
        <f>SUM(C76:C77)</f>
        <v>25</v>
      </c>
      <c r="D81" s="10">
        <f>SUM(D76:D77)</f>
        <v>45</v>
      </c>
      <c r="E81" s="11">
        <f>SUM(E76:E77)</f>
        <v>73</v>
      </c>
      <c r="F81">
        <f>SUM(C81:E81)</f>
        <v>143</v>
      </c>
      <c r="H81" t="s">
        <v>250</v>
      </c>
      <c r="J81" s="112">
        <f t="shared" si="15"/>
        <v>25</v>
      </c>
      <c r="K81" s="10">
        <f t="shared" si="15"/>
        <v>45</v>
      </c>
      <c r="L81" s="11">
        <f t="shared" si="15"/>
        <v>73</v>
      </c>
      <c r="M81" s="7">
        <f t="shared" si="15"/>
        <v>143</v>
      </c>
    </row>
    <row r="83" spans="1:13" x14ac:dyDescent="0.25">
      <c r="B83" t="s">
        <v>94</v>
      </c>
      <c r="C83" s="96">
        <f t="shared" ref="C83:E84" si="16">C74+C76</f>
        <v>68</v>
      </c>
      <c r="D83" s="98">
        <f t="shared" si="16"/>
        <v>67</v>
      </c>
      <c r="E83" s="99">
        <f t="shared" si="16"/>
        <v>124</v>
      </c>
      <c r="F83">
        <f>SUM(C83:E83)</f>
        <v>259</v>
      </c>
      <c r="I83" t="s">
        <v>94</v>
      </c>
      <c r="J83" s="132">
        <f t="shared" ref="J83:M84" si="17">C83</f>
        <v>68</v>
      </c>
      <c r="K83" s="136">
        <f t="shared" si="17"/>
        <v>67</v>
      </c>
      <c r="L83" s="131">
        <f t="shared" si="17"/>
        <v>124</v>
      </c>
      <c r="M83" s="7">
        <f t="shared" si="17"/>
        <v>259</v>
      </c>
    </row>
    <row r="84" spans="1:13" x14ac:dyDescent="0.25">
      <c r="B84" t="s">
        <v>72</v>
      </c>
      <c r="C84" s="9">
        <f t="shared" si="16"/>
        <v>48</v>
      </c>
      <c r="D84" s="10">
        <f t="shared" si="16"/>
        <v>57</v>
      </c>
      <c r="E84" s="11">
        <f t="shared" si="16"/>
        <v>136</v>
      </c>
      <c r="F84">
        <f>SUM(C84:E84)</f>
        <v>241</v>
      </c>
      <c r="I84" t="s">
        <v>72</v>
      </c>
      <c r="J84" s="112">
        <f t="shared" si="17"/>
        <v>48</v>
      </c>
      <c r="K84" s="10">
        <f t="shared" si="17"/>
        <v>57</v>
      </c>
      <c r="L84" s="11">
        <f t="shared" si="17"/>
        <v>136</v>
      </c>
      <c r="M84" s="7">
        <f t="shared" si="17"/>
        <v>241</v>
      </c>
    </row>
  </sheetData>
  <pageMargins left="0.7" right="0.7" top="0.75" bottom="0.75" header="0.3" footer="0.3"/>
  <ignoredErrors>
    <ignoredError sqref="C12:E13 C80:E8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W161"/>
  <sheetViews>
    <sheetView zoomScaleNormal="100" workbookViewId="0"/>
  </sheetViews>
  <sheetFormatPr defaultRowHeight="15" x14ac:dyDescent="0.25"/>
  <cols>
    <col min="1" max="1" width="9.85546875" customWidth="1"/>
    <col min="2" max="2" width="9" customWidth="1"/>
    <col min="3" max="5" width="10.5703125" customWidth="1"/>
    <col min="7" max="7" width="4.140625" customWidth="1"/>
    <col min="8" max="8" width="10.140625" customWidth="1"/>
    <col min="9" max="9" width="9.28515625" customWidth="1"/>
    <col min="10" max="12" width="10.5703125" customWidth="1"/>
    <col min="14" max="14" width="4.85546875" customWidth="1"/>
    <col min="15" max="15" width="10.140625" customWidth="1"/>
    <col min="16" max="16" width="8.42578125" customWidth="1"/>
    <col min="17" max="19" width="10.28515625" customWidth="1"/>
  </cols>
  <sheetData>
    <row r="1" spans="1:23" x14ac:dyDescent="0.25">
      <c r="A1" s="1" t="s">
        <v>252</v>
      </c>
    </row>
    <row r="3" spans="1:23" x14ac:dyDescent="0.25">
      <c r="A3" s="15" t="s">
        <v>91</v>
      </c>
      <c r="H3" t="s">
        <v>253</v>
      </c>
      <c r="O3" t="s">
        <v>294</v>
      </c>
      <c r="V3" t="s">
        <v>254</v>
      </c>
    </row>
    <row r="5" spans="1:23" x14ac:dyDescent="0.25">
      <c r="A5" t="str">
        <f>'Log Lin 2.1'!I3</f>
        <v>Cure</v>
      </c>
      <c r="B5" t="str">
        <f>'Log Lin 2.1'!J3</f>
        <v>Gender</v>
      </c>
      <c r="C5" s="12" t="str">
        <f>'Log Lin 2.1'!C3</f>
        <v>Therapy 1</v>
      </c>
      <c r="D5" s="12" t="str">
        <f>'Log Lin 2.1'!D3</f>
        <v>Therapy 2</v>
      </c>
      <c r="E5" s="12" t="str">
        <f>'Log Lin 2.1'!E3</f>
        <v>Therapy 3</v>
      </c>
      <c r="J5" t="str">
        <f>C5</f>
        <v>Therapy 1</v>
      </c>
      <c r="K5" t="str">
        <f>D5</f>
        <v>Therapy 2</v>
      </c>
      <c r="L5" t="str">
        <f>E5</f>
        <v>Therapy 3</v>
      </c>
      <c r="Q5" t="str">
        <f>C5</f>
        <v>Therapy 1</v>
      </c>
      <c r="R5" t="str">
        <f>D5</f>
        <v>Therapy 2</v>
      </c>
      <c r="S5" t="str">
        <f>E5</f>
        <v>Therapy 3</v>
      </c>
    </row>
    <row r="6" spans="1:23" x14ac:dyDescent="0.25">
      <c r="A6" t="str">
        <f>'Log Lin 2.1'!A4</f>
        <v>Positive</v>
      </c>
      <c r="B6" t="str">
        <f>'Log Lin 2.1'!B4</f>
        <v>Male</v>
      </c>
      <c r="C6" s="101">
        <f>'Log Lin 2.1'!C4</f>
        <v>59</v>
      </c>
      <c r="D6" s="127">
        <f>'Log Lin 2.1'!D4</f>
        <v>55</v>
      </c>
      <c r="E6" s="122">
        <f>'Log Lin 2.1'!E4</f>
        <v>107</v>
      </c>
      <c r="F6">
        <f>SUM(C6:E6)</f>
        <v>221</v>
      </c>
      <c r="H6" t="str">
        <f t="shared" ref="H6:I9" si="0">A6</f>
        <v>Positive</v>
      </c>
      <c r="I6" t="str">
        <f t="shared" si="0"/>
        <v>Male</v>
      </c>
      <c r="J6" s="101">
        <f t="shared" ref="J6:L9" si="1">Q151</f>
        <v>60.468941219727789</v>
      </c>
      <c r="K6" s="127">
        <f t="shared" si="1"/>
        <v>53.109416189162133</v>
      </c>
      <c r="L6" s="122">
        <f t="shared" si="1"/>
        <v>107.42164258226687</v>
      </c>
      <c r="M6">
        <f>SUM(J6:L6)</f>
        <v>220.99999999115681</v>
      </c>
      <c r="O6" t="str">
        <f t="shared" ref="O6:P9" si="2">A6</f>
        <v>Positive</v>
      </c>
      <c r="P6" t="str">
        <f t="shared" si="2"/>
        <v>Male</v>
      </c>
      <c r="Q6" s="96">
        <v>1</v>
      </c>
      <c r="R6" s="98">
        <v>1</v>
      </c>
      <c r="S6" s="99">
        <v>1</v>
      </c>
      <c r="T6">
        <f>SUM(Q6:S6)</f>
        <v>3</v>
      </c>
      <c r="V6" s="101">
        <f>J6*K7/J7/K6</f>
        <v>0.96551897981991508</v>
      </c>
      <c r="W6" s="122">
        <f>J8*K9/J9/K8</f>
        <v>0.96551897981991641</v>
      </c>
    </row>
    <row r="7" spans="1:23" x14ac:dyDescent="0.25">
      <c r="A7" t="str">
        <f>'Log Lin 2.1'!A5</f>
        <v>Positive</v>
      </c>
      <c r="B7" t="str">
        <f>'Log Lin 2.1'!B5</f>
        <v>Female</v>
      </c>
      <c r="C7" s="6">
        <f>'Log Lin 2.1'!C5</f>
        <v>32</v>
      </c>
      <c r="D7" s="7">
        <f>'Log Lin 2.1'!D5</f>
        <v>24</v>
      </c>
      <c r="E7" s="8">
        <f>'Log Lin 2.1'!E5</f>
        <v>80</v>
      </c>
      <c r="F7">
        <f>SUM(C7:E7)</f>
        <v>136</v>
      </c>
      <c r="H7" t="str">
        <f t="shared" si="0"/>
        <v>Positive</v>
      </c>
      <c r="I7" t="str">
        <f t="shared" si="0"/>
        <v>Female</v>
      </c>
      <c r="J7" s="6">
        <f t="shared" si="1"/>
        <v>30.531058777114517</v>
      </c>
      <c r="K7" s="7">
        <f t="shared" si="1"/>
        <v>25.890583824262364</v>
      </c>
      <c r="L7" s="8">
        <f t="shared" si="1"/>
        <v>79.578357410410149</v>
      </c>
      <c r="M7">
        <f>SUM(J7:L7)</f>
        <v>136.00000001178702</v>
      </c>
      <c r="O7" t="str">
        <f t="shared" si="2"/>
        <v>Positive</v>
      </c>
      <c r="P7" t="str">
        <f t="shared" si="2"/>
        <v>Female</v>
      </c>
      <c r="Q7" s="6">
        <v>1</v>
      </c>
      <c r="R7" s="7">
        <v>1</v>
      </c>
      <c r="S7" s="8">
        <v>1</v>
      </c>
      <c r="T7">
        <f>SUM(Q7:S7)</f>
        <v>3</v>
      </c>
      <c r="V7" s="6">
        <f>K6*L7/K7/L6</f>
        <v>1.5196125281541406</v>
      </c>
      <c r="W7" s="8">
        <f>K8*L9/K9/L8</f>
        <v>1.5196125281541391</v>
      </c>
    </row>
    <row r="8" spans="1:23" x14ac:dyDescent="0.25">
      <c r="A8" t="str">
        <f>'Log Lin 2.1'!A6</f>
        <v>Negative</v>
      </c>
      <c r="B8" t="str">
        <f>'Log Lin 2.1'!B6</f>
        <v>Male</v>
      </c>
      <c r="C8" s="6">
        <f>'Log Lin 2.1'!C6</f>
        <v>9</v>
      </c>
      <c r="D8" s="7">
        <f>'Log Lin 2.1'!D6</f>
        <v>12</v>
      </c>
      <c r="E8" s="8">
        <f>'Log Lin 2.1'!E6</f>
        <v>17</v>
      </c>
      <c r="F8">
        <f>SUM(C8:E8)</f>
        <v>38</v>
      </c>
      <c r="H8" t="str">
        <f t="shared" si="0"/>
        <v>Negative</v>
      </c>
      <c r="I8" t="str">
        <f t="shared" si="0"/>
        <v>Male</v>
      </c>
      <c r="J8" s="6">
        <f t="shared" si="1"/>
        <v>7.5310587802722173</v>
      </c>
      <c r="K8" s="7">
        <f t="shared" si="1"/>
        <v>13.890583810837864</v>
      </c>
      <c r="L8" s="8">
        <f t="shared" si="1"/>
        <v>16.57835741773313</v>
      </c>
      <c r="M8">
        <f>SUM(J8:L8)</f>
        <v>38.000000008843216</v>
      </c>
      <c r="O8" t="str">
        <f t="shared" si="2"/>
        <v>Negative</v>
      </c>
      <c r="P8" t="str">
        <f t="shared" si="2"/>
        <v>Male</v>
      </c>
      <c r="Q8" s="6">
        <v>1</v>
      </c>
      <c r="R8" s="7">
        <v>1</v>
      </c>
      <c r="S8" s="8">
        <v>1</v>
      </c>
      <c r="T8">
        <f>SUM(Q8:S8)</f>
        <v>3</v>
      </c>
      <c r="V8" s="112">
        <f>J6*L7/J7/L6</f>
        <v>1.4672147379049478</v>
      </c>
      <c r="W8" s="120">
        <f>J8*L9/J9/L8</f>
        <v>1.4672147379049483</v>
      </c>
    </row>
    <row r="9" spans="1:23" x14ac:dyDescent="0.25">
      <c r="A9" t="str">
        <f>'Log Lin 2.1'!A7</f>
        <v>Negative</v>
      </c>
      <c r="B9" t="str">
        <f>'Log Lin 2.1'!B7</f>
        <v>Female</v>
      </c>
      <c r="C9" s="112">
        <f>'Log Lin 2.1'!C7</f>
        <v>16</v>
      </c>
      <c r="D9" s="10">
        <f>'Log Lin 2.1'!D7</f>
        <v>33</v>
      </c>
      <c r="E9" s="120">
        <f>'Log Lin 2.1'!E7</f>
        <v>56</v>
      </c>
      <c r="F9">
        <f>SUM(C9:E9)</f>
        <v>105</v>
      </c>
      <c r="H9" t="str">
        <f t="shared" si="0"/>
        <v>Negative</v>
      </c>
      <c r="I9" t="str">
        <f t="shared" si="0"/>
        <v>Female</v>
      </c>
      <c r="J9" s="112">
        <f t="shared" si="1"/>
        <v>17.468941222885476</v>
      </c>
      <c r="K9" s="10">
        <f t="shared" si="1"/>
        <v>31.109416175737632</v>
      </c>
      <c r="L9" s="120">
        <f t="shared" si="1"/>
        <v>56.421642589589844</v>
      </c>
      <c r="M9">
        <f>SUM(J9:L9)</f>
        <v>104.99999998821295</v>
      </c>
      <c r="O9" t="str">
        <f t="shared" si="2"/>
        <v>Negative</v>
      </c>
      <c r="P9" t="str">
        <f t="shared" si="2"/>
        <v>Female</v>
      </c>
      <c r="Q9" s="9">
        <v>1</v>
      </c>
      <c r="R9" s="10">
        <v>1</v>
      </c>
      <c r="S9" s="11">
        <v>1</v>
      </c>
      <c r="T9">
        <f>SUM(Q9:S9)</f>
        <v>3</v>
      </c>
    </row>
    <row r="10" spans="1:23" x14ac:dyDescent="0.25">
      <c r="C10">
        <f>SUM(C6:C9)</f>
        <v>116</v>
      </c>
      <c r="D10">
        <f>SUM(D6:D9)</f>
        <v>124</v>
      </c>
      <c r="E10">
        <f>SUM(E6:E9)</f>
        <v>260</v>
      </c>
      <c r="F10">
        <f>SUM(F6:F9)</f>
        <v>500</v>
      </c>
      <c r="J10">
        <f>SUM(J6:J9)</f>
        <v>116</v>
      </c>
      <c r="K10">
        <f>SUM(K6:K9)</f>
        <v>124</v>
      </c>
      <c r="L10">
        <f>SUM(L6:L9)</f>
        <v>260</v>
      </c>
      <c r="M10">
        <f>SUM(M6:M9)</f>
        <v>500</v>
      </c>
      <c r="Q10">
        <f>SUM(Q6:Q9)</f>
        <v>4</v>
      </c>
      <c r="R10">
        <f>SUM(R6:R9)</f>
        <v>4</v>
      </c>
      <c r="S10">
        <f>SUM(S6:S9)</f>
        <v>4</v>
      </c>
      <c r="T10">
        <f>SUM(T6:T9)</f>
        <v>12</v>
      </c>
    </row>
    <row r="12" spans="1:23" x14ac:dyDescent="0.25">
      <c r="A12" t="str">
        <f>A6</f>
        <v>Positive</v>
      </c>
      <c r="C12" s="96">
        <f>SUM(C6:C7)</f>
        <v>91</v>
      </c>
      <c r="D12" s="98">
        <f>SUM(D6:D7)</f>
        <v>79</v>
      </c>
      <c r="E12" s="99">
        <f>SUM(E6:E7)</f>
        <v>187</v>
      </c>
      <c r="F12">
        <f>SUM(C12:E12)</f>
        <v>357</v>
      </c>
      <c r="H12" t="str">
        <f>A12</f>
        <v>Positive</v>
      </c>
      <c r="J12" s="96">
        <f>SUM(J6:J7)</f>
        <v>90.999999996842305</v>
      </c>
      <c r="K12" s="98">
        <f>SUM(K6:K7)</f>
        <v>79.000000013424497</v>
      </c>
      <c r="L12" s="99">
        <f>SUM(L6:L7)</f>
        <v>186.99999999267703</v>
      </c>
      <c r="M12">
        <f>SUM(J12:L12)</f>
        <v>357.00000000294381</v>
      </c>
      <c r="O12" t="str">
        <f>A12</f>
        <v>Positive</v>
      </c>
      <c r="Q12" s="96">
        <f>SUM(Q6:Q7)</f>
        <v>2</v>
      </c>
      <c r="R12" s="98">
        <f>SUM(R6:R7)</f>
        <v>2</v>
      </c>
      <c r="S12" s="99">
        <f>SUM(S6:S7)</f>
        <v>2</v>
      </c>
    </row>
    <row r="13" spans="1:23" x14ac:dyDescent="0.25">
      <c r="A13" t="str">
        <f>A8</f>
        <v>Negative</v>
      </c>
      <c r="C13" s="9">
        <f>SUM(C8:C9)</f>
        <v>25</v>
      </c>
      <c r="D13" s="10">
        <f>SUM(D8:D9)</f>
        <v>45</v>
      </c>
      <c r="E13" s="11">
        <f>SUM(E8:E9)</f>
        <v>73</v>
      </c>
      <c r="F13">
        <f>SUM(C13:E13)</f>
        <v>143</v>
      </c>
      <c r="H13" t="str">
        <f>A13</f>
        <v>Negative</v>
      </c>
      <c r="J13" s="9">
        <f>SUM(J8:J9)</f>
        <v>25.000000003157695</v>
      </c>
      <c r="K13" s="10">
        <f>SUM(K8:K9)</f>
        <v>44.999999986575496</v>
      </c>
      <c r="L13" s="11">
        <f>SUM(L8:L9)</f>
        <v>73.000000007322967</v>
      </c>
      <c r="M13">
        <f>SUM(J13:L13)</f>
        <v>142.99999999705616</v>
      </c>
      <c r="O13" t="str">
        <f>A13</f>
        <v>Negative</v>
      </c>
      <c r="Q13" s="9">
        <f>SUM(Q8:Q9)</f>
        <v>2</v>
      </c>
      <c r="R13" s="10">
        <f>SUM(R8:R9)</f>
        <v>2</v>
      </c>
      <c r="S13" s="11">
        <f>SUM(S8:S9)</f>
        <v>2</v>
      </c>
    </row>
    <row r="15" spans="1:23" x14ac:dyDescent="0.25">
      <c r="B15" t="str">
        <f>B6</f>
        <v>Male</v>
      </c>
      <c r="C15" s="96">
        <f t="shared" ref="C15:E16" si="3">C6+C8</f>
        <v>68</v>
      </c>
      <c r="D15" s="98">
        <f t="shared" si="3"/>
        <v>67</v>
      </c>
      <c r="E15" s="99">
        <f t="shared" si="3"/>
        <v>124</v>
      </c>
      <c r="F15">
        <f>SUM(C15:E15)</f>
        <v>259</v>
      </c>
      <c r="I15" t="str">
        <f>B15</f>
        <v>Male</v>
      </c>
      <c r="J15" s="96">
        <f t="shared" ref="J15:L16" si="4">J6+J8</f>
        <v>68</v>
      </c>
      <c r="K15" s="98">
        <f t="shared" si="4"/>
        <v>67</v>
      </c>
      <c r="L15" s="99">
        <f t="shared" si="4"/>
        <v>124</v>
      </c>
      <c r="M15">
        <f>SUM(J15:L15)</f>
        <v>259</v>
      </c>
      <c r="P15" t="str">
        <f>B15</f>
        <v>Male</v>
      </c>
      <c r="Q15" s="96">
        <f t="shared" ref="Q15:S16" si="5">Q6+Q8</f>
        <v>2</v>
      </c>
      <c r="R15" s="98">
        <f t="shared" si="5"/>
        <v>2</v>
      </c>
      <c r="S15" s="99">
        <f t="shared" si="5"/>
        <v>2</v>
      </c>
    </row>
    <row r="16" spans="1:23" x14ac:dyDescent="0.25">
      <c r="B16" t="str">
        <f>B7</f>
        <v>Female</v>
      </c>
      <c r="C16" s="9">
        <f t="shared" si="3"/>
        <v>48</v>
      </c>
      <c r="D16" s="10">
        <f t="shared" si="3"/>
        <v>57</v>
      </c>
      <c r="E16" s="11">
        <f t="shared" si="3"/>
        <v>136</v>
      </c>
      <c r="F16">
        <f>SUM(C16:E16)</f>
        <v>241</v>
      </c>
      <c r="I16" t="str">
        <f>B16</f>
        <v>Female</v>
      </c>
      <c r="J16" s="9">
        <f t="shared" si="4"/>
        <v>47.999999999999993</v>
      </c>
      <c r="K16" s="10">
        <f t="shared" si="4"/>
        <v>57</v>
      </c>
      <c r="L16" s="11">
        <f t="shared" si="4"/>
        <v>136</v>
      </c>
      <c r="M16">
        <f>SUM(J16:L16)</f>
        <v>241</v>
      </c>
      <c r="P16" t="str">
        <f>B16</f>
        <v>Female</v>
      </c>
      <c r="Q16" s="9">
        <f t="shared" si="5"/>
        <v>2</v>
      </c>
      <c r="R16" s="10">
        <f t="shared" si="5"/>
        <v>2</v>
      </c>
      <c r="S16" s="11">
        <f t="shared" si="5"/>
        <v>2</v>
      </c>
    </row>
    <row r="18" spans="1:20" x14ac:dyDescent="0.25">
      <c r="C18" t="s">
        <v>348</v>
      </c>
      <c r="J18" t="s">
        <v>349</v>
      </c>
      <c r="Q18" t="s">
        <v>350</v>
      </c>
    </row>
    <row r="20" spans="1:20" x14ac:dyDescent="0.25">
      <c r="C20" t="str">
        <f>Q5</f>
        <v>Therapy 1</v>
      </c>
      <c r="D20" t="str">
        <f>R5</f>
        <v>Therapy 2</v>
      </c>
      <c r="E20" t="str">
        <f>S5</f>
        <v>Therapy 3</v>
      </c>
      <c r="J20" t="str">
        <f>C20</f>
        <v>Therapy 1</v>
      </c>
      <c r="K20" t="str">
        <f>D20</f>
        <v>Therapy 2</v>
      </c>
      <c r="L20" t="str">
        <f>E20</f>
        <v>Therapy 3</v>
      </c>
      <c r="Q20" t="str">
        <f>J20</f>
        <v>Therapy 1</v>
      </c>
      <c r="R20" t="str">
        <f>K20</f>
        <v>Therapy 2</v>
      </c>
      <c r="S20" t="str">
        <f>L20</f>
        <v>Therapy 3</v>
      </c>
    </row>
    <row r="21" spans="1:20" x14ac:dyDescent="0.25">
      <c r="A21" t="str">
        <f t="shared" ref="A21:B24" si="6">A6</f>
        <v>Positive</v>
      </c>
      <c r="B21" t="str">
        <f t="shared" si="6"/>
        <v>Male</v>
      </c>
      <c r="C21" s="96">
        <f>Q6*$F$6/$T6</f>
        <v>73.666666666666671</v>
      </c>
      <c r="D21" s="98">
        <f>R6*$F$6/$T6</f>
        <v>73.666666666666671</v>
      </c>
      <c r="E21" s="99">
        <f>S6*$F$6/$T6</f>
        <v>73.666666666666671</v>
      </c>
      <c r="F21">
        <f>SUM(C21:E21)</f>
        <v>221</v>
      </c>
      <c r="H21" t="str">
        <f t="shared" ref="H21:I24" si="7">A21</f>
        <v>Positive</v>
      </c>
      <c r="I21" t="str">
        <f t="shared" si="7"/>
        <v>Male</v>
      </c>
      <c r="J21" s="96">
        <f>C21*$C$12/C27</f>
        <v>56.333333333333336</v>
      </c>
      <c r="K21" s="98">
        <f>D21*$D$12/D27</f>
        <v>48.904761904761905</v>
      </c>
      <c r="L21" s="99">
        <f>E21*$E$12/E27</f>
        <v>115.76190476190477</v>
      </c>
      <c r="M21">
        <f>SUM(J21:L21)</f>
        <v>221</v>
      </c>
      <c r="O21" t="str">
        <f t="shared" ref="O21:P24" si="8">H21</f>
        <v>Positive</v>
      </c>
      <c r="P21" t="str">
        <f t="shared" si="8"/>
        <v>Male</v>
      </c>
      <c r="Q21" s="96">
        <f>J21*$C$15/J30</f>
        <v>60.826738720065144</v>
      </c>
      <c r="R21" s="98">
        <f>K21*$D$15/K30</f>
        <v>53.836150155112136</v>
      </c>
      <c r="S21" s="99">
        <f>L21*$E$15/L30</f>
        <v>106.20318463020496</v>
      </c>
      <c r="T21">
        <f>SUM(Q21:S21)</f>
        <v>220.86607350538225</v>
      </c>
    </row>
    <row r="22" spans="1:20" x14ac:dyDescent="0.25">
      <c r="A22" t="str">
        <f t="shared" si="6"/>
        <v>Positive</v>
      </c>
      <c r="B22" t="str">
        <f t="shared" si="6"/>
        <v>Female</v>
      </c>
      <c r="C22" s="6">
        <f>Q7*$F$7/$T7</f>
        <v>45.333333333333336</v>
      </c>
      <c r="D22" s="7">
        <f>R7*$F$7/$T7</f>
        <v>45.333333333333336</v>
      </c>
      <c r="E22" s="8">
        <f>S7*$F$7/$T7</f>
        <v>45.333333333333336</v>
      </c>
      <c r="F22">
        <f>SUM(C22:E22)</f>
        <v>136</v>
      </c>
      <c r="H22" t="str">
        <f t="shared" si="7"/>
        <v>Positive</v>
      </c>
      <c r="I22" t="str">
        <f t="shared" si="7"/>
        <v>Female</v>
      </c>
      <c r="J22" s="6">
        <f>C22*$C$12/C27</f>
        <v>34.666666666666671</v>
      </c>
      <c r="K22" s="7">
        <f>D22*$D$12/D27</f>
        <v>30.095238095238095</v>
      </c>
      <c r="L22" s="8">
        <f>E22*$E$12/E27</f>
        <v>71.238095238095241</v>
      </c>
      <c r="M22">
        <f>SUM(J22:L22)</f>
        <v>136</v>
      </c>
      <c r="O22" t="str">
        <f t="shared" si="8"/>
        <v>Positive</v>
      </c>
      <c r="P22" t="str">
        <f t="shared" si="8"/>
        <v>Female</v>
      </c>
      <c r="Q22" s="6">
        <f>J22*$C$16/J31</f>
        <v>31.382424055919461</v>
      </c>
      <c r="R22" s="7">
        <f>K22*$D$16/K31</f>
        <v>27.169856699068038</v>
      </c>
      <c r="S22" s="8">
        <f>L22*$E$16/L31</f>
        <v>77.60669844462285</v>
      </c>
      <c r="T22">
        <f>SUM(Q22:S22)</f>
        <v>136.15897919961034</v>
      </c>
    </row>
    <row r="23" spans="1:20" x14ac:dyDescent="0.25">
      <c r="A23" t="str">
        <f t="shared" si="6"/>
        <v>Negative</v>
      </c>
      <c r="B23" t="str">
        <f t="shared" si="6"/>
        <v>Male</v>
      </c>
      <c r="C23" s="6">
        <f>Q8*$F$8/$T8</f>
        <v>12.666666666666666</v>
      </c>
      <c r="D23" s="7">
        <f>R8*$F$8/$T8</f>
        <v>12.666666666666666</v>
      </c>
      <c r="E23" s="8">
        <f>S8*$F$8/$T8</f>
        <v>12.666666666666666</v>
      </c>
      <c r="F23">
        <f>SUM(C23:E23)</f>
        <v>38</v>
      </c>
      <c r="H23" t="str">
        <f t="shared" si="7"/>
        <v>Negative</v>
      </c>
      <c r="I23" t="str">
        <f t="shared" si="7"/>
        <v>Male</v>
      </c>
      <c r="J23" s="6">
        <f>C23*$C$13/C28</f>
        <v>6.6433566433566433</v>
      </c>
      <c r="K23" s="7">
        <f>D23*$D$13/D28</f>
        <v>11.958041958041958</v>
      </c>
      <c r="L23" s="8">
        <f>E23*$E$13/E28</f>
        <v>19.3986013986014</v>
      </c>
      <c r="M23">
        <f>SUM(J23:L23)</f>
        <v>38</v>
      </c>
      <c r="O23" t="str">
        <f t="shared" si="8"/>
        <v>Negative</v>
      </c>
      <c r="P23" t="str">
        <f t="shared" si="8"/>
        <v>Male</v>
      </c>
      <c r="Q23" s="6">
        <f>J23*$C$15/J30</f>
        <v>7.173261279934855</v>
      </c>
      <c r="R23" s="7">
        <f>K23*$D$15/K30</f>
        <v>13.163849844887865</v>
      </c>
      <c r="S23" s="8">
        <f>L23*$E$15/L30</f>
        <v>17.796815369795041</v>
      </c>
      <c r="T23">
        <f>SUM(Q23:S23)</f>
        <v>38.133926494617761</v>
      </c>
    </row>
    <row r="24" spans="1:20" x14ac:dyDescent="0.25">
      <c r="A24" t="str">
        <f t="shared" si="6"/>
        <v>Negative</v>
      </c>
      <c r="B24" t="str">
        <f t="shared" si="6"/>
        <v>Female</v>
      </c>
      <c r="C24" s="9">
        <f>Q9*$F$9/$T9</f>
        <v>35</v>
      </c>
      <c r="D24" s="10">
        <f>R9*$F$9/$T9</f>
        <v>35</v>
      </c>
      <c r="E24" s="11">
        <f>S9*$F$9/$T9</f>
        <v>35</v>
      </c>
      <c r="F24">
        <f>SUM(C24:E24)</f>
        <v>105</v>
      </c>
      <c r="H24" t="str">
        <f t="shared" si="7"/>
        <v>Negative</v>
      </c>
      <c r="I24" t="str">
        <f t="shared" si="7"/>
        <v>Female</v>
      </c>
      <c r="J24" s="9">
        <f>C24*$C$13/C28</f>
        <v>18.356643356643357</v>
      </c>
      <c r="K24" s="10">
        <f>D24*$D$13/D28</f>
        <v>33.041958041958047</v>
      </c>
      <c r="L24" s="11">
        <f>E24*$E$13/E28</f>
        <v>53.601398601398607</v>
      </c>
      <c r="M24">
        <f>SUM(J24:L24)</f>
        <v>105</v>
      </c>
      <c r="O24" t="str">
        <f t="shared" si="8"/>
        <v>Negative</v>
      </c>
      <c r="P24" t="str">
        <f t="shared" si="8"/>
        <v>Female</v>
      </c>
      <c r="Q24" s="9">
        <f>J24*$C$16/J31</f>
        <v>16.617575944080535</v>
      </c>
      <c r="R24" s="10">
        <f>K24*$D$16/K31</f>
        <v>29.830143300931962</v>
      </c>
      <c r="S24" s="11">
        <f>L24*$E$16/L31</f>
        <v>58.393301555377136</v>
      </c>
      <c r="T24">
        <f>SUM(Q24:S24)</f>
        <v>104.84102080038963</v>
      </c>
    </row>
    <row r="25" spans="1:20" x14ac:dyDescent="0.25">
      <c r="C25">
        <f>SUM(C21:C24)</f>
        <v>166.66666666666666</v>
      </c>
      <c r="D25">
        <f>SUM(D21:D24)</f>
        <v>166.66666666666666</v>
      </c>
      <c r="E25">
        <f>SUM(E21:E24)</f>
        <v>166.66666666666666</v>
      </c>
      <c r="F25">
        <f>SUM(F21:F24)</f>
        <v>500</v>
      </c>
      <c r="J25">
        <f>SUM(J21:J24)</f>
        <v>116</v>
      </c>
      <c r="K25">
        <f>SUM(K21:K24)</f>
        <v>124</v>
      </c>
      <c r="L25">
        <f>SUM(L21:L24)</f>
        <v>260</v>
      </c>
      <c r="M25">
        <f>SUM(M21:M24)</f>
        <v>500</v>
      </c>
      <c r="Q25">
        <f>SUM(Q21:Q24)</f>
        <v>116</v>
      </c>
      <c r="R25">
        <f>SUM(R21:R24)</f>
        <v>124</v>
      </c>
      <c r="S25">
        <f>SUM(S21:S24)</f>
        <v>260</v>
      </c>
      <c r="T25">
        <f>SUM(T21:T24)</f>
        <v>500</v>
      </c>
    </row>
    <row r="27" spans="1:20" x14ac:dyDescent="0.25">
      <c r="A27" t="str">
        <f>A12</f>
        <v>Positive</v>
      </c>
      <c r="C27" s="96">
        <f>SUM(C21:C22)</f>
        <v>119</v>
      </c>
      <c r="D27" s="98">
        <f>SUM(D21:D22)</f>
        <v>119</v>
      </c>
      <c r="E27" s="99">
        <f>SUM(E21:E22)</f>
        <v>119</v>
      </c>
      <c r="H27" t="str">
        <f>A27</f>
        <v>Positive</v>
      </c>
      <c r="J27" s="96">
        <f>SUM(J21:J22)</f>
        <v>91</v>
      </c>
      <c r="K27" s="98">
        <f>SUM(K21:K22)</f>
        <v>79</v>
      </c>
      <c r="L27" s="99">
        <f>SUM(L21:L22)</f>
        <v>187</v>
      </c>
      <c r="O27" t="str">
        <f>H27</f>
        <v>Positive</v>
      </c>
      <c r="Q27" s="96">
        <f>SUM(Q21:Q22)</f>
        <v>92.209162775984609</v>
      </c>
      <c r="R27" s="98">
        <f>SUM(R21:R22)</f>
        <v>81.006006854180171</v>
      </c>
      <c r="S27" s="99">
        <f>SUM(S21:S22)</f>
        <v>183.80988307482781</v>
      </c>
    </row>
    <row r="28" spans="1:20" x14ac:dyDescent="0.25">
      <c r="A28" t="str">
        <f>A13</f>
        <v>Negative</v>
      </c>
      <c r="C28" s="9">
        <f>SUM(C23:C24)</f>
        <v>47.666666666666664</v>
      </c>
      <c r="D28" s="10">
        <f>SUM(D23:D24)</f>
        <v>47.666666666666664</v>
      </c>
      <c r="E28" s="11">
        <f>SUM(E23:E24)</f>
        <v>47.666666666666664</v>
      </c>
      <c r="H28" t="str">
        <f>A28</f>
        <v>Negative</v>
      </c>
      <c r="J28" s="9">
        <f>SUM(J23:J24)</f>
        <v>25</v>
      </c>
      <c r="K28" s="10">
        <f>SUM(K23:K24)</f>
        <v>45.000000000000007</v>
      </c>
      <c r="L28" s="11">
        <f>SUM(L23:L24)</f>
        <v>73</v>
      </c>
      <c r="O28" t="str">
        <f>H28</f>
        <v>Negative</v>
      </c>
      <c r="Q28" s="9">
        <f>SUM(Q23:Q24)</f>
        <v>23.790837224015391</v>
      </c>
      <c r="R28" s="10">
        <f>SUM(R23:R24)</f>
        <v>42.993993145819829</v>
      </c>
      <c r="S28" s="11">
        <f>SUM(S23:S24)</f>
        <v>76.190116925172177</v>
      </c>
    </row>
    <row r="30" spans="1:20" x14ac:dyDescent="0.25">
      <c r="B30" t="str">
        <f>B15</f>
        <v>Male</v>
      </c>
      <c r="C30" s="96">
        <f t="shared" ref="C30:E31" si="9">C21+C23</f>
        <v>86.333333333333343</v>
      </c>
      <c r="D30" s="98">
        <f t="shared" si="9"/>
        <v>86.333333333333343</v>
      </c>
      <c r="E30" s="99">
        <f t="shared" si="9"/>
        <v>86.333333333333343</v>
      </c>
      <c r="I30" t="str">
        <f>B30</f>
        <v>Male</v>
      </c>
      <c r="J30" s="96">
        <f t="shared" ref="J30:L31" si="10">J21+J23</f>
        <v>62.976689976689983</v>
      </c>
      <c r="K30" s="98">
        <f t="shared" si="10"/>
        <v>60.862803862803865</v>
      </c>
      <c r="L30" s="99">
        <f t="shared" si="10"/>
        <v>135.16050616050617</v>
      </c>
      <c r="P30" t="str">
        <f>I30</f>
        <v>Male</v>
      </c>
      <c r="Q30" s="96">
        <f t="shared" ref="Q30:S31" si="11">Q21+Q23</f>
        <v>68</v>
      </c>
      <c r="R30" s="98">
        <f t="shared" si="11"/>
        <v>67</v>
      </c>
      <c r="S30" s="99">
        <f t="shared" si="11"/>
        <v>124</v>
      </c>
    </row>
    <row r="31" spans="1:20" x14ac:dyDescent="0.25">
      <c r="B31" t="str">
        <f>B16</f>
        <v>Female</v>
      </c>
      <c r="C31" s="9">
        <f t="shared" si="9"/>
        <v>80.333333333333343</v>
      </c>
      <c r="D31" s="10">
        <f t="shared" si="9"/>
        <v>80.333333333333343</v>
      </c>
      <c r="E31" s="11">
        <f t="shared" si="9"/>
        <v>80.333333333333343</v>
      </c>
      <c r="I31" t="str">
        <f>B31</f>
        <v>Female</v>
      </c>
      <c r="J31" s="9">
        <f t="shared" si="10"/>
        <v>53.023310023310032</v>
      </c>
      <c r="K31" s="10">
        <f t="shared" si="10"/>
        <v>63.137196137196142</v>
      </c>
      <c r="L31" s="11">
        <f t="shared" si="10"/>
        <v>124.83949383949385</v>
      </c>
      <c r="P31" t="str">
        <f>I31</f>
        <v>Female</v>
      </c>
      <c r="Q31" s="9">
        <f t="shared" si="11"/>
        <v>48</v>
      </c>
      <c r="R31" s="10">
        <f t="shared" si="11"/>
        <v>57</v>
      </c>
      <c r="S31" s="11">
        <f t="shared" si="11"/>
        <v>136</v>
      </c>
    </row>
    <row r="33" spans="1:20" x14ac:dyDescent="0.25">
      <c r="C33" t="str">
        <f>C20</f>
        <v>Therapy 1</v>
      </c>
      <c r="D33" t="str">
        <f>D20</f>
        <v>Therapy 2</v>
      </c>
      <c r="E33" t="str">
        <f>E20</f>
        <v>Therapy 3</v>
      </c>
      <c r="J33" t="str">
        <f>J20</f>
        <v>Therapy 1</v>
      </c>
      <c r="K33" t="str">
        <f>K20</f>
        <v>Therapy 2</v>
      </c>
      <c r="L33" t="str">
        <f>L20</f>
        <v>Therapy 3</v>
      </c>
      <c r="Q33" t="str">
        <f>Q20</f>
        <v>Therapy 1</v>
      </c>
      <c r="R33" t="str">
        <f>R20</f>
        <v>Therapy 2</v>
      </c>
      <c r="S33" t="str">
        <f>S20</f>
        <v>Therapy 3</v>
      </c>
    </row>
    <row r="34" spans="1:20" x14ac:dyDescent="0.25">
      <c r="A34" t="str">
        <f t="shared" ref="A34:B37" si="12">A21</f>
        <v>Positive</v>
      </c>
      <c r="B34" t="str">
        <f t="shared" si="12"/>
        <v>Male</v>
      </c>
      <c r="C34" s="96">
        <f>Q21*$F$6/$T21</f>
        <v>60.86362221134344</v>
      </c>
      <c r="D34" s="98">
        <f>R21*$F$6/$T21</f>
        <v>53.868794765303086</v>
      </c>
      <c r="E34" s="99">
        <f>S21*$F$6/$T21</f>
        <v>106.26758302335345</v>
      </c>
      <c r="F34">
        <f>SUM(C34:E34)</f>
        <v>221</v>
      </c>
      <c r="H34" t="str">
        <f t="shared" ref="H34:I37" si="13">A34</f>
        <v>Positive</v>
      </c>
      <c r="I34" t="str">
        <f t="shared" si="13"/>
        <v>Male</v>
      </c>
      <c r="J34" s="96">
        <f>C34*$C$12/C40</f>
        <v>60.065344440868365</v>
      </c>
      <c r="K34" s="98">
        <f>D34*$D$12/D40</f>
        <v>52.534207807145265</v>
      </c>
      <c r="L34" s="99">
        <f>E34*$E$12/E40</f>
        <v>108.12733390482319</v>
      </c>
      <c r="M34">
        <f>SUM(J34:L34)</f>
        <v>220.72688615283681</v>
      </c>
      <c r="O34" t="str">
        <f t="shared" ref="O34:P37" si="14">H34</f>
        <v>Positive</v>
      </c>
      <c r="P34" t="str">
        <f t="shared" si="14"/>
        <v>Male</v>
      </c>
      <c r="Q34" s="96">
        <f>J34*$C$15/J43</f>
        <v>60.441584497136574</v>
      </c>
      <c r="R34" s="98">
        <f>K34*$D$15/K43</f>
        <v>53.117561945616579</v>
      </c>
      <c r="S34" s="99">
        <f>L34*$E$15/L43</f>
        <v>107.16518394316908</v>
      </c>
      <c r="T34">
        <f>SUM(Q34:S34)</f>
        <v>220.72433038592226</v>
      </c>
    </row>
    <row r="35" spans="1:20" x14ac:dyDescent="0.25">
      <c r="A35" t="str">
        <f t="shared" si="12"/>
        <v>Positive</v>
      </c>
      <c r="B35" t="str">
        <f t="shared" si="12"/>
        <v>Female</v>
      </c>
      <c r="C35" s="6">
        <f>Q22*$F$7/$T22</f>
        <v>31.345781943239338</v>
      </c>
      <c r="D35" s="7">
        <f>R22*$F$7/$T22</f>
        <v>27.138133179275684</v>
      </c>
      <c r="E35" s="8">
        <f>S22*$F$7/$T22</f>
        <v>77.516084877484985</v>
      </c>
      <c r="F35">
        <f>SUM(C35:E35)</f>
        <v>136</v>
      </c>
      <c r="H35" t="str">
        <f t="shared" si="13"/>
        <v>Positive</v>
      </c>
      <c r="I35" t="str">
        <f t="shared" si="13"/>
        <v>Female</v>
      </c>
      <c r="J35" s="6">
        <f>C35*$C$12/C40</f>
        <v>30.934655559131631</v>
      </c>
      <c r="K35" s="7">
        <f>D35*$D$12/D40</f>
        <v>26.465792192854735</v>
      </c>
      <c r="L35" s="8">
        <f>E35*$E$12/E40</f>
        <v>78.872666095176797</v>
      </c>
      <c r="M35">
        <f>SUM(J35:L35)</f>
        <v>136.27311384716316</v>
      </c>
      <c r="O35" t="str">
        <f t="shared" si="14"/>
        <v>Positive</v>
      </c>
      <c r="P35" t="str">
        <f t="shared" si="14"/>
        <v>Female</v>
      </c>
      <c r="Q35" s="6">
        <f>J35*$C$16/J44</f>
        <v>30.664241608440154</v>
      </c>
      <c r="R35" s="7">
        <f>K35*$D$16/K44</f>
        <v>26.128498246812214</v>
      </c>
      <c r="S35" s="8">
        <f>L35*$E$16/L44</f>
        <v>79.523646802246233</v>
      </c>
      <c r="T35">
        <f>SUM(Q35:S35)</f>
        <v>136.31638665749858</v>
      </c>
    </row>
    <row r="36" spans="1:20" x14ac:dyDescent="0.25">
      <c r="A36" t="str">
        <f t="shared" si="12"/>
        <v>Negative</v>
      </c>
      <c r="B36" t="str">
        <f t="shared" si="12"/>
        <v>Male</v>
      </c>
      <c r="C36" s="6">
        <f>Q23*$F$8/$T23</f>
        <v>7.1480687590877139</v>
      </c>
      <c r="D36" s="7">
        <f>R23*$F$8/$T23</f>
        <v>13.117618354258406</v>
      </c>
      <c r="E36" s="8">
        <f>S23*$F$8/$T23</f>
        <v>17.734312886653882</v>
      </c>
      <c r="F36">
        <f>SUM(C36:E36)</f>
        <v>38</v>
      </c>
      <c r="H36" t="str">
        <f t="shared" si="13"/>
        <v>Negative</v>
      </c>
      <c r="I36" t="str">
        <f t="shared" si="13"/>
        <v>Male</v>
      </c>
      <c r="J36" s="6">
        <f>C36*$C$13/C41</f>
        <v>7.5113654677302426</v>
      </c>
      <c r="K36" s="7">
        <f>D36*$D$13/D41</f>
        <v>13.729976657540938</v>
      </c>
      <c r="L36" s="8">
        <f>E36*$E$13/E41</f>
        <v>16.985962324933482</v>
      </c>
      <c r="M36">
        <f>SUM(J36:L36)</f>
        <v>38.227304450204663</v>
      </c>
      <c r="O36" t="str">
        <f t="shared" si="14"/>
        <v>Negative</v>
      </c>
      <c r="P36" t="str">
        <f t="shared" si="14"/>
        <v>Male</v>
      </c>
      <c r="Q36" s="6">
        <f>J36*$C$15/J43</f>
        <v>7.558415502863431</v>
      </c>
      <c r="R36" s="7">
        <f>K36*$D$15/K43</f>
        <v>13.88243805438343</v>
      </c>
      <c r="S36" s="8">
        <f>L36*$E$15/L43</f>
        <v>16.834816056830928</v>
      </c>
      <c r="T36">
        <f>SUM(Q36:S36)</f>
        <v>38.275669614077785</v>
      </c>
    </row>
    <row r="37" spans="1:20" x14ac:dyDescent="0.25">
      <c r="A37" t="str">
        <f t="shared" si="12"/>
        <v>Negative</v>
      </c>
      <c r="B37" t="str">
        <f t="shared" si="12"/>
        <v>Female</v>
      </c>
      <c r="C37" s="9">
        <f>Q24*$F$9/$T24</f>
        <v>16.642774562931113</v>
      </c>
      <c r="D37" s="10">
        <f>R24*$F$9/$T24</f>
        <v>29.875377239613979</v>
      </c>
      <c r="E37" s="11">
        <f>S24*$F$9/$T24</f>
        <v>58.481848197454909</v>
      </c>
      <c r="F37">
        <f>SUM(C37:E37)</f>
        <v>105</v>
      </c>
      <c r="H37" t="str">
        <f t="shared" si="13"/>
        <v>Negative</v>
      </c>
      <c r="I37" t="str">
        <f t="shared" si="13"/>
        <v>Female</v>
      </c>
      <c r="J37" s="9">
        <f>C37*$C$13/C41</f>
        <v>17.48863453226976</v>
      </c>
      <c r="K37" s="10">
        <f>D37*$D$13/D41</f>
        <v>31.270023342459062</v>
      </c>
      <c r="L37" s="11">
        <f>E37*$E$13/E41</f>
        <v>56.014037675066518</v>
      </c>
      <c r="M37">
        <f>SUM(J37:L37)</f>
        <v>104.77269554979534</v>
      </c>
      <c r="O37" t="str">
        <f t="shared" si="14"/>
        <v>Negative</v>
      </c>
      <c r="P37" t="str">
        <f t="shared" si="14"/>
        <v>Female</v>
      </c>
      <c r="Q37" s="9">
        <f>J37*$C$16/J44</f>
        <v>17.33575839155985</v>
      </c>
      <c r="R37" s="10">
        <f>K37*$D$16/K44</f>
        <v>30.871501753187786</v>
      </c>
      <c r="S37" s="11">
        <f>L37*$E$16/L44</f>
        <v>56.476353197753774</v>
      </c>
      <c r="T37">
        <f>SUM(Q37:S37)</f>
        <v>104.68361334250142</v>
      </c>
    </row>
    <row r="38" spans="1:20" x14ac:dyDescent="0.25">
      <c r="C38">
        <f>SUM(C34:C37)</f>
        <v>116.00024747660161</v>
      </c>
      <c r="D38">
        <f>SUM(D34:D37)</f>
        <v>123.99992353845116</v>
      </c>
      <c r="E38">
        <f>SUM(E34:E37)</f>
        <v>259.99982898494721</v>
      </c>
      <c r="F38">
        <f>SUM(F34:F37)</f>
        <v>500</v>
      </c>
      <c r="J38">
        <f>SUM(J34:J37)</f>
        <v>116</v>
      </c>
      <c r="K38">
        <f>SUM(K34:K37)</f>
        <v>124</v>
      </c>
      <c r="L38">
        <f>SUM(L34:L37)</f>
        <v>260</v>
      </c>
      <c r="M38">
        <f>SUM(M34:M37)</f>
        <v>500</v>
      </c>
      <c r="Q38">
        <f>SUM(Q34:Q37)</f>
        <v>116</v>
      </c>
      <c r="R38">
        <f>SUM(R34:R37)</f>
        <v>124</v>
      </c>
      <c r="S38">
        <f>SUM(S34:S37)</f>
        <v>260</v>
      </c>
      <c r="T38">
        <f>SUM(T34:T37)</f>
        <v>500.00000000000006</v>
      </c>
    </row>
    <row r="40" spans="1:20" x14ac:dyDescent="0.25">
      <c r="A40" t="str">
        <f>A27</f>
        <v>Positive</v>
      </c>
      <c r="C40" s="96">
        <f>SUM(C34:C35)</f>
        <v>92.209404154582785</v>
      </c>
      <c r="D40" s="98">
        <f>SUM(D34:D35)</f>
        <v>81.006927944578763</v>
      </c>
      <c r="E40" s="99">
        <f>SUM(E34:E35)</f>
        <v>183.78366790083845</v>
      </c>
      <c r="H40" t="str">
        <f>A40</f>
        <v>Positive</v>
      </c>
      <c r="J40" s="96">
        <f>SUM(J34:J35)</f>
        <v>91</v>
      </c>
      <c r="K40" s="98">
        <f>SUM(K34:K35)</f>
        <v>79</v>
      </c>
      <c r="L40" s="99">
        <f>SUM(L34:L35)</f>
        <v>187</v>
      </c>
      <c r="O40" t="str">
        <f>H40</f>
        <v>Positive</v>
      </c>
      <c r="Q40" s="96">
        <f>SUM(Q34:Q35)</f>
        <v>91.105826105576725</v>
      </c>
      <c r="R40" s="98">
        <f>SUM(R34:R35)</f>
        <v>79.246060192428786</v>
      </c>
      <c r="S40" s="99">
        <f>SUM(S34:S35)</f>
        <v>186.68883074541532</v>
      </c>
    </row>
    <row r="41" spans="1:20" x14ac:dyDescent="0.25">
      <c r="A41" t="str">
        <f>A28</f>
        <v>Negative</v>
      </c>
      <c r="C41" s="9">
        <f>SUM(C36:C37)</f>
        <v>23.790843322018826</v>
      </c>
      <c r="D41" s="10">
        <f>SUM(D36:D37)</f>
        <v>42.992995593872386</v>
      </c>
      <c r="E41" s="10">
        <f>SUM(E36:E37)</f>
        <v>76.216161084108791</v>
      </c>
      <c r="H41" t="str">
        <f>A41</f>
        <v>Negative</v>
      </c>
      <c r="J41" s="9">
        <f>SUM(J36:J37)</f>
        <v>25.000000000000004</v>
      </c>
      <c r="K41" s="10">
        <f>SUM(K36:K37)</f>
        <v>45</v>
      </c>
      <c r="L41" s="10">
        <f>SUM(L36:L37)</f>
        <v>73</v>
      </c>
      <c r="O41" t="str">
        <f>H41</f>
        <v>Negative</v>
      </c>
      <c r="Q41" s="9">
        <f>SUM(Q36:Q37)</f>
        <v>24.894173894423282</v>
      </c>
      <c r="R41" s="10">
        <f>SUM(R36:R37)</f>
        <v>44.753939807571214</v>
      </c>
      <c r="S41" s="10">
        <f>SUM(S36:S37)</f>
        <v>73.311169254584698</v>
      </c>
    </row>
    <row r="43" spans="1:20" x14ac:dyDescent="0.25">
      <c r="B43" t="str">
        <f>B30</f>
        <v>Male</v>
      </c>
      <c r="C43" s="96">
        <f t="shared" ref="C43:E44" si="15">C34+C36</f>
        <v>68.011690970431147</v>
      </c>
      <c r="D43" s="98">
        <f t="shared" si="15"/>
        <v>66.98641311956149</v>
      </c>
      <c r="E43" s="99">
        <f t="shared" si="15"/>
        <v>124.00189591000733</v>
      </c>
      <c r="I43" t="str">
        <f>B43</f>
        <v>Male</v>
      </c>
      <c r="J43" s="96">
        <f t="shared" ref="J43:L44" si="16">J34+J36</f>
        <v>67.576709908598602</v>
      </c>
      <c r="K43" s="98">
        <f t="shared" si="16"/>
        <v>66.264184464686195</v>
      </c>
      <c r="L43" s="99">
        <f t="shared" si="16"/>
        <v>125.11329622975667</v>
      </c>
      <c r="P43" t="str">
        <f>I43</f>
        <v>Male</v>
      </c>
      <c r="Q43" s="96">
        <f t="shared" ref="Q43:S44" si="17">Q34+Q36</f>
        <v>68</v>
      </c>
      <c r="R43" s="98">
        <f t="shared" si="17"/>
        <v>67.000000000000014</v>
      </c>
      <c r="S43" s="99">
        <f t="shared" si="17"/>
        <v>124.00000000000001</v>
      </c>
    </row>
    <row r="44" spans="1:20" x14ac:dyDescent="0.25">
      <c r="B44" t="str">
        <f>B31</f>
        <v>Female</v>
      </c>
      <c r="C44" s="9">
        <f t="shared" si="15"/>
        <v>47.988556506170454</v>
      </c>
      <c r="D44" s="10">
        <f t="shared" si="15"/>
        <v>57.013510418889666</v>
      </c>
      <c r="E44" s="11">
        <f t="shared" si="15"/>
        <v>135.99793307493991</v>
      </c>
      <c r="I44" t="str">
        <f>B44</f>
        <v>Female</v>
      </c>
      <c r="J44" s="9">
        <f t="shared" si="16"/>
        <v>48.423290091401391</v>
      </c>
      <c r="K44" s="10">
        <f t="shared" si="16"/>
        <v>57.735815535313797</v>
      </c>
      <c r="L44" s="11">
        <f t="shared" si="16"/>
        <v>134.88670377024332</v>
      </c>
      <c r="P44" t="str">
        <f>I44</f>
        <v>Female</v>
      </c>
      <c r="Q44" s="9">
        <f t="shared" si="17"/>
        <v>48</v>
      </c>
      <c r="R44" s="10">
        <f t="shared" si="17"/>
        <v>57</v>
      </c>
      <c r="S44" s="11">
        <f t="shared" si="17"/>
        <v>136</v>
      </c>
    </row>
    <row r="46" spans="1:20" x14ac:dyDescent="0.25">
      <c r="C46" t="str">
        <f>C33</f>
        <v>Therapy 1</v>
      </c>
      <c r="D46" t="str">
        <f>D33</f>
        <v>Therapy 2</v>
      </c>
      <c r="E46" t="str">
        <f>E33</f>
        <v>Therapy 3</v>
      </c>
      <c r="J46" t="str">
        <f>J33</f>
        <v>Therapy 1</v>
      </c>
      <c r="K46" t="str">
        <f>K33</f>
        <v>Therapy 2</v>
      </c>
      <c r="L46" t="str">
        <f>L33</f>
        <v>Therapy 3</v>
      </c>
      <c r="Q46" t="str">
        <f>Q33</f>
        <v>Therapy 1</v>
      </c>
      <c r="R46" t="str">
        <f>R33</f>
        <v>Therapy 2</v>
      </c>
      <c r="S46" t="str">
        <f>S33</f>
        <v>Therapy 3</v>
      </c>
    </row>
    <row r="47" spans="1:20" x14ac:dyDescent="0.25">
      <c r="A47" t="str">
        <f t="shared" ref="A47:B50" si="18">A34</f>
        <v>Positive</v>
      </c>
      <c r="B47" t="str">
        <f t="shared" si="18"/>
        <v>Male</v>
      </c>
      <c r="C47" s="96">
        <f>Q34*$F$6/$T34</f>
        <v>60.517071908259041</v>
      </c>
      <c r="D47" s="98">
        <f>R34*$F$6/$T34</f>
        <v>53.183902152773157</v>
      </c>
      <c r="E47" s="99">
        <f>S34*$F$6/$T34</f>
        <v>107.29902593896777</v>
      </c>
      <c r="F47">
        <f>SUM(C47:E47)</f>
        <v>220.99999999999997</v>
      </c>
      <c r="H47" t="str">
        <f t="shared" ref="H47:I50" si="19">A47</f>
        <v>Positive</v>
      </c>
      <c r="I47" t="str">
        <f t="shared" si="19"/>
        <v>Male</v>
      </c>
      <c r="J47" s="96">
        <f>C47*$C$12/C53</f>
        <v>60.443913094094022</v>
      </c>
      <c r="K47" s="98">
        <f>D47*$D$12/D53</f>
        <v>53.014954324671031</v>
      </c>
      <c r="L47" s="99">
        <f>E47*$E$12/E53</f>
        <v>107.50708347694862</v>
      </c>
      <c r="M47">
        <f>SUM(J47:L47)</f>
        <v>220.96595089571366</v>
      </c>
      <c r="O47" t="str">
        <f t="shared" ref="O47:P50" si="20">H47</f>
        <v>Positive</v>
      </c>
      <c r="P47" t="str">
        <f t="shared" si="20"/>
        <v>Male</v>
      </c>
      <c r="Q47" s="96">
        <f>J47*$C$15/J56</f>
        <v>60.461331701079054</v>
      </c>
      <c r="R47" s="98">
        <f>K47*$D$15/K56</f>
        <v>53.113845939832792</v>
      </c>
      <c r="S47" s="99">
        <f>L47*$E$15/L56</f>
        <v>107.38714368063954</v>
      </c>
      <c r="T47">
        <f>SUM(Q47:S47)</f>
        <v>220.96232132155137</v>
      </c>
    </row>
    <row r="48" spans="1:20" x14ac:dyDescent="0.25">
      <c r="A48" t="str">
        <f t="shared" si="18"/>
        <v>Positive</v>
      </c>
      <c r="B48" t="str">
        <f t="shared" si="18"/>
        <v>Female</v>
      </c>
      <c r="C48" s="6">
        <f>Q35*$F$7/$T35</f>
        <v>30.593070730564705</v>
      </c>
      <c r="D48" s="7">
        <f>R35*$F$7/$T35</f>
        <v>26.067854706967392</v>
      </c>
      <c r="E48" s="8">
        <f>S35*$F$7/$T35</f>
        <v>79.339074562467928</v>
      </c>
      <c r="F48">
        <f>SUM(C48:E48)</f>
        <v>136.00000000000003</v>
      </c>
      <c r="H48" t="str">
        <f t="shared" si="19"/>
        <v>Positive</v>
      </c>
      <c r="I48" t="str">
        <f t="shared" si="19"/>
        <v>Female</v>
      </c>
      <c r="J48" s="6">
        <f>C48*$C$12/C53</f>
        <v>30.556086905905978</v>
      </c>
      <c r="K48" s="7">
        <f>D48*$D$12/D53</f>
        <v>25.985045675328966</v>
      </c>
      <c r="L48" s="8">
        <f>E48*$E$12/E53</f>
        <v>79.492916523051377</v>
      </c>
      <c r="M48">
        <f>SUM(J48:L48)</f>
        <v>136.03404910428634</v>
      </c>
      <c r="O48" t="str">
        <f t="shared" si="20"/>
        <v>Positive</v>
      </c>
      <c r="P48" t="str">
        <f t="shared" si="20"/>
        <v>Female</v>
      </c>
      <c r="Q48" s="6">
        <f>J48*$C$16/J57</f>
        <v>30.543620998142202</v>
      </c>
      <c r="R48" s="7">
        <f>K48*$D$16/K57</f>
        <v>25.928300920227898</v>
      </c>
      <c r="S48" s="8">
        <f>L48*$E$16/L57</f>
        <v>79.573950044003695</v>
      </c>
      <c r="T48">
        <f>SUM(Q48:S48)</f>
        <v>136.04587196237378</v>
      </c>
    </row>
    <row r="49" spans="1:20" x14ac:dyDescent="0.25">
      <c r="A49" t="str">
        <f t="shared" si="18"/>
        <v>Negative</v>
      </c>
      <c r="B49" t="str">
        <f t="shared" si="18"/>
        <v>Male</v>
      </c>
      <c r="C49" s="6">
        <f>Q36*$F$8/$T36</f>
        <v>7.5039781669337797</v>
      </c>
      <c r="D49" s="7">
        <f>R36*$F$8/$T36</f>
        <v>13.782453746349194</v>
      </c>
      <c r="E49" s="8">
        <f>S36*$F$8/$T36</f>
        <v>16.713568086717029</v>
      </c>
      <c r="F49">
        <f>SUM(C49:E49)</f>
        <v>38</v>
      </c>
      <c r="H49" t="str">
        <f t="shared" si="19"/>
        <v>Negative</v>
      </c>
      <c r="I49" t="str">
        <f t="shared" si="19"/>
        <v>Male</v>
      </c>
      <c r="J49" s="6">
        <f>C49*$C$13/C54</f>
        <v>7.5364964463236754</v>
      </c>
      <c r="K49" s="7">
        <f>D49*$D$13/D54</f>
        <v>13.860299705636924</v>
      </c>
      <c r="L49" s="8">
        <f>E49*$E$13/E54</f>
        <v>16.631411078661849</v>
      </c>
      <c r="M49">
        <f>SUM(J49:L49)</f>
        <v>38.028207230622449</v>
      </c>
      <c r="O49" t="str">
        <f t="shared" si="20"/>
        <v>Negative</v>
      </c>
      <c r="P49" t="str">
        <f t="shared" si="20"/>
        <v>Male</v>
      </c>
      <c r="Q49" s="6">
        <f>J49*$C$15/J56</f>
        <v>7.5386682989209461</v>
      </c>
      <c r="R49" s="7">
        <f>K49*$D$15/K56</f>
        <v>13.886154060167204</v>
      </c>
      <c r="S49" s="8">
        <f>L49*$E$15/L56</f>
        <v>16.612856319360475</v>
      </c>
      <c r="T49">
        <f>SUM(Q49:S49)</f>
        <v>38.037678678448628</v>
      </c>
    </row>
    <row r="50" spans="1:20" x14ac:dyDescent="0.25">
      <c r="A50" t="str">
        <f t="shared" si="18"/>
        <v>Negative</v>
      </c>
      <c r="B50" t="str">
        <f t="shared" si="18"/>
        <v>Female</v>
      </c>
      <c r="C50" s="9">
        <f>Q37*$F$9/$T37</f>
        <v>17.388152481499823</v>
      </c>
      <c r="D50" s="10">
        <f>R37*$F$9/$T37</f>
        <v>30.964805097806742</v>
      </c>
      <c r="E50" s="11">
        <f>S37*$F$9/$T37</f>
        <v>56.647042420693424</v>
      </c>
      <c r="F50">
        <f>SUM(C50:E50)</f>
        <v>104.99999999999999</v>
      </c>
      <c r="H50" t="str">
        <f t="shared" si="19"/>
        <v>Negative</v>
      </c>
      <c r="I50" t="str">
        <f t="shared" si="19"/>
        <v>Female</v>
      </c>
      <c r="J50" s="9">
        <f>C50*$C$13/C54</f>
        <v>17.463503553676325</v>
      </c>
      <c r="K50" s="10">
        <f>D50*$D$13/D54</f>
        <v>31.139700294363074</v>
      </c>
      <c r="L50" s="11">
        <f>E50*$E$13/E54</f>
        <v>56.368588921338151</v>
      </c>
      <c r="M50">
        <f>SUM(J50:L50)</f>
        <v>104.97179276937754</v>
      </c>
      <c r="O50" t="str">
        <f t="shared" si="20"/>
        <v>Negative</v>
      </c>
      <c r="P50" t="str">
        <f t="shared" si="20"/>
        <v>Female</v>
      </c>
      <c r="Q50" s="9">
        <f>J50*$C$16/J57</f>
        <v>17.456379001857798</v>
      </c>
      <c r="R50" s="10">
        <f>K50*$D$16/K57</f>
        <v>31.071699079772099</v>
      </c>
      <c r="S50" s="11">
        <f>L50*$E$16/L57</f>
        <v>56.426049955996312</v>
      </c>
      <c r="T50">
        <f>SUM(Q50:S50)</f>
        <v>104.95412803762622</v>
      </c>
    </row>
    <row r="51" spans="1:20" x14ac:dyDescent="0.25">
      <c r="C51">
        <f>SUM(C47:C50)</f>
        <v>116.00227328725734</v>
      </c>
      <c r="D51">
        <f>SUM(D47:D50)</f>
        <v>123.99901570389649</v>
      </c>
      <c r="E51">
        <f>SUM(E47:E50)</f>
        <v>259.99871100884616</v>
      </c>
      <c r="F51">
        <f>SUM(F47:F50)</f>
        <v>500</v>
      </c>
      <c r="J51">
        <f>SUM(J47:J50)</f>
        <v>116</v>
      </c>
      <c r="K51">
        <f>SUM(K47:K50)</f>
        <v>124</v>
      </c>
      <c r="L51">
        <f>SUM(L47:L50)</f>
        <v>260</v>
      </c>
      <c r="M51">
        <f>SUM(M47:M50)</f>
        <v>500</v>
      </c>
      <c r="Q51">
        <f>SUM(Q47:Q50)</f>
        <v>116.00000000000001</v>
      </c>
      <c r="R51">
        <f>SUM(R47:R50)</f>
        <v>123.99999999999999</v>
      </c>
      <c r="S51">
        <f>SUM(S47:S50)</f>
        <v>260</v>
      </c>
      <c r="T51">
        <f>SUM(T47:T50)</f>
        <v>500</v>
      </c>
    </row>
    <row r="53" spans="1:20" x14ac:dyDescent="0.25">
      <c r="A53" t="str">
        <f>A40</f>
        <v>Positive</v>
      </c>
      <c r="C53" s="96">
        <f>SUM(C47:C48)</f>
        <v>91.110142638823746</v>
      </c>
      <c r="D53" s="98">
        <f>SUM(D47:D48)</f>
        <v>79.251756859740553</v>
      </c>
      <c r="E53" s="99">
        <f>SUM(E47:E48)</f>
        <v>186.6381005014357</v>
      </c>
      <c r="H53" t="str">
        <f>A53</f>
        <v>Positive</v>
      </c>
      <c r="J53" s="96">
        <f>SUM(J47:J48)</f>
        <v>91</v>
      </c>
      <c r="K53" s="98">
        <f>SUM(K47:K48)</f>
        <v>79</v>
      </c>
      <c r="L53" s="99">
        <f>SUM(L47:L48)</f>
        <v>187</v>
      </c>
      <c r="O53" t="str">
        <f>H53</f>
        <v>Positive</v>
      </c>
      <c r="Q53" s="96">
        <f>SUM(Q47:Q48)</f>
        <v>91.004952699221263</v>
      </c>
      <c r="R53" s="98">
        <f>SUM(R47:R48)</f>
        <v>79.042146860060683</v>
      </c>
      <c r="S53" s="99">
        <f>SUM(S47:S48)</f>
        <v>186.96109372464323</v>
      </c>
    </row>
    <row r="54" spans="1:20" x14ac:dyDescent="0.25">
      <c r="A54" t="str">
        <f>A41</f>
        <v>Negative</v>
      </c>
      <c r="C54" s="9">
        <f>SUM(C49:C50)</f>
        <v>24.892130648433604</v>
      </c>
      <c r="D54" s="10">
        <f>SUM(D49:D50)</f>
        <v>44.747258844155937</v>
      </c>
      <c r="E54" s="10">
        <f>SUM(E49:E50)</f>
        <v>73.360610507410456</v>
      </c>
      <c r="H54" t="str">
        <f>A54</f>
        <v>Negative</v>
      </c>
      <c r="J54" s="9">
        <f>SUM(J49:J50)</f>
        <v>25</v>
      </c>
      <c r="K54" s="10">
        <f>SUM(K49:K50)</f>
        <v>45</v>
      </c>
      <c r="L54" s="10">
        <f>SUM(L49:L50)</f>
        <v>73</v>
      </c>
      <c r="O54" t="str">
        <f>H54</f>
        <v>Negative</v>
      </c>
      <c r="Q54" s="9">
        <f>SUM(Q49:Q50)</f>
        <v>24.995047300778744</v>
      </c>
      <c r="R54" s="10">
        <f>SUM(R49:R50)</f>
        <v>44.957853139939303</v>
      </c>
      <c r="S54" s="10">
        <f>SUM(S49:S50)</f>
        <v>73.038906275356794</v>
      </c>
    </row>
    <row r="56" spans="1:20" x14ac:dyDescent="0.25">
      <c r="B56" t="str">
        <f>B43</f>
        <v>Male</v>
      </c>
      <c r="C56" s="96">
        <f t="shared" ref="C56:E57" si="21">C47+C49</f>
        <v>68.021050075192818</v>
      </c>
      <c r="D56" s="98">
        <f t="shared" si="21"/>
        <v>66.966355899122348</v>
      </c>
      <c r="E56" s="99">
        <f t="shared" si="21"/>
        <v>124.01259402568481</v>
      </c>
      <c r="I56" t="str">
        <f>B56</f>
        <v>Male</v>
      </c>
      <c r="J56" s="96">
        <f t="shared" ref="J56:L57" si="22">J47+J49</f>
        <v>67.980409540417696</v>
      </c>
      <c r="K56" s="98">
        <f t="shared" si="22"/>
        <v>66.875254030307957</v>
      </c>
      <c r="L56" s="99">
        <f t="shared" si="22"/>
        <v>124.13849455561046</v>
      </c>
      <c r="P56" t="str">
        <f>I56</f>
        <v>Male</v>
      </c>
      <c r="Q56" s="96">
        <f t="shared" ref="Q56:S57" si="23">Q47+Q49</f>
        <v>68</v>
      </c>
      <c r="R56" s="98">
        <f t="shared" si="23"/>
        <v>67</v>
      </c>
      <c r="S56" s="99">
        <f t="shared" si="23"/>
        <v>124.00000000000001</v>
      </c>
    </row>
    <row r="57" spans="1:20" x14ac:dyDescent="0.25">
      <c r="B57" t="str">
        <f>B44</f>
        <v>Female</v>
      </c>
      <c r="C57" s="9">
        <f t="shared" si="21"/>
        <v>47.981223212064528</v>
      </c>
      <c r="D57" s="10">
        <f t="shared" si="21"/>
        <v>57.032659804774134</v>
      </c>
      <c r="E57" s="11">
        <f t="shared" si="21"/>
        <v>135.98611698316137</v>
      </c>
      <c r="I57" t="str">
        <f>B57</f>
        <v>Female</v>
      </c>
      <c r="J57" s="9">
        <f t="shared" si="22"/>
        <v>48.019590459582304</v>
      </c>
      <c r="K57" s="10">
        <f t="shared" si="22"/>
        <v>57.124745969692043</v>
      </c>
      <c r="L57" s="11">
        <f t="shared" si="22"/>
        <v>135.86150544438954</v>
      </c>
      <c r="P57" t="str">
        <f>I57</f>
        <v>Female</v>
      </c>
      <c r="Q57" s="9">
        <f t="shared" si="23"/>
        <v>48</v>
      </c>
      <c r="R57" s="10">
        <f t="shared" si="23"/>
        <v>57</v>
      </c>
      <c r="S57" s="11">
        <f t="shared" si="23"/>
        <v>136</v>
      </c>
    </row>
    <row r="59" spans="1:20" x14ac:dyDescent="0.25">
      <c r="C59" t="str">
        <f>C46</f>
        <v>Therapy 1</v>
      </c>
      <c r="D59" t="str">
        <f>D46</f>
        <v>Therapy 2</v>
      </c>
      <c r="E59" t="str">
        <f>E46</f>
        <v>Therapy 3</v>
      </c>
      <c r="J59" t="str">
        <f>J46</f>
        <v>Therapy 1</v>
      </c>
      <c r="K59" t="str">
        <f>K46</f>
        <v>Therapy 2</v>
      </c>
      <c r="L59" t="str">
        <f>L46</f>
        <v>Therapy 3</v>
      </c>
      <c r="Q59" t="str">
        <f>Q46</f>
        <v>Therapy 1</v>
      </c>
      <c r="R59" t="str">
        <f>R46</f>
        <v>Therapy 2</v>
      </c>
      <c r="S59" t="str">
        <f>S46</f>
        <v>Therapy 3</v>
      </c>
    </row>
    <row r="60" spans="1:20" x14ac:dyDescent="0.25">
      <c r="A60" t="str">
        <f t="shared" ref="A60:B63" si="24">A47</f>
        <v>Positive</v>
      </c>
      <c r="B60" t="str">
        <f t="shared" si="24"/>
        <v>Male</v>
      </c>
      <c r="C60" s="96">
        <f>Q47*$F$6/$T47</f>
        <v>60.471641617548592</v>
      </c>
      <c r="D60" s="98">
        <f>R47*$F$6/$T47</f>
        <v>53.122902956931306</v>
      </c>
      <c r="E60" s="99">
        <f>S47*$F$6/$T47</f>
        <v>107.4054554255201</v>
      </c>
      <c r="F60">
        <f>SUM(C60:E60)</f>
        <v>221</v>
      </c>
      <c r="H60" t="str">
        <f t="shared" ref="H60:I63" si="25">A60</f>
        <v>Positive</v>
      </c>
      <c r="I60" t="str">
        <f t="shared" si="25"/>
        <v>Male</v>
      </c>
      <c r="J60" s="96">
        <f>C60*$C$12/C66</f>
        <v>60.468343159709541</v>
      </c>
      <c r="K60" s="98">
        <f>D60*$D$12/D66</f>
        <v>53.094365495099751</v>
      </c>
      <c r="L60" s="99">
        <f>E60*$E$12/E66</f>
        <v>107.43270155583764</v>
      </c>
      <c r="M60">
        <f>SUM(J60:L60)</f>
        <v>220.99541021064692</v>
      </c>
      <c r="O60" t="str">
        <f t="shared" ref="O60:P63" si="26">H60</f>
        <v>Positive</v>
      </c>
      <c r="P60" t="str">
        <f t="shared" si="26"/>
        <v>Male</v>
      </c>
      <c r="Q60" s="96">
        <f>J60*$C$15/J69</f>
        <v>60.467465154254064</v>
      </c>
      <c r="R60" s="98">
        <f>K60*$D$15/K69</f>
        <v>53.110359292401142</v>
      </c>
      <c r="S60" s="99">
        <f>L60*$E$15/L69</f>
        <v>107.41676414296779</v>
      </c>
      <c r="T60">
        <f>SUM(Q60:S60)</f>
        <v>220.99458858962299</v>
      </c>
    </row>
    <row r="61" spans="1:20" x14ac:dyDescent="0.25">
      <c r="A61" t="str">
        <f t="shared" si="24"/>
        <v>Positive</v>
      </c>
      <c r="B61" t="str">
        <f t="shared" si="24"/>
        <v>Female</v>
      </c>
      <c r="C61" s="6">
        <f>Q48*$F$7/$T48</f>
        <v>30.533322296586793</v>
      </c>
      <c r="D61" s="7">
        <f>R48*$F$7/$T48</f>
        <v>25.91955841281424</v>
      </c>
      <c r="E61" s="8">
        <f>S48*$F$7/$T48</f>
        <v>79.547119290598971</v>
      </c>
      <c r="F61">
        <f>SUM(C61:E61)</f>
        <v>136</v>
      </c>
      <c r="H61" t="str">
        <f t="shared" si="25"/>
        <v>Positive</v>
      </c>
      <c r="I61" t="str">
        <f t="shared" si="25"/>
        <v>Female</v>
      </c>
      <c r="J61" s="6">
        <f>C61*$C$12/C66</f>
        <v>30.531656840290459</v>
      </c>
      <c r="K61" s="7">
        <f>D61*$D$12/D66</f>
        <v>25.905634504900245</v>
      </c>
      <c r="L61" s="8">
        <f>E61*$E$12/E66</f>
        <v>79.567298444162361</v>
      </c>
      <c r="M61">
        <f>SUM(J61:L61)</f>
        <v>136.00458978935308</v>
      </c>
      <c r="O61" t="str">
        <f t="shared" si="26"/>
        <v>Positive</v>
      </c>
      <c r="P61" t="str">
        <f t="shared" si="26"/>
        <v>Female</v>
      </c>
      <c r="Q61" s="6">
        <f>J61*$C$16/J70</f>
        <v>30.532284902167678</v>
      </c>
      <c r="R61" s="7">
        <f>K61*$D$16/K70</f>
        <v>25.896467808938098</v>
      </c>
      <c r="S61" s="8">
        <f>L61*$E$16/L70</f>
        <v>79.578063639191527</v>
      </c>
      <c r="T61">
        <f>SUM(Q61:S61)</f>
        <v>136.0068163502973</v>
      </c>
    </row>
    <row r="62" spans="1:20" x14ac:dyDescent="0.25">
      <c r="A62" t="str">
        <f t="shared" si="24"/>
        <v>Negative</v>
      </c>
      <c r="B62" t="str">
        <f t="shared" si="24"/>
        <v>Male</v>
      </c>
      <c r="C62" s="6">
        <f>Q49*$F$8/$T49</f>
        <v>7.5312007806960013</v>
      </c>
      <c r="D62" s="7">
        <f>R49*$F$8/$T49</f>
        <v>13.872398963854831</v>
      </c>
      <c r="E62" s="8">
        <f>S49*$F$8/$T49</f>
        <v>16.596400255449161</v>
      </c>
      <c r="F62">
        <f>SUM(C62:E62)</f>
        <v>37.999999999999993</v>
      </c>
      <c r="H62" t="str">
        <f t="shared" si="25"/>
        <v>Negative</v>
      </c>
      <c r="I62" t="str">
        <f t="shared" si="25"/>
        <v>Male</v>
      </c>
      <c r="J62" s="6">
        <f>C62*$C$13/C67</f>
        <v>7.5326442203769135</v>
      </c>
      <c r="K62" s="7">
        <f>D62*$D$13/D67</f>
        <v>13.88545794361408</v>
      </c>
      <c r="L62" s="8">
        <f>E62*$E$13/E67</f>
        <v>16.585696309817958</v>
      </c>
      <c r="M62">
        <f>SUM(J62:L62)</f>
        <v>38.003798473808956</v>
      </c>
      <c r="O62" t="str">
        <f t="shared" si="26"/>
        <v>Negative</v>
      </c>
      <c r="P62" t="str">
        <f t="shared" si="26"/>
        <v>Male</v>
      </c>
      <c r="Q62" s="6">
        <f>J62*$C$15/J69</f>
        <v>7.5325348457459258</v>
      </c>
      <c r="R62" s="7">
        <f>K62*$D$15/K69</f>
        <v>13.889640707598851</v>
      </c>
      <c r="S62" s="8">
        <f>L62*$E$15/L69</f>
        <v>16.583235857032207</v>
      </c>
      <c r="T62">
        <f>SUM(Q62:S62)</f>
        <v>38.005411410376979</v>
      </c>
    </row>
    <row r="63" spans="1:20" x14ac:dyDescent="0.25">
      <c r="A63" t="str">
        <f t="shared" si="24"/>
        <v>Negative</v>
      </c>
      <c r="B63" t="str">
        <f t="shared" si="24"/>
        <v>Female</v>
      </c>
      <c r="C63" s="9">
        <f>Q50*$F$9/$T50</f>
        <v>17.46400860514952</v>
      </c>
      <c r="D63" s="10">
        <f>R50*$F$9/$T50</f>
        <v>31.085279487115066</v>
      </c>
      <c r="E63" s="11">
        <f>S50*$F$9/$T50</f>
        <v>56.450711907735403</v>
      </c>
      <c r="F63">
        <f>SUM(C63:E63)</f>
        <v>105</v>
      </c>
      <c r="H63" t="str">
        <f t="shared" si="25"/>
        <v>Negative</v>
      </c>
      <c r="I63" t="str">
        <f t="shared" si="25"/>
        <v>Female</v>
      </c>
      <c r="J63" s="9">
        <f>C63*$C$13/C67</f>
        <v>17.467355779623087</v>
      </c>
      <c r="K63" s="10">
        <f>D63*$D$13/D67</f>
        <v>31.114542056385925</v>
      </c>
      <c r="L63" s="11">
        <f>E63*$E$13/E67</f>
        <v>56.414303690182038</v>
      </c>
      <c r="M63">
        <f>SUM(J63:L63)</f>
        <v>104.99620152619104</v>
      </c>
      <c r="O63" t="str">
        <f t="shared" si="26"/>
        <v>Negative</v>
      </c>
      <c r="P63" t="str">
        <f t="shared" si="26"/>
        <v>Female</v>
      </c>
      <c r="Q63" s="9">
        <f>J63*$C$16/J70</f>
        <v>17.467715097832325</v>
      </c>
      <c r="R63" s="10">
        <f>K63*$D$16/K70</f>
        <v>31.103532191061902</v>
      </c>
      <c r="S63" s="11">
        <f>L63*$E$16/L70</f>
        <v>56.421936360808473</v>
      </c>
      <c r="T63">
        <f>SUM(Q63:S63)</f>
        <v>104.9931836497027</v>
      </c>
    </row>
    <row r="64" spans="1:20" x14ac:dyDescent="0.25">
      <c r="C64">
        <f>SUM(C60:C63)</f>
        <v>116.0001732999809</v>
      </c>
      <c r="D64">
        <f>SUM(D60:D63)</f>
        <v>124.00013982071545</v>
      </c>
      <c r="E64">
        <f>SUM(E60:E63)</f>
        <v>259.99968687930362</v>
      </c>
      <c r="F64">
        <f>SUM(F60:F63)</f>
        <v>500</v>
      </c>
      <c r="J64">
        <f>SUM(J60:J63)</f>
        <v>116</v>
      </c>
      <c r="K64">
        <f>SUM(K60:K63)</f>
        <v>124.00000000000001</v>
      </c>
      <c r="L64">
        <f>SUM(L60:L63)</f>
        <v>260</v>
      </c>
      <c r="M64">
        <f>SUM(M60:M63)</f>
        <v>500</v>
      </c>
      <c r="Q64">
        <f>SUM(Q60:Q63)</f>
        <v>116</v>
      </c>
      <c r="R64">
        <f>SUM(R60:R63)</f>
        <v>124</v>
      </c>
      <c r="S64">
        <f>SUM(S60:S63)</f>
        <v>260</v>
      </c>
      <c r="T64">
        <f>SUM(T60:T63)</f>
        <v>500</v>
      </c>
    </row>
    <row r="66" spans="1:20" x14ac:dyDescent="0.25">
      <c r="A66" t="str">
        <f>A53</f>
        <v>Positive</v>
      </c>
      <c r="C66" s="96">
        <f>SUM(C60:C61)</f>
        <v>91.004963914135388</v>
      </c>
      <c r="D66" s="98">
        <f>SUM(D60:D61)</f>
        <v>79.042461369745553</v>
      </c>
      <c r="E66" s="99">
        <f>SUM(E60:E61)</f>
        <v>186.95257471611907</v>
      </c>
      <c r="H66" t="str">
        <f>A66</f>
        <v>Positive</v>
      </c>
      <c r="J66" s="96">
        <f>SUM(J60:J61)</f>
        <v>91</v>
      </c>
      <c r="K66" s="98">
        <f>SUM(K60:K61)</f>
        <v>79</v>
      </c>
      <c r="L66" s="99">
        <f>SUM(L60:L61)</f>
        <v>187</v>
      </c>
      <c r="O66" t="str">
        <f>H66</f>
        <v>Positive</v>
      </c>
      <c r="Q66" s="96">
        <f>SUM(Q60:Q61)</f>
        <v>90.999750056421746</v>
      </c>
      <c r="R66" s="98">
        <f>SUM(R60:R61)</f>
        <v>79.00682710133924</v>
      </c>
      <c r="S66" s="99">
        <f>SUM(S60:S61)</f>
        <v>186.99482778215932</v>
      </c>
    </row>
    <row r="67" spans="1:20" x14ac:dyDescent="0.25">
      <c r="A67" t="str">
        <f>A54</f>
        <v>Negative</v>
      </c>
      <c r="C67" s="9">
        <f>SUM(C62:C63)</f>
        <v>24.99520938584552</v>
      </c>
      <c r="D67" s="10">
        <f>SUM(D62:D63)</f>
        <v>44.957678450969894</v>
      </c>
      <c r="E67" s="10">
        <f>SUM(E62:E63)</f>
        <v>73.047112163184565</v>
      </c>
      <c r="H67" t="str">
        <f>A67</f>
        <v>Negative</v>
      </c>
      <c r="J67" s="9">
        <f>SUM(J62:J63)</f>
        <v>25</v>
      </c>
      <c r="K67" s="10">
        <f>SUM(K62:K63)</f>
        <v>45.000000000000007</v>
      </c>
      <c r="L67" s="10">
        <f>SUM(L62:L63)</f>
        <v>73</v>
      </c>
      <c r="O67" t="str">
        <f>H67</f>
        <v>Negative</v>
      </c>
      <c r="Q67" s="9">
        <f>SUM(Q62:Q63)</f>
        <v>25.00024994357825</v>
      </c>
      <c r="R67" s="10">
        <f>SUM(R62:R63)</f>
        <v>44.993172898660752</v>
      </c>
      <c r="S67" s="10">
        <f>SUM(S62:S63)</f>
        <v>73.005172217840681</v>
      </c>
    </row>
    <row r="69" spans="1:20" x14ac:dyDescent="0.25">
      <c r="B69" t="str">
        <f>B56</f>
        <v>Male</v>
      </c>
      <c r="C69" s="96">
        <f t="shared" ref="C69:E70" si="27">C60+C62</f>
        <v>68.002842398244596</v>
      </c>
      <c r="D69" s="98">
        <f t="shared" si="27"/>
        <v>66.995301920786133</v>
      </c>
      <c r="E69" s="99">
        <f t="shared" si="27"/>
        <v>124.00185568096927</v>
      </c>
      <c r="I69" t="str">
        <f>B69</f>
        <v>Male</v>
      </c>
      <c r="J69" s="96">
        <f t="shared" ref="J69:L70" si="28">J60+J62</f>
        <v>68.000987380086457</v>
      </c>
      <c r="K69" s="98">
        <f t="shared" si="28"/>
        <v>66.979823438713836</v>
      </c>
      <c r="L69" s="99">
        <f t="shared" si="28"/>
        <v>124.0183978656556</v>
      </c>
      <c r="P69" t="str">
        <f>I69</f>
        <v>Male</v>
      </c>
      <c r="Q69" s="96">
        <f t="shared" ref="Q69:S70" si="29">Q60+Q62</f>
        <v>67.999999999999986</v>
      </c>
      <c r="R69" s="98">
        <f t="shared" si="29"/>
        <v>67</v>
      </c>
      <c r="S69" s="99">
        <f t="shared" si="29"/>
        <v>124</v>
      </c>
    </row>
    <row r="70" spans="1:20" x14ac:dyDescent="0.25">
      <c r="B70" t="str">
        <f>B57</f>
        <v>Female</v>
      </c>
      <c r="C70" s="9">
        <f t="shared" si="27"/>
        <v>47.997330901736312</v>
      </c>
      <c r="D70" s="10">
        <f t="shared" si="27"/>
        <v>57.004837899929306</v>
      </c>
      <c r="E70" s="11">
        <f t="shared" si="27"/>
        <v>135.99783119833438</v>
      </c>
      <c r="I70" t="str">
        <f>B70</f>
        <v>Female</v>
      </c>
      <c r="J70" s="9">
        <f t="shared" si="28"/>
        <v>47.999012619913543</v>
      </c>
      <c r="K70" s="10">
        <f t="shared" si="28"/>
        <v>57.020176561286171</v>
      </c>
      <c r="L70" s="11">
        <f t="shared" si="28"/>
        <v>135.9816021343444</v>
      </c>
      <c r="P70" t="str">
        <f>I70</f>
        <v>Female</v>
      </c>
      <c r="Q70" s="9">
        <f t="shared" si="29"/>
        <v>48</v>
      </c>
      <c r="R70" s="10">
        <f t="shared" si="29"/>
        <v>57</v>
      </c>
      <c r="S70" s="11">
        <f t="shared" si="29"/>
        <v>136</v>
      </c>
    </row>
    <row r="72" spans="1:20" x14ac:dyDescent="0.25">
      <c r="C72" t="str">
        <f>C59</f>
        <v>Therapy 1</v>
      </c>
      <c r="D72" t="str">
        <f>D59</f>
        <v>Therapy 2</v>
      </c>
      <c r="E72" t="str">
        <f>E59</f>
        <v>Therapy 3</v>
      </c>
      <c r="J72" t="str">
        <f>J59</f>
        <v>Therapy 1</v>
      </c>
      <c r="K72" t="str">
        <f>K59</f>
        <v>Therapy 2</v>
      </c>
      <c r="L72" t="str">
        <f>L59</f>
        <v>Therapy 3</v>
      </c>
      <c r="Q72" t="str">
        <f>Q59</f>
        <v>Therapy 1</v>
      </c>
      <c r="R72" t="str">
        <f>R59</f>
        <v>Therapy 2</v>
      </c>
      <c r="S72" t="str">
        <f>S59</f>
        <v>Therapy 3</v>
      </c>
    </row>
    <row r="73" spans="1:20" x14ac:dyDescent="0.25">
      <c r="A73" t="str">
        <f t="shared" ref="A73:B76" si="30">A60</f>
        <v>Positive</v>
      </c>
      <c r="B73" t="str">
        <f t="shared" si="30"/>
        <v>Male</v>
      </c>
      <c r="C73" s="96">
        <f>Q60*$F$6/$T60</f>
        <v>60.468945798058492</v>
      </c>
      <c r="D73" s="98">
        <f>R60*$F$6/$T60</f>
        <v>53.111659785554558</v>
      </c>
      <c r="E73" s="99">
        <f>S60*$F$6/$T60</f>
        <v>107.41939441638696</v>
      </c>
      <c r="F73">
        <f>SUM(C73:E73)</f>
        <v>221</v>
      </c>
      <c r="H73" t="str">
        <f t="shared" ref="H73:I76" si="31">A73</f>
        <v>Positive</v>
      </c>
      <c r="I73" t="str">
        <f t="shared" si="31"/>
        <v>Male</v>
      </c>
      <c r="J73" s="96">
        <f>C73*$C$12/C79</f>
        <v>60.469144819955858</v>
      </c>
      <c r="K73" s="98">
        <f>D73*$D$12/D79</f>
        <v>53.107068563309497</v>
      </c>
      <c r="L73" s="99">
        <f>E73*$E$12/E79</f>
        <v>107.42314573305423</v>
      </c>
      <c r="M73">
        <f>SUM(J73:L73)</f>
        <v>220.99935911631957</v>
      </c>
      <c r="O73" t="str">
        <f t="shared" ref="O73:P76" si="32">H73</f>
        <v>Positive</v>
      </c>
      <c r="P73" t="str">
        <f t="shared" si="32"/>
        <v>Male</v>
      </c>
      <c r="Q73" s="96">
        <f>J73*$C$15/J82</f>
        <v>60.468688356379609</v>
      </c>
      <c r="R73" s="98">
        <f>K73*$D$15/K82</f>
        <v>53.1095845255157</v>
      </c>
      <c r="S73" s="99">
        <f>L73*$E$15/L82</f>
        <v>107.42093664516084</v>
      </c>
      <c r="T73">
        <f>SUM(Q73:S73)</f>
        <v>220.99920952705617</v>
      </c>
    </row>
    <row r="74" spans="1:20" x14ac:dyDescent="0.25">
      <c r="A74" t="str">
        <f t="shared" si="30"/>
        <v>Positive</v>
      </c>
      <c r="B74" t="str">
        <f t="shared" si="30"/>
        <v>Female</v>
      </c>
      <c r="C74" s="6">
        <f>Q61*$F$7/$T61</f>
        <v>30.530754693940949</v>
      </c>
      <c r="D74" s="7">
        <f>R61*$F$7/$T61</f>
        <v>25.895169937252067</v>
      </c>
      <c r="E74" s="8">
        <f>S61*$F$7/$T61</f>
        <v>79.574075368806987</v>
      </c>
      <c r="F74">
        <f>SUM(C74:E74)</f>
        <v>136</v>
      </c>
      <c r="H74" t="str">
        <f t="shared" si="31"/>
        <v>Positive</v>
      </c>
      <c r="I74" t="str">
        <f t="shared" si="31"/>
        <v>Female</v>
      </c>
      <c r="J74" s="6">
        <f>C74*$C$12/C79</f>
        <v>30.530855180044135</v>
      </c>
      <c r="K74" s="7">
        <f>D74*$D$12/D79</f>
        <v>25.892931436690503</v>
      </c>
      <c r="L74" s="8">
        <f>E74*$E$12/E79</f>
        <v>79.576854266945773</v>
      </c>
      <c r="M74">
        <f>SUM(J74:L74)</f>
        <v>136.0006408836804</v>
      </c>
      <c r="O74" t="str">
        <f t="shared" si="32"/>
        <v>Positive</v>
      </c>
      <c r="P74" t="str">
        <f t="shared" si="32"/>
        <v>Female</v>
      </c>
      <c r="Q74" s="6">
        <f>J74*$C$16/J83</f>
        <v>30.531181682813401</v>
      </c>
      <c r="R74" s="7">
        <f>K74*$D$16/K83</f>
        <v>25.891489692550774</v>
      </c>
      <c r="S74" s="8">
        <f>L74*$E$16/L83</f>
        <v>79.578346380061603</v>
      </c>
      <c r="T74">
        <f>SUM(Q74:S74)</f>
        <v>136.00101775542578</v>
      </c>
    </row>
    <row r="75" spans="1:20" x14ac:dyDescent="0.25">
      <c r="A75" t="str">
        <f t="shared" si="30"/>
        <v>Negative</v>
      </c>
      <c r="B75" t="str">
        <f t="shared" si="30"/>
        <v>Male</v>
      </c>
      <c r="C75" s="6">
        <f>Q62*$F$8/$T62</f>
        <v>7.5314623238150595</v>
      </c>
      <c r="D75" s="7">
        <f>R62*$F$8/$T62</f>
        <v>13.887663027498352</v>
      </c>
      <c r="E75" s="8">
        <f>S62*$F$8/$T62</f>
        <v>16.580874648686596</v>
      </c>
      <c r="F75">
        <f>SUM(C75:E75)</f>
        <v>38.000000000000007</v>
      </c>
      <c r="H75" t="str">
        <f t="shared" si="31"/>
        <v>Negative</v>
      </c>
      <c r="I75" t="str">
        <f t="shared" si="31"/>
        <v>Male</v>
      </c>
      <c r="J75" s="6">
        <f>C75*$C$13/C80</f>
        <v>7.5313684956795273</v>
      </c>
      <c r="K75" s="7">
        <f>D75*$D$13/D80</f>
        <v>13.889757443345959</v>
      </c>
      <c r="L75" s="8">
        <f>E75*$E$13/E80</f>
        <v>16.579404299624088</v>
      </c>
      <c r="M75">
        <f>SUM(J75:L75)</f>
        <v>38.000530238649574</v>
      </c>
      <c r="O75" t="str">
        <f t="shared" si="32"/>
        <v>Negative</v>
      </c>
      <c r="P75" t="str">
        <f t="shared" si="32"/>
        <v>Male</v>
      </c>
      <c r="Q75" s="6">
        <f>J75*$C$15/J82</f>
        <v>7.531311643620386</v>
      </c>
      <c r="R75" s="7">
        <f>K75*$D$15/K82</f>
        <v>13.890415474484302</v>
      </c>
      <c r="S75" s="8">
        <f>L75*$E$15/L82</f>
        <v>16.57906335483916</v>
      </c>
      <c r="T75">
        <f>SUM(Q75:S75)</f>
        <v>38.000790472943848</v>
      </c>
    </row>
    <row r="76" spans="1:20" x14ac:dyDescent="0.25">
      <c r="A76" t="str">
        <f t="shared" si="30"/>
        <v>Negative</v>
      </c>
      <c r="B76" t="str">
        <f t="shared" si="30"/>
        <v>Female</v>
      </c>
      <c r="C76" s="9">
        <f>Q63*$F$9/$T63</f>
        <v>17.468849133975066</v>
      </c>
      <c r="D76" s="10">
        <f>R63*$F$9/$T63</f>
        <v>31.105551489491834</v>
      </c>
      <c r="E76" s="11">
        <f>S63*$F$9/$T63</f>
        <v>56.4255993765331</v>
      </c>
      <c r="F76">
        <f>SUM(C76:E76)</f>
        <v>105</v>
      </c>
      <c r="H76" t="str">
        <f t="shared" si="31"/>
        <v>Negative</v>
      </c>
      <c r="I76" t="str">
        <f t="shared" si="31"/>
        <v>Female</v>
      </c>
      <c r="J76" s="9">
        <f>C76*$C$13/C80</f>
        <v>17.46863150432047</v>
      </c>
      <c r="K76" s="10">
        <f>D76*$D$13/D80</f>
        <v>31.110242556654043</v>
      </c>
      <c r="L76" s="11">
        <f>E76*$E$13/E80</f>
        <v>56.42059570037592</v>
      </c>
      <c r="M76">
        <f>SUM(J76:L76)</f>
        <v>104.99946976135044</v>
      </c>
      <c r="O76" t="str">
        <f t="shared" si="32"/>
        <v>Negative</v>
      </c>
      <c r="P76" t="str">
        <f t="shared" si="32"/>
        <v>Female</v>
      </c>
      <c r="Q76" s="9">
        <f>J76*$C$16/J83</f>
        <v>17.468818317186596</v>
      </c>
      <c r="R76" s="10">
        <f>K76*$D$16/K83</f>
        <v>31.108510307449226</v>
      </c>
      <c r="S76" s="11">
        <f>L76*$E$16/L83</f>
        <v>56.421653619938375</v>
      </c>
      <c r="T76">
        <f>SUM(Q76:S76)</f>
        <v>104.99898224457419</v>
      </c>
    </row>
    <row r="77" spans="1:20" x14ac:dyDescent="0.25">
      <c r="C77">
        <f>SUM(C73:C76)</f>
        <v>116.00001194978958</v>
      </c>
      <c r="D77">
        <f>SUM(D73:D76)</f>
        <v>124.00004423979681</v>
      </c>
      <c r="E77">
        <f>SUM(E73:E76)</f>
        <v>259.99994381041364</v>
      </c>
      <c r="F77">
        <f>SUM(F73:F76)</f>
        <v>500</v>
      </c>
      <c r="J77">
        <f>SUM(J73:J76)</f>
        <v>116</v>
      </c>
      <c r="K77">
        <f>SUM(K73:K76)</f>
        <v>124</v>
      </c>
      <c r="L77">
        <f>SUM(L73:L76)</f>
        <v>260</v>
      </c>
      <c r="M77">
        <f>SUM(M73:M76)</f>
        <v>500</v>
      </c>
      <c r="Q77">
        <f>SUM(Q73:Q76)</f>
        <v>116</v>
      </c>
      <c r="R77">
        <f>SUM(R73:R76)</f>
        <v>124</v>
      </c>
      <c r="S77">
        <f>SUM(S73:S76)</f>
        <v>259.99999999999994</v>
      </c>
      <c r="T77">
        <f>SUM(T73:T76)</f>
        <v>500</v>
      </c>
    </row>
    <row r="79" spans="1:20" x14ac:dyDescent="0.25">
      <c r="A79" t="str">
        <f>A66</f>
        <v>Positive</v>
      </c>
      <c r="C79" s="96">
        <f>SUM(C73:C74)</f>
        <v>90.999700491999448</v>
      </c>
      <c r="D79" s="98">
        <f>SUM(D73:D74)</f>
        <v>79.006829722806629</v>
      </c>
      <c r="E79" s="99">
        <f>SUM(E73:E74)</f>
        <v>186.99346978519395</v>
      </c>
      <c r="H79" t="str">
        <f>A79</f>
        <v>Positive</v>
      </c>
      <c r="J79" s="96">
        <f>SUM(J73:J74)</f>
        <v>91</v>
      </c>
      <c r="K79" s="98">
        <f>SUM(K73:K74)</f>
        <v>79</v>
      </c>
      <c r="L79" s="99">
        <f>SUM(L73:L74)</f>
        <v>187</v>
      </c>
      <c r="O79" t="str">
        <f>H79</f>
        <v>Positive</v>
      </c>
      <c r="Q79" s="96">
        <f>SUM(Q73:Q74)</f>
        <v>90.999870039193013</v>
      </c>
      <c r="R79" s="98">
        <f>SUM(R73:R74)</f>
        <v>79.001074218066478</v>
      </c>
      <c r="S79" s="99">
        <f>SUM(S73:S74)</f>
        <v>186.99928302522244</v>
      </c>
    </row>
    <row r="80" spans="1:20" x14ac:dyDescent="0.25">
      <c r="A80" t="str">
        <f>A67</f>
        <v>Negative</v>
      </c>
      <c r="C80" s="9">
        <f>SUM(C75:C76)</f>
        <v>25.000311457790126</v>
      </c>
      <c r="D80" s="10">
        <f>SUM(D75:D76)</f>
        <v>44.993214516990186</v>
      </c>
      <c r="E80" s="10">
        <f>SUM(E75:E76)</f>
        <v>73.006474025219688</v>
      </c>
      <c r="H80" t="str">
        <f>A80</f>
        <v>Negative</v>
      </c>
      <c r="J80" s="9">
        <f>SUM(J75:J76)</f>
        <v>24.999999999999996</v>
      </c>
      <c r="K80" s="10">
        <f>SUM(K75:K76)</f>
        <v>45</v>
      </c>
      <c r="L80" s="10">
        <f>SUM(L75:L76)</f>
        <v>73</v>
      </c>
      <c r="O80" t="str">
        <f>H80</f>
        <v>Negative</v>
      </c>
      <c r="Q80" s="9">
        <f>SUM(Q75:Q76)</f>
        <v>25.00012996080698</v>
      </c>
      <c r="R80" s="10">
        <f>SUM(R75:R76)</f>
        <v>44.998925781933529</v>
      </c>
      <c r="S80" s="10">
        <f>SUM(S75:S76)</f>
        <v>73.000716974777532</v>
      </c>
    </row>
    <row r="82" spans="1:20" x14ac:dyDescent="0.25">
      <c r="B82" t="str">
        <f>B69</f>
        <v>Male</v>
      </c>
      <c r="C82" s="96">
        <f t="shared" ref="C82:E83" si="33">C73+C75</f>
        <v>68.000408121873548</v>
      </c>
      <c r="D82" s="98">
        <f t="shared" si="33"/>
        <v>66.999322813052913</v>
      </c>
      <c r="E82" s="99">
        <f t="shared" si="33"/>
        <v>124.00026906507355</v>
      </c>
      <c r="I82" t="str">
        <f>B82</f>
        <v>Male</v>
      </c>
      <c r="J82" s="96">
        <f t="shared" ref="J82:L83" si="34">J73+J75</f>
        <v>68.000513315635388</v>
      </c>
      <c r="K82" s="98">
        <f t="shared" si="34"/>
        <v>66.996826006655454</v>
      </c>
      <c r="L82" s="99">
        <f t="shared" si="34"/>
        <v>124.00255003267831</v>
      </c>
      <c r="P82" t="str">
        <f>I82</f>
        <v>Male</v>
      </c>
      <c r="Q82" s="96">
        <f t="shared" ref="Q82:S83" si="35">Q73+Q75</f>
        <v>68</v>
      </c>
      <c r="R82" s="98">
        <f t="shared" si="35"/>
        <v>67</v>
      </c>
      <c r="S82" s="99">
        <f t="shared" si="35"/>
        <v>124</v>
      </c>
    </row>
    <row r="83" spans="1:20" x14ac:dyDescent="0.25">
      <c r="B83" t="str">
        <f>B70</f>
        <v>Female</v>
      </c>
      <c r="C83" s="9">
        <f t="shared" si="33"/>
        <v>47.999603827916019</v>
      </c>
      <c r="D83" s="10">
        <f t="shared" si="33"/>
        <v>57.000721426743901</v>
      </c>
      <c r="E83" s="11">
        <f t="shared" si="33"/>
        <v>135.99967474534009</v>
      </c>
      <c r="I83" t="str">
        <f>B83</f>
        <v>Female</v>
      </c>
      <c r="J83" s="9">
        <f t="shared" si="34"/>
        <v>47.999486684364605</v>
      </c>
      <c r="K83" s="10">
        <f t="shared" si="34"/>
        <v>57.003173993344546</v>
      </c>
      <c r="L83" s="11">
        <f t="shared" si="34"/>
        <v>135.9974499673217</v>
      </c>
      <c r="P83" t="str">
        <f>I83</f>
        <v>Female</v>
      </c>
      <c r="Q83" s="9">
        <f t="shared" si="35"/>
        <v>48</v>
      </c>
      <c r="R83" s="10">
        <f t="shared" si="35"/>
        <v>57</v>
      </c>
      <c r="S83" s="11">
        <f t="shared" si="35"/>
        <v>135.99999999999997</v>
      </c>
    </row>
    <row r="85" spans="1:20" x14ac:dyDescent="0.25">
      <c r="C85" t="str">
        <f>C72</f>
        <v>Therapy 1</v>
      </c>
      <c r="D85" t="str">
        <f>D72</f>
        <v>Therapy 2</v>
      </c>
      <c r="E85" t="str">
        <f>E72</f>
        <v>Therapy 3</v>
      </c>
      <c r="J85" t="str">
        <f>J72</f>
        <v>Therapy 1</v>
      </c>
      <c r="K85" t="str">
        <f>K72</f>
        <v>Therapy 2</v>
      </c>
      <c r="L85" t="str">
        <f>L72</f>
        <v>Therapy 3</v>
      </c>
      <c r="Q85" t="str">
        <f>Q72</f>
        <v>Therapy 1</v>
      </c>
      <c r="R85" t="str">
        <f>R72</f>
        <v>Therapy 2</v>
      </c>
      <c r="S85" t="str">
        <f>S72</f>
        <v>Therapy 3</v>
      </c>
    </row>
    <row r="86" spans="1:20" x14ac:dyDescent="0.25">
      <c r="A86" t="str">
        <f t="shared" ref="A86:B89" si="36">A73</f>
        <v>Positive</v>
      </c>
      <c r="B86" t="str">
        <f t="shared" si="36"/>
        <v>Male</v>
      </c>
      <c r="C86" s="96">
        <f>Q73*$F$6/$T73</f>
        <v>60.468904641597085</v>
      </c>
      <c r="D86" s="98">
        <f>R73*$F$6/$T73</f>
        <v>53.109774488591661</v>
      </c>
      <c r="E86" s="99">
        <f>S73*$F$6/$T73</f>
        <v>107.42132086981124</v>
      </c>
      <c r="F86">
        <f>SUM(C86:E86)</f>
        <v>221</v>
      </c>
      <c r="H86" t="str">
        <f t="shared" ref="H86:I89" si="37">A86</f>
        <v>Positive</v>
      </c>
      <c r="I86" t="str">
        <f t="shared" si="37"/>
        <v>Male</v>
      </c>
      <c r="J86" s="96">
        <f>C86*$C$12/C92</f>
        <v>60.468999102047221</v>
      </c>
      <c r="K86" s="98">
        <f>D86*$D$12/D92</f>
        <v>53.109054878552698</v>
      </c>
      <c r="L86" s="99">
        <f>E86*$E$12/E92</f>
        <v>107.4218541129806</v>
      </c>
      <c r="M86">
        <f>SUM(J86:L86)</f>
        <v>220.99990809358053</v>
      </c>
      <c r="O86" t="str">
        <f t="shared" ref="O86:P89" si="38">H86</f>
        <v>Positive</v>
      </c>
      <c r="P86" t="str">
        <f t="shared" si="38"/>
        <v>Male</v>
      </c>
      <c r="Q86" s="96">
        <f>J86*$C$15/J95</f>
        <v>60.468900289990039</v>
      </c>
      <c r="R86" s="98">
        <f>K86*$D$15/K95</f>
        <v>53.109443995952745</v>
      </c>
      <c r="S86" s="99">
        <f>L86*$E$15/L95</f>
        <v>107.42153887328529</v>
      </c>
      <c r="T86">
        <f>SUM(Q86:S86)</f>
        <v>220.99988315922809</v>
      </c>
    </row>
    <row r="87" spans="1:20" x14ac:dyDescent="0.25">
      <c r="A87" t="str">
        <f t="shared" si="36"/>
        <v>Positive</v>
      </c>
      <c r="B87" t="str">
        <f t="shared" si="36"/>
        <v>Female</v>
      </c>
      <c r="C87" s="6">
        <f>Q74*$F$7/$T74</f>
        <v>30.530953204554002</v>
      </c>
      <c r="D87" s="7">
        <f>R74*$F$7/$T74</f>
        <v>25.89129593514696</v>
      </c>
      <c r="E87" s="8">
        <f>S74*$F$7/$T74</f>
        <v>79.577750860299048</v>
      </c>
      <c r="F87">
        <f>SUM(C87:E87)</f>
        <v>136</v>
      </c>
      <c r="H87" t="str">
        <f t="shared" si="37"/>
        <v>Positive</v>
      </c>
      <c r="I87" t="str">
        <f t="shared" si="37"/>
        <v>Female</v>
      </c>
      <c r="J87" s="6">
        <f>C87*$C$12/C92</f>
        <v>30.531000897952779</v>
      </c>
      <c r="K87" s="7">
        <f>D87*$D$12/D92</f>
        <v>25.890945121447295</v>
      </c>
      <c r="L87" s="8">
        <f>E87*$E$12/E92</f>
        <v>79.578145887019403</v>
      </c>
      <c r="M87">
        <f>SUM(J87:L87)</f>
        <v>136.00009190641947</v>
      </c>
      <c r="O87" t="str">
        <f t="shared" si="38"/>
        <v>Positive</v>
      </c>
      <c r="P87" t="str">
        <f t="shared" si="38"/>
        <v>Female</v>
      </c>
      <c r="Q87" s="6">
        <f>J87*$C$16/J96</f>
        <v>30.531071576496615</v>
      </c>
      <c r="R87" s="7">
        <f>K87*$D$16/K96</f>
        <v>25.890722148072218</v>
      </c>
      <c r="S87" s="8">
        <f>L87*$E$16/L96</f>
        <v>79.578358812327579</v>
      </c>
      <c r="T87">
        <f>SUM(Q87:S87)</f>
        <v>136.00015253689639</v>
      </c>
    </row>
    <row r="88" spans="1:20" x14ac:dyDescent="0.25">
      <c r="A88" t="str">
        <f t="shared" si="36"/>
        <v>Negative</v>
      </c>
      <c r="B88" t="str">
        <f t="shared" si="36"/>
        <v>Male</v>
      </c>
      <c r="C88" s="6">
        <f>Q75*$F$8/$T75</f>
        <v>7.5311549811401619</v>
      </c>
      <c r="D88" s="7">
        <f>R75*$F$8/$T75</f>
        <v>13.890126533189273</v>
      </c>
      <c r="E88" s="8">
        <f>S75*$F$8/$T75</f>
        <v>16.578718485670567</v>
      </c>
      <c r="F88">
        <f>SUM(C88:E88)</f>
        <v>38</v>
      </c>
      <c r="H88" t="str">
        <f t="shared" si="37"/>
        <v>Negative</v>
      </c>
      <c r="I88" t="str">
        <f t="shared" si="37"/>
        <v>Male</v>
      </c>
      <c r="J88" s="6">
        <f>C88*$C$13/C93</f>
        <v>7.5311120165584802</v>
      </c>
      <c r="K88" s="7">
        <f>D88*$D$13/D93</f>
        <v>13.890454231996364</v>
      </c>
      <c r="L88" s="8">
        <f>E88*$E$13/E93</f>
        <v>16.578509777935764</v>
      </c>
      <c r="M88">
        <f>SUM(J88:L88)</f>
        <v>38.000076026490603</v>
      </c>
      <c r="O88" t="str">
        <f t="shared" si="38"/>
        <v>Negative</v>
      </c>
      <c r="P88" t="str">
        <f t="shared" si="38"/>
        <v>Male</v>
      </c>
      <c r="Q88" s="6">
        <f>J88*$C$15/J95</f>
        <v>7.531099710009963</v>
      </c>
      <c r="R88" s="7">
        <f>K88*$D$15/K95</f>
        <v>13.89055600404726</v>
      </c>
      <c r="S88" s="8">
        <f>L88*$E$15/L95</f>
        <v>16.578461126714704</v>
      </c>
      <c r="T88">
        <f>SUM(Q88:S88)</f>
        <v>38.000116840771923</v>
      </c>
    </row>
    <row r="89" spans="1:20" x14ac:dyDescent="0.25">
      <c r="A89" t="str">
        <f t="shared" si="36"/>
        <v>Negative</v>
      </c>
      <c r="B89" t="str">
        <f t="shared" si="36"/>
        <v>Female</v>
      </c>
      <c r="C89" s="9">
        <f>Q76*$F$9/$T76</f>
        <v>17.468987642490941</v>
      </c>
      <c r="D89" s="10">
        <f>R76*$F$9/$T76</f>
        <v>31.108811842325824</v>
      </c>
      <c r="E89" s="11">
        <f>S76*$F$9/$T76</f>
        <v>56.422200515183235</v>
      </c>
      <c r="F89">
        <f>SUM(C89:E89)</f>
        <v>105</v>
      </c>
      <c r="H89" t="str">
        <f t="shared" si="37"/>
        <v>Negative</v>
      </c>
      <c r="I89" t="str">
        <f t="shared" si="37"/>
        <v>Female</v>
      </c>
      <c r="J89" s="9">
        <f>C89*$C$13/C93</f>
        <v>17.468887983441519</v>
      </c>
      <c r="K89" s="10">
        <f>D89*$D$13/D93</f>
        <v>31.109545768003638</v>
      </c>
      <c r="L89" s="11">
        <f>E89*$E$13/E93</f>
        <v>56.421490222064243</v>
      </c>
      <c r="M89">
        <f>SUM(J89:L89)</f>
        <v>104.9999239735094</v>
      </c>
      <c r="O89" t="str">
        <f t="shared" si="38"/>
        <v>Negative</v>
      </c>
      <c r="P89" t="str">
        <f t="shared" si="38"/>
        <v>Female</v>
      </c>
      <c r="Q89" s="9">
        <f>J89*$C$16/J96</f>
        <v>17.468928423503385</v>
      </c>
      <c r="R89" s="10">
        <f>K89*$D$16/K96</f>
        <v>31.109277851927786</v>
      </c>
      <c r="S89" s="11">
        <f>L89*$E$16/L96</f>
        <v>56.421641187672435</v>
      </c>
      <c r="T89">
        <f>SUM(Q89:S89)</f>
        <v>104.99984746310361</v>
      </c>
    </row>
    <row r="90" spans="1:20" x14ac:dyDescent="0.25">
      <c r="C90">
        <f>SUM(C86:C89)</f>
        <v>116.00000046978219</v>
      </c>
      <c r="D90">
        <f>SUM(D86:D89)</f>
        <v>124.00000879925372</v>
      </c>
      <c r="E90">
        <f>SUM(E86:E89)</f>
        <v>259.9999907309641</v>
      </c>
      <c r="F90">
        <f>SUM(F86:F89)</f>
        <v>500</v>
      </c>
      <c r="J90">
        <f>SUM(J86:J89)</f>
        <v>116</v>
      </c>
      <c r="K90">
        <f>SUM(K86:K89)</f>
        <v>124</v>
      </c>
      <c r="L90">
        <f>SUM(L86:L89)</f>
        <v>260</v>
      </c>
      <c r="M90">
        <f>SUM(M86:M89)</f>
        <v>500</v>
      </c>
      <c r="Q90">
        <f>SUM(Q86:Q89)</f>
        <v>116</v>
      </c>
      <c r="R90">
        <f>SUM(R86:R89)</f>
        <v>124</v>
      </c>
      <c r="S90">
        <f>SUM(S86:S89)</f>
        <v>260</v>
      </c>
      <c r="T90">
        <f>SUM(T86:T89)</f>
        <v>500</v>
      </c>
    </row>
    <row r="92" spans="1:20" x14ac:dyDescent="0.25">
      <c r="A92" t="str">
        <f>A79</f>
        <v>Positive</v>
      </c>
      <c r="C92" s="96">
        <f>SUM(C86:C87)</f>
        <v>90.999857846151087</v>
      </c>
      <c r="D92" s="98">
        <f>SUM(D86:D87)</f>
        <v>79.001070423738625</v>
      </c>
      <c r="E92" s="99">
        <f>SUM(E86:E87)</f>
        <v>186.9990717301103</v>
      </c>
      <c r="H92" t="str">
        <f>A92</f>
        <v>Positive</v>
      </c>
      <c r="J92" s="96">
        <f>SUM(J86:J87)</f>
        <v>91</v>
      </c>
      <c r="K92" s="98">
        <f>SUM(K86:K87)</f>
        <v>79</v>
      </c>
      <c r="L92" s="99">
        <f>SUM(L86:L87)</f>
        <v>187</v>
      </c>
      <c r="O92" t="str">
        <f>H92</f>
        <v>Positive</v>
      </c>
      <c r="Q92" s="96">
        <f>SUM(Q86:Q87)</f>
        <v>90.999971866486646</v>
      </c>
      <c r="R92" s="98">
        <f>SUM(R86:R87)</f>
        <v>79.000166144024959</v>
      </c>
      <c r="S92" s="99">
        <f>SUM(S86:S87)</f>
        <v>186.99989768561286</v>
      </c>
    </row>
    <row r="93" spans="1:20" x14ac:dyDescent="0.25">
      <c r="A93" t="str">
        <f>A80</f>
        <v>Negative</v>
      </c>
      <c r="C93" s="9">
        <f>SUM(C88:C89)</f>
        <v>25.000142623631103</v>
      </c>
      <c r="D93" s="10">
        <f>SUM(D88:D89)</f>
        <v>44.998938375515095</v>
      </c>
      <c r="E93" s="10">
        <f>SUM(E88:E89)</f>
        <v>73.000919000853798</v>
      </c>
      <c r="H93" t="str">
        <f>A93</f>
        <v>Negative</v>
      </c>
      <c r="J93" s="9">
        <f>SUM(J88:J89)</f>
        <v>25</v>
      </c>
      <c r="K93" s="10">
        <f>SUM(K88:K89)</f>
        <v>45</v>
      </c>
      <c r="L93" s="10">
        <f>SUM(L88:L89)</f>
        <v>73</v>
      </c>
      <c r="O93" t="str">
        <f>H93</f>
        <v>Negative</v>
      </c>
      <c r="Q93" s="9">
        <f>SUM(Q88:Q89)</f>
        <v>25.000028133513347</v>
      </c>
      <c r="R93" s="10">
        <f>SUM(R88:R89)</f>
        <v>44.999833855975048</v>
      </c>
      <c r="S93" s="10">
        <f>SUM(S88:S89)</f>
        <v>73.000102314387135</v>
      </c>
    </row>
    <row r="95" spans="1:20" x14ac:dyDescent="0.25">
      <c r="B95" t="str">
        <f>B82</f>
        <v>Male</v>
      </c>
      <c r="C95" s="96">
        <f t="shared" ref="C95:E96" si="39">C86+C88</f>
        <v>68.00005962273724</v>
      </c>
      <c r="D95" s="98">
        <f t="shared" si="39"/>
        <v>66.999901021780929</v>
      </c>
      <c r="E95" s="99">
        <f t="shared" si="39"/>
        <v>124.0000393554818</v>
      </c>
      <c r="I95" t="str">
        <f>B95</f>
        <v>Male</v>
      </c>
      <c r="J95" s="96">
        <f t="shared" ref="J95:L96" si="40">J86+J88</f>
        <v>68.000111118605702</v>
      </c>
      <c r="K95" s="98">
        <f t="shared" si="40"/>
        <v>66.999509110549056</v>
      </c>
      <c r="L95" s="99">
        <f t="shared" si="40"/>
        <v>124.00036389091636</v>
      </c>
      <c r="P95" t="str">
        <f>I95</f>
        <v>Male</v>
      </c>
      <c r="Q95" s="96">
        <f t="shared" ref="Q95:S96" si="41">Q86+Q88</f>
        <v>68</v>
      </c>
      <c r="R95" s="98">
        <f t="shared" si="41"/>
        <v>67</v>
      </c>
      <c r="S95" s="99">
        <f t="shared" si="41"/>
        <v>123.99999999999999</v>
      </c>
    </row>
    <row r="96" spans="1:20" x14ac:dyDescent="0.25">
      <c r="B96" t="str">
        <f>B83</f>
        <v>Female</v>
      </c>
      <c r="C96" s="9">
        <f t="shared" si="39"/>
        <v>47.99994084704494</v>
      </c>
      <c r="D96" s="10">
        <f t="shared" si="39"/>
        <v>57.000107777472785</v>
      </c>
      <c r="E96" s="11">
        <f t="shared" si="39"/>
        <v>135.99995137548228</v>
      </c>
      <c r="I96" t="str">
        <f>B96</f>
        <v>Female</v>
      </c>
      <c r="J96" s="9">
        <f t="shared" si="40"/>
        <v>47.999888881394298</v>
      </c>
      <c r="K96" s="10">
        <f t="shared" si="40"/>
        <v>57.00049088945093</v>
      </c>
      <c r="L96" s="11">
        <f t="shared" si="40"/>
        <v>135.99963610908364</v>
      </c>
      <c r="P96" t="str">
        <f>I96</f>
        <v>Female</v>
      </c>
      <c r="Q96" s="9">
        <f t="shared" si="41"/>
        <v>48</v>
      </c>
      <c r="R96" s="10">
        <f t="shared" si="41"/>
        <v>57</v>
      </c>
      <c r="S96" s="11">
        <f t="shared" si="41"/>
        <v>136</v>
      </c>
    </row>
    <row r="98" spans="1:20" x14ac:dyDescent="0.25">
      <c r="C98" t="str">
        <f>C85</f>
        <v>Therapy 1</v>
      </c>
      <c r="D98" t="str">
        <f>D85</f>
        <v>Therapy 2</v>
      </c>
      <c r="E98" t="str">
        <f>E85</f>
        <v>Therapy 3</v>
      </c>
      <c r="J98" t="str">
        <f>J85</f>
        <v>Therapy 1</v>
      </c>
      <c r="K98" t="str">
        <f>K85</f>
        <v>Therapy 2</v>
      </c>
      <c r="L98" t="str">
        <f>L85</f>
        <v>Therapy 3</v>
      </c>
      <c r="Q98" t="str">
        <f>Q85</f>
        <v>Therapy 1</v>
      </c>
      <c r="R98" t="str">
        <f>R85</f>
        <v>Therapy 2</v>
      </c>
      <c r="S98" t="str">
        <f>S85</f>
        <v>Therapy 3</v>
      </c>
    </row>
    <row r="99" spans="1:20" x14ac:dyDescent="0.25">
      <c r="A99" t="str">
        <f t="shared" ref="A99:B102" si="42">A86</f>
        <v>Positive</v>
      </c>
      <c r="B99" t="str">
        <f t="shared" si="42"/>
        <v>Male</v>
      </c>
      <c r="C99" s="96">
        <f>Q86*$F$6/$T86</f>
        <v>60.468932259386968</v>
      </c>
      <c r="D99" s="98">
        <f>R86*$F$6/$T86</f>
        <v>53.109472074467284</v>
      </c>
      <c r="E99" s="99">
        <f>S86*$F$6/$T86</f>
        <v>107.42159566614572</v>
      </c>
      <c r="F99">
        <f>SUM(C99:E99)</f>
        <v>220.99999999999997</v>
      </c>
      <c r="H99" t="str">
        <f t="shared" ref="H99:I102" si="43">A99</f>
        <v>Positive</v>
      </c>
      <c r="I99" t="str">
        <f t="shared" si="43"/>
        <v>Male</v>
      </c>
      <c r="J99" s="96">
        <f>C99*$C$12/C105</f>
        <v>60.468952465034235</v>
      </c>
      <c r="K99" s="98">
        <f>D99*$D$12/D105</f>
        <v>53.109361026375204</v>
      </c>
      <c r="L99" s="99">
        <f>E99*$E$12/E105</f>
        <v>107.42167308793387</v>
      </c>
      <c r="M99">
        <f>SUM(J99:L99)</f>
        <v>220.9999865793433</v>
      </c>
      <c r="O99" t="str">
        <f t="shared" ref="O99:P102" si="44">H99</f>
        <v>Positive</v>
      </c>
      <c r="P99" t="str">
        <f t="shared" si="44"/>
        <v>Male</v>
      </c>
      <c r="Q99" s="96">
        <f>J99*$C$15/J108</f>
        <v>60.468934791572515</v>
      </c>
      <c r="R99" s="98">
        <f>K99*$D$15/K108</f>
        <v>53.10942060480339</v>
      </c>
      <c r="S99" s="99">
        <f>L99*$E$15/L108</f>
        <v>107.42162720309202</v>
      </c>
      <c r="T99">
        <f>SUM(Q99:S99)</f>
        <v>220.99998259946793</v>
      </c>
    </row>
    <row r="100" spans="1:20" x14ac:dyDescent="0.25">
      <c r="A100" t="str">
        <f t="shared" si="42"/>
        <v>Positive</v>
      </c>
      <c r="B100" t="str">
        <f t="shared" si="42"/>
        <v>Female</v>
      </c>
      <c r="C100" s="6">
        <f>Q87*$F$7/$T87</f>
        <v>30.531037333043098</v>
      </c>
      <c r="D100" s="7">
        <f>R87*$F$7/$T87</f>
        <v>25.890693109204772</v>
      </c>
      <c r="E100" s="8">
        <f>S87*$F$7/$T87</f>
        <v>79.578269557752151</v>
      </c>
      <c r="F100">
        <f>SUM(C100:E100)</f>
        <v>136.00000000000003</v>
      </c>
      <c r="H100" t="str">
        <f t="shared" si="43"/>
        <v>Positive</v>
      </c>
      <c r="I100" t="str">
        <f t="shared" si="43"/>
        <v>Female</v>
      </c>
      <c r="J100" s="6">
        <f>C100*$C$12/C105</f>
        <v>30.531047534965772</v>
      </c>
      <c r="K100" s="7">
        <f>D100*$D$12/D105</f>
        <v>25.890638973624803</v>
      </c>
      <c r="L100" s="8">
        <f>E100*$E$12/E105</f>
        <v>79.578326912066146</v>
      </c>
      <c r="M100">
        <f>SUM(J100:L100)</f>
        <v>136.00001342065673</v>
      </c>
      <c r="O100" t="str">
        <f t="shared" si="44"/>
        <v>Positive</v>
      </c>
      <c r="P100" t="str">
        <f t="shared" si="44"/>
        <v>Female</v>
      </c>
      <c r="Q100" s="6">
        <f>J100*$C$16/J109</f>
        <v>30.531060176473233</v>
      </c>
      <c r="R100" s="7">
        <f>K100*$D$16/K109</f>
        <v>25.89060483393104</v>
      </c>
      <c r="S100" s="8">
        <f>L100*$E$16/L109</f>
        <v>79.578357904469996</v>
      </c>
      <c r="T100">
        <f>SUM(Q100:S100)</f>
        <v>136.00002291487425</v>
      </c>
    </row>
    <row r="101" spans="1:20" x14ac:dyDescent="0.25">
      <c r="A101" t="str">
        <f t="shared" si="42"/>
        <v>Negative</v>
      </c>
      <c r="B101" t="str">
        <f t="shared" si="42"/>
        <v>Male</v>
      </c>
      <c r="C101" s="6">
        <f>Q88*$F$8/$T88</f>
        <v>7.5310765537784379</v>
      </c>
      <c r="D101" s="7">
        <f>R88*$F$8/$T88</f>
        <v>13.890513294092111</v>
      </c>
      <c r="E101" s="8">
        <f>S88*$F$8/$T88</f>
        <v>16.578410152129457</v>
      </c>
      <c r="F101">
        <f>SUM(C101:E101)</f>
        <v>38.000000000000007</v>
      </c>
      <c r="H101" t="str">
        <f t="shared" si="43"/>
        <v>Negative</v>
      </c>
      <c r="I101" t="str">
        <f t="shared" si="43"/>
        <v>Male</v>
      </c>
      <c r="J101" s="6">
        <f>C101*$C$13/C106</f>
        <v>7.5310674095575729</v>
      </c>
      <c r="K101" s="7">
        <f>D101*$D$13/D106</f>
        <v>13.890563812671367</v>
      </c>
      <c r="L101" s="8">
        <f>E101*$E$13/E106</f>
        <v>16.578379878312678</v>
      </c>
      <c r="M101">
        <f>SUM(J101:L101)</f>
        <v>38.000011100541613</v>
      </c>
      <c r="O101" t="str">
        <f t="shared" si="44"/>
        <v>Negative</v>
      </c>
      <c r="P101" t="str">
        <f t="shared" si="44"/>
        <v>Male</v>
      </c>
      <c r="Q101" s="6">
        <f>J101*$C$15/J108</f>
        <v>7.5310652084274707</v>
      </c>
      <c r="R101" s="7">
        <f>K101*$D$15/K108</f>
        <v>13.890579395196607</v>
      </c>
      <c r="S101" s="8">
        <f>L101*$E$15/L108</f>
        <v>16.578372796907992</v>
      </c>
      <c r="T101">
        <f>SUM(Q101:S101)</f>
        <v>38.000017400532073</v>
      </c>
    </row>
    <row r="102" spans="1:20" x14ac:dyDescent="0.25">
      <c r="A102" t="str">
        <f t="shared" si="42"/>
        <v>Negative</v>
      </c>
      <c r="B102" t="str">
        <f t="shared" si="42"/>
        <v>Female</v>
      </c>
      <c r="C102" s="9">
        <f>Q89*$F$9/$T89</f>
        <v>17.468953801217634</v>
      </c>
      <c r="D102" s="10">
        <f>R89*$F$9/$T89</f>
        <v>31.109323045447656</v>
      </c>
      <c r="E102" s="11">
        <f>S89*$F$9/$T89</f>
        <v>56.42172315333471</v>
      </c>
      <c r="F102">
        <f>SUM(C102:E102)</f>
        <v>105</v>
      </c>
      <c r="H102" t="str">
        <f t="shared" si="43"/>
        <v>Negative</v>
      </c>
      <c r="I102" t="str">
        <f t="shared" si="43"/>
        <v>Female</v>
      </c>
      <c r="J102" s="9">
        <f>C102*$C$13/C106</f>
        <v>17.468932590442428</v>
      </c>
      <c r="K102" s="10">
        <f>D102*$D$13/D106</f>
        <v>31.109436187328633</v>
      </c>
      <c r="L102" s="11">
        <f>E102*$E$13/E106</f>
        <v>56.421620121687319</v>
      </c>
      <c r="M102">
        <f>SUM(J102:L102)</f>
        <v>104.99998889945837</v>
      </c>
      <c r="O102" t="str">
        <f t="shared" si="44"/>
        <v>Negative</v>
      </c>
      <c r="P102" t="str">
        <f t="shared" si="44"/>
        <v>Female</v>
      </c>
      <c r="Q102" s="9">
        <f>J102*$C$16/J109</f>
        <v>17.468939823526764</v>
      </c>
      <c r="R102" s="10">
        <f>K102*$D$16/K109</f>
        <v>31.109395166068957</v>
      </c>
      <c r="S102" s="11">
        <f>L102*$E$16/L109</f>
        <v>56.421642095529997</v>
      </c>
      <c r="T102">
        <f>SUM(Q102:S102)</f>
        <v>104.99997708512572</v>
      </c>
    </row>
    <row r="103" spans="1:20" x14ac:dyDescent="0.25">
      <c r="C103">
        <f>SUM(C99:C102)</f>
        <v>115.99999994742613</v>
      </c>
      <c r="D103">
        <f>SUM(D99:D102)</f>
        <v>124.00000152321182</v>
      </c>
      <c r="E103">
        <f>SUM(E99:E102)</f>
        <v>259.99999852936207</v>
      </c>
      <c r="F103">
        <f>SUM(F99:F102)</f>
        <v>500</v>
      </c>
      <c r="J103">
        <f>SUM(J99:J102)</f>
        <v>116</v>
      </c>
      <c r="K103">
        <f>SUM(K99:K102)</f>
        <v>124</v>
      </c>
      <c r="L103">
        <f>SUM(L99:L102)</f>
        <v>260</v>
      </c>
      <c r="M103">
        <f>SUM(M99:M102)</f>
        <v>500</v>
      </c>
      <c r="Q103">
        <f>SUM(Q99:Q102)</f>
        <v>115.99999999999997</v>
      </c>
      <c r="R103">
        <f>SUM(R99:R102)</f>
        <v>124</v>
      </c>
      <c r="S103">
        <f>SUM(S99:S102)</f>
        <v>260</v>
      </c>
      <c r="T103">
        <f>SUM(T99:T102)</f>
        <v>500</v>
      </c>
    </row>
    <row r="105" spans="1:20" x14ac:dyDescent="0.25">
      <c r="A105" t="str">
        <f>A92</f>
        <v>Positive</v>
      </c>
      <c r="C105" s="96">
        <f>SUM(C99:C100)</f>
        <v>90.999969592430062</v>
      </c>
      <c r="D105" s="98">
        <f>SUM(D99:D100)</f>
        <v>79.000165183672053</v>
      </c>
      <c r="E105" s="99">
        <f>SUM(E99:E100)</f>
        <v>186.99986522389787</v>
      </c>
      <c r="H105" t="str">
        <f>A105</f>
        <v>Positive</v>
      </c>
      <c r="J105" s="96">
        <f>SUM(J99:J100)</f>
        <v>91</v>
      </c>
      <c r="K105" s="98">
        <f>SUM(K99:K100)</f>
        <v>79</v>
      </c>
      <c r="L105" s="99">
        <f>SUM(L99:L100)</f>
        <v>187</v>
      </c>
      <c r="O105" t="str">
        <f>H105</f>
        <v>Positive</v>
      </c>
      <c r="Q105" s="96">
        <f>SUM(Q99:Q100)</f>
        <v>90.999994968045741</v>
      </c>
      <c r="R105" s="98">
        <f>SUM(R99:R100)</f>
        <v>79.000025438734426</v>
      </c>
      <c r="S105" s="99">
        <f>SUM(S99:S100)</f>
        <v>186.999985107562</v>
      </c>
    </row>
    <row r="106" spans="1:20" x14ac:dyDescent="0.25">
      <c r="A106" t="str">
        <f>A93</f>
        <v>Negative</v>
      </c>
      <c r="C106" s="9">
        <f>SUM(C101:C102)</f>
        <v>25.000030354996071</v>
      </c>
      <c r="D106" s="10">
        <f>SUM(D101:D102)</f>
        <v>44.999836339539769</v>
      </c>
      <c r="E106" s="10">
        <f>SUM(E101:E102)</f>
        <v>73.000133305464175</v>
      </c>
      <c r="H106" t="str">
        <f>A106</f>
        <v>Negative</v>
      </c>
      <c r="J106" s="9">
        <f>SUM(J101:J102)</f>
        <v>25</v>
      </c>
      <c r="K106" s="10">
        <f>SUM(K101:K102)</f>
        <v>45</v>
      </c>
      <c r="L106" s="10">
        <f>SUM(L101:L102)</f>
        <v>73</v>
      </c>
      <c r="O106" t="str">
        <f>H106</f>
        <v>Negative</v>
      </c>
      <c r="Q106" s="9">
        <f>SUM(Q101:Q102)</f>
        <v>25.000005031954235</v>
      </c>
      <c r="R106" s="10">
        <f>SUM(R101:R102)</f>
        <v>44.99997456126556</v>
      </c>
      <c r="S106" s="10">
        <f>SUM(S101:S102)</f>
        <v>73.000014892437989</v>
      </c>
    </row>
    <row r="108" spans="1:20" x14ac:dyDescent="0.25">
      <c r="B108" t="str">
        <f>B95</f>
        <v>Male</v>
      </c>
      <c r="C108" s="96">
        <f t="shared" ref="C108:E109" si="45">C99+C101</f>
        <v>68.000008813165408</v>
      </c>
      <c r="D108" s="98">
        <f t="shared" si="45"/>
        <v>66.999985368559393</v>
      </c>
      <c r="E108" s="99">
        <f t="shared" si="45"/>
        <v>124.00000581827518</v>
      </c>
      <c r="I108" t="str">
        <f>B108</f>
        <v>Male</v>
      </c>
      <c r="J108" s="96">
        <f t="shared" ref="J108:L109" si="46">J99+J101</f>
        <v>68.000019874591814</v>
      </c>
      <c r="K108" s="98">
        <f t="shared" si="46"/>
        <v>66.999924839046571</v>
      </c>
      <c r="L108" s="99">
        <f t="shared" si="46"/>
        <v>124.00005296624654</v>
      </c>
      <c r="P108" t="str">
        <f>I108</f>
        <v>Male</v>
      </c>
      <c r="Q108" s="96">
        <f t="shared" ref="Q108:S109" si="47">Q99+Q101</f>
        <v>67.999999999999986</v>
      </c>
      <c r="R108" s="98">
        <f t="shared" si="47"/>
        <v>67</v>
      </c>
      <c r="S108" s="99">
        <f t="shared" si="47"/>
        <v>124</v>
      </c>
    </row>
    <row r="109" spans="1:20" x14ac:dyDescent="0.25">
      <c r="B109" t="str">
        <f>B96</f>
        <v>Female</v>
      </c>
      <c r="C109" s="9">
        <f t="shared" si="45"/>
        <v>47.999991134260732</v>
      </c>
      <c r="D109" s="10">
        <f t="shared" si="45"/>
        <v>57.000016154652428</v>
      </c>
      <c r="E109" s="11">
        <f t="shared" si="45"/>
        <v>135.99999271108686</v>
      </c>
      <c r="I109" t="str">
        <f>B109</f>
        <v>Female</v>
      </c>
      <c r="J109" s="9">
        <f t="shared" si="46"/>
        <v>47.9999801254082</v>
      </c>
      <c r="K109" s="10">
        <f t="shared" si="46"/>
        <v>57.000075160953436</v>
      </c>
      <c r="L109" s="11">
        <f t="shared" si="46"/>
        <v>135.99994703375347</v>
      </c>
      <c r="P109" t="str">
        <f>I109</f>
        <v>Female</v>
      </c>
      <c r="Q109" s="9">
        <f t="shared" si="47"/>
        <v>48</v>
      </c>
      <c r="R109" s="10">
        <f t="shared" si="47"/>
        <v>57</v>
      </c>
      <c r="S109" s="11">
        <f t="shared" si="47"/>
        <v>136</v>
      </c>
    </row>
    <row r="111" spans="1:20" x14ac:dyDescent="0.25">
      <c r="C111" t="str">
        <f>C98</f>
        <v>Therapy 1</v>
      </c>
      <c r="D111" t="str">
        <f>D98</f>
        <v>Therapy 2</v>
      </c>
      <c r="E111" t="str">
        <f>E98</f>
        <v>Therapy 3</v>
      </c>
      <c r="J111" t="str">
        <f>J98</f>
        <v>Therapy 1</v>
      </c>
      <c r="K111" t="str">
        <f>K98</f>
        <v>Therapy 2</v>
      </c>
      <c r="L111" t="str">
        <f>L98</f>
        <v>Therapy 3</v>
      </c>
      <c r="Q111" t="str">
        <f>Q98</f>
        <v>Therapy 1</v>
      </c>
      <c r="R111" t="str">
        <f>R98</f>
        <v>Therapy 2</v>
      </c>
      <c r="S111" t="str">
        <f>S98</f>
        <v>Therapy 3</v>
      </c>
    </row>
    <row r="112" spans="1:20" x14ac:dyDescent="0.25">
      <c r="A112" t="str">
        <f t="shared" ref="A112:B115" si="48">A99</f>
        <v>Positive</v>
      </c>
      <c r="B112" t="str">
        <f t="shared" si="48"/>
        <v>Male</v>
      </c>
      <c r="C112" s="96">
        <f>Q99*$F$6/$T99</f>
        <v>60.46893955262103</v>
      </c>
      <c r="D112" s="98">
        <f>R99*$F$6/$T99</f>
        <v>53.109424786397277</v>
      </c>
      <c r="E112" s="99">
        <f>S99*$F$6/$T99</f>
        <v>107.42163566098168</v>
      </c>
      <c r="F112">
        <f>SUM(C112:E112)</f>
        <v>221</v>
      </c>
      <c r="H112" t="str">
        <f t="shared" ref="H112:I115" si="49">A112</f>
        <v>Positive</v>
      </c>
      <c r="I112" t="str">
        <f t="shared" si="49"/>
        <v>Male</v>
      </c>
      <c r="J112" s="96">
        <f>C112*$C$12/C118</f>
        <v>60.468943150945627</v>
      </c>
      <c r="K112" s="98">
        <f>D112*$D$12/D118</f>
        <v>53.109407806192571</v>
      </c>
      <c r="L112" s="99">
        <f>E112*$E$12/E118</f>
        <v>107.42164705964812</v>
      </c>
      <c r="M112">
        <f>SUM(J112:L112)</f>
        <v>220.99999801678632</v>
      </c>
      <c r="O112" t="str">
        <f t="shared" ref="O112:P115" si="50">H112</f>
        <v>Positive</v>
      </c>
      <c r="P112" t="str">
        <f t="shared" si="50"/>
        <v>Male</v>
      </c>
      <c r="Q112" s="96">
        <f>J112*$C$15/J121</f>
        <v>60.468940229410684</v>
      </c>
      <c r="R112" s="98">
        <f>K112*$D$15/K121</f>
        <v>53.109416873721386</v>
      </c>
      <c r="S112" s="99">
        <f>L112*$E$15/L121</f>
        <v>107.42164029317338</v>
      </c>
      <c r="T112">
        <f>SUM(Q112:S112)</f>
        <v>220.99999739630545</v>
      </c>
    </row>
    <row r="113" spans="1:20" x14ac:dyDescent="0.25">
      <c r="A113" t="str">
        <f t="shared" si="48"/>
        <v>Positive</v>
      </c>
      <c r="B113" t="str">
        <f t="shared" si="48"/>
        <v>Female</v>
      </c>
      <c r="C113" s="6">
        <f>Q100*$F$7/$T100</f>
        <v>30.531055032243184</v>
      </c>
      <c r="D113" s="7">
        <f>R100*$F$7/$T100</f>
        <v>25.89060047157917</v>
      </c>
      <c r="E113" s="8">
        <f>S100*$F$7/$T100</f>
        <v>79.578344496177664</v>
      </c>
      <c r="F113">
        <f>SUM(C113:E113)</f>
        <v>136</v>
      </c>
      <c r="H113" t="str">
        <f t="shared" si="49"/>
        <v>Positive</v>
      </c>
      <c r="I113" t="str">
        <f t="shared" si="49"/>
        <v>Female</v>
      </c>
      <c r="J113" s="6">
        <f>C113*$C$12/C118</f>
        <v>30.53105684905438</v>
      </c>
      <c r="K113" s="7">
        <f>D113*$D$12/D118</f>
        <v>25.890592193807425</v>
      </c>
      <c r="L113" s="8">
        <f>E113*$E$12/E118</f>
        <v>79.578352940351877</v>
      </c>
      <c r="M113">
        <f>SUM(J113:L113)</f>
        <v>136.00000198321368</v>
      </c>
      <c r="O113" t="str">
        <f t="shared" si="50"/>
        <v>Positive</v>
      </c>
      <c r="P113" t="str">
        <f t="shared" si="50"/>
        <v>Female</v>
      </c>
      <c r="Q113" s="6">
        <f>J113*$C$16/J122</f>
        <v>30.531058938775196</v>
      </c>
      <c r="R113" s="7">
        <f>K113*$D$16/K122</f>
        <v>25.890586997925716</v>
      </c>
      <c r="S113" s="8">
        <f>L113*$E$16/L122</f>
        <v>79.578357510691063</v>
      </c>
      <c r="T113">
        <f>SUM(Q113:S113)</f>
        <v>136.00000344739198</v>
      </c>
    </row>
    <row r="114" spans="1:20" x14ac:dyDescent="0.25">
      <c r="A114" t="str">
        <f t="shared" si="48"/>
        <v>Negative</v>
      </c>
      <c r="B114" t="str">
        <f t="shared" si="48"/>
        <v>Male</v>
      </c>
      <c r="C114" s="6">
        <f>Q101*$F$8/$T101</f>
        <v>7.5310617598884795</v>
      </c>
      <c r="D114" s="7">
        <f>R101*$F$8/$T101</f>
        <v>13.890573034581829</v>
      </c>
      <c r="E114" s="8">
        <f>S101*$F$8/$T101</f>
        <v>16.578365205529689</v>
      </c>
      <c r="F114">
        <f>SUM(C114:E114)</f>
        <v>38</v>
      </c>
      <c r="H114" t="str">
        <f t="shared" si="49"/>
        <v>Negative</v>
      </c>
      <c r="I114" t="str">
        <f t="shared" si="49"/>
        <v>Male</v>
      </c>
      <c r="J114" s="6">
        <f>C114*$C$13/C119</f>
        <v>7.531060134449735</v>
      </c>
      <c r="K114" s="7">
        <f>D114*$D$13/D119</f>
        <v>13.890580754698011</v>
      </c>
      <c r="L114" s="8">
        <f>E114*$E$13/E119</f>
        <v>16.578360751095271</v>
      </c>
      <c r="M114">
        <f>SUM(J114:L114)</f>
        <v>38.000001640243013</v>
      </c>
      <c r="O114" t="str">
        <f t="shared" si="50"/>
        <v>Negative</v>
      </c>
      <c r="P114" t="str">
        <f t="shared" si="50"/>
        <v>Male</v>
      </c>
      <c r="Q114" s="6">
        <f>J114*$C$15/J121</f>
        <v>7.5310597705893114</v>
      </c>
      <c r="R114" s="7">
        <f>K114*$D$15/K121</f>
        <v>13.890583126278612</v>
      </c>
      <c r="S114" s="8">
        <f>L114*$E$15/L121</f>
        <v>16.578359706826614</v>
      </c>
      <c r="T114">
        <f>SUM(Q114:S114)</f>
        <v>38.00000260369454</v>
      </c>
    </row>
    <row r="115" spans="1:20" x14ac:dyDescent="0.25">
      <c r="A115" t="str">
        <f t="shared" si="48"/>
        <v>Negative</v>
      </c>
      <c r="B115" t="str">
        <f t="shared" si="48"/>
        <v>Female</v>
      </c>
      <c r="C115" s="9">
        <f>Q102*$F$9/$T102</f>
        <v>17.468943635894831</v>
      </c>
      <c r="D115" s="10">
        <f>R102*$F$9/$T102</f>
        <v>31.109401955288334</v>
      </c>
      <c r="E115" s="11">
        <f>S102*$F$9/$T102</f>
        <v>56.421654408816828</v>
      </c>
      <c r="F115">
        <f>SUM(C115:E115)</f>
        <v>105</v>
      </c>
      <c r="H115" t="str">
        <f t="shared" si="49"/>
        <v>Negative</v>
      </c>
      <c r="I115" t="str">
        <f t="shared" si="49"/>
        <v>Female</v>
      </c>
      <c r="J115" s="9">
        <f>C115*$C$13/C119</f>
        <v>17.468939865550265</v>
      </c>
      <c r="K115" s="10">
        <f>D115*$D$13/D119</f>
        <v>31.109419245301993</v>
      </c>
      <c r="L115" s="11">
        <f>E115*$E$13/E119</f>
        <v>56.421639248904739</v>
      </c>
      <c r="M115">
        <f>SUM(J115:L115)</f>
        <v>104.999998359757</v>
      </c>
      <c r="O115" t="str">
        <f t="shared" si="50"/>
        <v>Negative</v>
      </c>
      <c r="P115" t="str">
        <f t="shared" si="50"/>
        <v>Female</v>
      </c>
      <c r="Q115" s="9">
        <f>J115*$C$16/J122</f>
        <v>17.4689410612248</v>
      </c>
      <c r="R115" s="10">
        <f>K115*$D$16/K122</f>
        <v>31.109413002074291</v>
      </c>
      <c r="S115" s="11">
        <f>L115*$E$16/L122</f>
        <v>56.421642489308944</v>
      </c>
      <c r="T115">
        <f>SUM(Q115:S115)</f>
        <v>104.99999655260802</v>
      </c>
    </row>
    <row r="116" spans="1:20" x14ac:dyDescent="0.25">
      <c r="C116">
        <f>SUM(C112:C115)</f>
        <v>115.99999998064752</v>
      </c>
      <c r="D116">
        <f>SUM(D112:D115)</f>
        <v>124.00000024784661</v>
      </c>
      <c r="E116">
        <f>SUM(E112:E115)</f>
        <v>259.99999977150583</v>
      </c>
      <c r="F116">
        <f>SUM(F112:F115)</f>
        <v>500</v>
      </c>
      <c r="J116">
        <f>SUM(J112:J115)</f>
        <v>116</v>
      </c>
      <c r="K116">
        <f>SUM(K112:K115)</f>
        <v>124</v>
      </c>
      <c r="L116">
        <f>SUM(L112:L115)</f>
        <v>260</v>
      </c>
      <c r="M116">
        <f>SUM(M112:M115)</f>
        <v>500</v>
      </c>
      <c r="Q116">
        <f>SUM(Q112:Q115)</f>
        <v>115.99999999999999</v>
      </c>
      <c r="R116">
        <f>SUM(R112:R115)</f>
        <v>124</v>
      </c>
      <c r="S116">
        <f>SUM(S112:S115)</f>
        <v>260</v>
      </c>
      <c r="T116">
        <f>SUM(T112:T115)</f>
        <v>500</v>
      </c>
    </row>
    <row r="118" spans="1:20" x14ac:dyDescent="0.25">
      <c r="A118" t="str">
        <f>A105</f>
        <v>Positive</v>
      </c>
      <c r="C118" s="96">
        <f>SUM(C112:C113)</f>
        <v>90.999994584864211</v>
      </c>
      <c r="D118" s="98">
        <f>SUM(D112:D113)</f>
        <v>79.000025257976446</v>
      </c>
      <c r="E118" s="99">
        <f>SUM(E112:E113)</f>
        <v>186.99998015715934</v>
      </c>
      <c r="H118" t="str">
        <f>A118</f>
        <v>Positive</v>
      </c>
      <c r="J118" s="96">
        <f>SUM(J112:J113)</f>
        <v>91</v>
      </c>
      <c r="K118" s="98">
        <f>SUM(K112:K113)</f>
        <v>79</v>
      </c>
      <c r="L118" s="99">
        <f>SUM(L112:L113)</f>
        <v>187</v>
      </c>
      <c r="O118" t="str">
        <f>H118</f>
        <v>Positive</v>
      </c>
      <c r="Q118" s="96">
        <f>SUM(Q112:Q113)</f>
        <v>90.99999916818588</v>
      </c>
      <c r="R118" s="98">
        <f>SUM(R112:R113)</f>
        <v>79.000003871647095</v>
      </c>
      <c r="S118" s="99">
        <f>SUM(S112:S113)</f>
        <v>186.99999780386446</v>
      </c>
    </row>
    <row r="119" spans="1:20" x14ac:dyDescent="0.25">
      <c r="A119" t="str">
        <f>A106</f>
        <v>Negative</v>
      </c>
      <c r="C119" s="9">
        <f>SUM(C114:C115)</f>
        <v>25.000005395783312</v>
      </c>
      <c r="D119" s="10">
        <f>SUM(D114:D115)</f>
        <v>44.999974989870161</v>
      </c>
      <c r="E119" s="10">
        <f>SUM(E114:E115)</f>
        <v>73.000019614346513</v>
      </c>
      <c r="H119" t="str">
        <f>A119</f>
        <v>Negative</v>
      </c>
      <c r="J119" s="9">
        <f>SUM(J114:J115)</f>
        <v>25</v>
      </c>
      <c r="K119" s="10">
        <f>SUM(K114:K115)</f>
        <v>45</v>
      </c>
      <c r="L119" s="10">
        <f>SUM(L114:L115)</f>
        <v>73.000000000000014</v>
      </c>
      <c r="O119" t="str">
        <f>H119</f>
        <v>Negative</v>
      </c>
      <c r="Q119" s="9">
        <f>SUM(Q114:Q115)</f>
        <v>25.000000831814113</v>
      </c>
      <c r="R119" s="10">
        <f>SUM(R114:R115)</f>
        <v>44.999996128352905</v>
      </c>
      <c r="S119" s="10">
        <f>SUM(S114:S115)</f>
        <v>73.000002196135554</v>
      </c>
    </row>
    <row r="121" spans="1:20" x14ac:dyDescent="0.25">
      <c r="B121" t="str">
        <f>B108</f>
        <v>Male</v>
      </c>
      <c r="C121" s="96">
        <f t="shared" ref="C121:E122" si="51">C112+C114</f>
        <v>68.000001312509511</v>
      </c>
      <c r="D121" s="98">
        <f t="shared" si="51"/>
        <v>66.999997820979104</v>
      </c>
      <c r="E121" s="99">
        <f t="shared" si="51"/>
        <v>124.00000086651137</v>
      </c>
      <c r="I121" t="str">
        <f>B121</f>
        <v>Male</v>
      </c>
      <c r="J121" s="96">
        <f t="shared" ref="J121:L122" si="52">J112+J114</f>
        <v>68.000003285395366</v>
      </c>
      <c r="K121" s="98">
        <f t="shared" si="52"/>
        <v>66.999988560890586</v>
      </c>
      <c r="L121" s="99">
        <f t="shared" si="52"/>
        <v>124.0000078107434</v>
      </c>
      <c r="P121" t="str">
        <f>I121</f>
        <v>Male</v>
      </c>
      <c r="Q121" s="96">
        <f t="shared" ref="Q121:S122" si="53">Q112+Q114</f>
        <v>68</v>
      </c>
      <c r="R121" s="98">
        <f t="shared" si="53"/>
        <v>67</v>
      </c>
      <c r="S121" s="99">
        <f t="shared" si="53"/>
        <v>124</v>
      </c>
    </row>
    <row r="122" spans="1:20" x14ac:dyDescent="0.25">
      <c r="B122" t="str">
        <f>B109</f>
        <v>Female</v>
      </c>
      <c r="C122" s="9">
        <f t="shared" si="51"/>
        <v>47.999998668138019</v>
      </c>
      <c r="D122" s="10">
        <f t="shared" si="51"/>
        <v>57.000002426867503</v>
      </c>
      <c r="E122" s="11">
        <f t="shared" si="51"/>
        <v>135.9999989049945</v>
      </c>
      <c r="I122" t="str">
        <f>B122</f>
        <v>Female</v>
      </c>
      <c r="J122" s="9">
        <f t="shared" si="52"/>
        <v>47.999996714604649</v>
      </c>
      <c r="K122" s="10">
        <f t="shared" si="52"/>
        <v>57.000011439109414</v>
      </c>
      <c r="L122" s="11">
        <f t="shared" si="52"/>
        <v>135.9999921892566</v>
      </c>
      <c r="P122" t="str">
        <f>I122</f>
        <v>Female</v>
      </c>
      <c r="Q122" s="9">
        <f t="shared" si="53"/>
        <v>48</v>
      </c>
      <c r="R122" s="10">
        <f t="shared" si="53"/>
        <v>57.000000000000007</v>
      </c>
      <c r="S122" s="11">
        <f t="shared" si="53"/>
        <v>136</v>
      </c>
    </row>
    <row r="124" spans="1:20" x14ac:dyDescent="0.25">
      <c r="C124" t="str">
        <f>C111</f>
        <v>Therapy 1</v>
      </c>
      <c r="D124" t="str">
        <f>D111</f>
        <v>Therapy 2</v>
      </c>
      <c r="E124" t="str">
        <f>E111</f>
        <v>Therapy 3</v>
      </c>
      <c r="J124" t="str">
        <f>J111</f>
        <v>Therapy 1</v>
      </c>
      <c r="K124" t="str">
        <f>K111</f>
        <v>Therapy 2</v>
      </c>
      <c r="L124" t="str">
        <f>L111</f>
        <v>Therapy 3</v>
      </c>
      <c r="Q124" t="str">
        <f>Q111</f>
        <v>Therapy 1</v>
      </c>
      <c r="R124" t="str">
        <f>R111</f>
        <v>Therapy 2</v>
      </c>
      <c r="S124" t="str">
        <f>S111</f>
        <v>Therapy 3</v>
      </c>
    </row>
    <row r="125" spans="1:20" x14ac:dyDescent="0.25">
      <c r="A125" t="str">
        <f t="shared" ref="A125:B128" si="54">A112</f>
        <v>Positive</v>
      </c>
      <c r="B125" t="str">
        <f t="shared" si="54"/>
        <v>Male</v>
      </c>
      <c r="C125" s="96">
        <f>Q112*$F$6/$T112</f>
        <v>60.468940941820875</v>
      </c>
      <c r="D125" s="98">
        <f>R112*$F$6/$T112</f>
        <v>53.109417499425916</v>
      </c>
      <c r="E125" s="99">
        <f>S112*$F$6/$T112</f>
        <v>107.42164155875322</v>
      </c>
      <c r="F125">
        <f>SUM(C125:E125)</f>
        <v>221</v>
      </c>
      <c r="H125" t="str">
        <f t="shared" ref="H125:I128" si="55">A125</f>
        <v>Positive</v>
      </c>
      <c r="I125" t="str">
        <f t="shared" si="55"/>
        <v>Male</v>
      </c>
      <c r="J125" s="96">
        <f>C125*$C$12/C131</f>
        <v>60.468941535426239</v>
      </c>
      <c r="K125" s="98">
        <f>D125*$D$12/D131</f>
        <v>53.109414917189113</v>
      </c>
      <c r="L125" s="99">
        <f>E125*$E$12/E131</f>
        <v>107.42164325207753</v>
      </c>
      <c r="M125">
        <f>SUM(J125:L125)</f>
        <v>220.99999970469287</v>
      </c>
      <c r="O125" t="str">
        <f t="shared" ref="O125:P128" si="56">H125</f>
        <v>Positive</v>
      </c>
      <c r="P125" t="str">
        <f t="shared" si="56"/>
        <v>Male</v>
      </c>
      <c r="Q125" s="96">
        <f>J125*$C$15/J134</f>
        <v>60.46894107115628</v>
      </c>
      <c r="R125" s="98">
        <f>K125*$D$15/K134</f>
        <v>53.109416292237356</v>
      </c>
      <c r="S125" s="99">
        <f>L125*$E$15/L134</f>
        <v>107.42164224585341</v>
      </c>
      <c r="T125">
        <f>SUM(Q125:S125)</f>
        <v>220.99999960924703</v>
      </c>
    </row>
    <row r="126" spans="1:20" x14ac:dyDescent="0.25">
      <c r="A126" t="str">
        <f t="shared" si="54"/>
        <v>Positive</v>
      </c>
      <c r="B126" t="str">
        <f t="shared" si="54"/>
        <v>Female</v>
      </c>
      <c r="C126" s="6">
        <f>Q113*$F$7/$T113</f>
        <v>30.531058164859573</v>
      </c>
      <c r="D126" s="7">
        <f>R113*$F$7/$T113</f>
        <v>25.890586341638954</v>
      </c>
      <c r="E126" s="8">
        <f>S113*$F$7/$T113</f>
        <v>79.578355493501476</v>
      </c>
      <c r="F126">
        <f>SUM(C126:E126)</f>
        <v>136</v>
      </c>
      <c r="H126" t="str">
        <f t="shared" si="55"/>
        <v>Positive</v>
      </c>
      <c r="I126" t="str">
        <f t="shared" si="55"/>
        <v>Female</v>
      </c>
      <c r="J126" s="6">
        <f>C126*$C$12/C131</f>
        <v>30.531058464573764</v>
      </c>
      <c r="K126" s="7">
        <f>D126*$D$12/D131</f>
        <v>25.890585082810894</v>
      </c>
      <c r="L126" s="8">
        <f>E126*$E$12/E131</f>
        <v>79.578356747922484</v>
      </c>
      <c r="M126">
        <f>SUM(J126:L126)</f>
        <v>136.00000029530713</v>
      </c>
      <c r="O126" t="str">
        <f t="shared" si="56"/>
        <v>Positive</v>
      </c>
      <c r="P126" t="str">
        <f t="shared" si="56"/>
        <v>Female</v>
      </c>
      <c r="Q126" s="6">
        <f>J126*$C$16/J135</f>
        <v>30.531058796657611</v>
      </c>
      <c r="R126" s="7">
        <f>K126*$D$16/K135</f>
        <v>25.890584294879854</v>
      </c>
      <c r="S126" s="8">
        <f>L126*$E$16/L135</f>
        <v>79.578357427565209</v>
      </c>
      <c r="T126">
        <f>SUM(Q126:S126)</f>
        <v>136.00000051910268</v>
      </c>
    </row>
    <row r="127" spans="1:20" x14ac:dyDescent="0.25">
      <c r="A127" t="str">
        <f t="shared" si="54"/>
        <v>Negative</v>
      </c>
      <c r="B127" t="str">
        <f t="shared" si="54"/>
        <v>Male</v>
      </c>
      <c r="C127" s="6">
        <f>Q114*$F$8/$T114</f>
        <v>7.5310592545741049</v>
      </c>
      <c r="D127" s="7">
        <f>R114*$F$8/$T114</f>
        <v>13.890582174519848</v>
      </c>
      <c r="E127" s="8">
        <f>S114*$F$8/$T114</f>
        <v>16.578358570906044</v>
      </c>
      <c r="F127">
        <f>SUM(C127:E127)</f>
        <v>38</v>
      </c>
      <c r="H127" t="str">
        <f t="shared" si="55"/>
        <v>Negative</v>
      </c>
      <c r="I127" t="str">
        <f t="shared" si="55"/>
        <v>Male</v>
      </c>
      <c r="J127" s="6">
        <f>C127*$C$13/C132</f>
        <v>7.5310589866658635</v>
      </c>
      <c r="K127" s="7">
        <f>D127*$D$13/D132</f>
        <v>13.89058334812354</v>
      </c>
      <c r="L127" s="8">
        <f>E127*$E$13/E132</f>
        <v>16.578357909436924</v>
      </c>
      <c r="M127">
        <f>SUM(J127:L127)</f>
        <v>38.000000244226328</v>
      </c>
      <c r="O127" t="str">
        <f t="shared" si="56"/>
        <v>Negative</v>
      </c>
      <c r="P127" t="str">
        <f t="shared" si="56"/>
        <v>Male</v>
      </c>
      <c r="Q127" s="6">
        <f>J127*$C$15/J134</f>
        <v>7.5310589288437102</v>
      </c>
      <c r="R127" s="7">
        <f>K127*$D$15/K134</f>
        <v>13.890583707762641</v>
      </c>
      <c r="S127" s="8">
        <f>L127*$E$15/L134</f>
        <v>16.578357754146584</v>
      </c>
      <c r="T127">
        <f>SUM(Q127:S127)</f>
        <v>38.00000039075293</v>
      </c>
    </row>
    <row r="128" spans="1:20" x14ac:dyDescent="0.25">
      <c r="A128" t="str">
        <f t="shared" si="54"/>
        <v>Negative</v>
      </c>
      <c r="B128" t="str">
        <f t="shared" si="54"/>
        <v>Female</v>
      </c>
      <c r="C128" s="9">
        <f>Q115*$F$9/$T115</f>
        <v>17.468941634770413</v>
      </c>
      <c r="D128" s="10">
        <f>R115*$F$9/$T115</f>
        <v>31.109414023468045</v>
      </c>
      <c r="E128" s="11">
        <f>S115*$F$9/$T115</f>
        <v>56.421644341761549</v>
      </c>
      <c r="F128">
        <f>SUM(C128:E128)</f>
        <v>105</v>
      </c>
      <c r="H128" t="str">
        <f t="shared" si="55"/>
        <v>Negative</v>
      </c>
      <c r="I128" t="str">
        <f t="shared" si="55"/>
        <v>Female</v>
      </c>
      <c r="J128" s="9">
        <f>C128*$C$13/C132</f>
        <v>17.468941013334135</v>
      </c>
      <c r="K128" s="10">
        <f>D128*$D$13/D132</f>
        <v>31.109416651876465</v>
      </c>
      <c r="L128" s="11">
        <f>E128*$E$13/E132</f>
        <v>56.421642090563076</v>
      </c>
      <c r="M128">
        <f>SUM(J128:L128)</f>
        <v>104.99999975577367</v>
      </c>
      <c r="O128" t="str">
        <f t="shared" si="56"/>
        <v>Negative</v>
      </c>
      <c r="P128" t="str">
        <f t="shared" si="56"/>
        <v>Female</v>
      </c>
      <c r="Q128" s="9">
        <f>J128*$C$16/J135</f>
        <v>17.468941203342389</v>
      </c>
      <c r="R128" s="10">
        <f>K128*$D$16/K135</f>
        <v>31.109415705120146</v>
      </c>
      <c r="S128" s="11">
        <f>L128*$E$16/L135</f>
        <v>56.421642572434784</v>
      </c>
      <c r="T128">
        <f>SUM(Q128:S128)</f>
        <v>104.99999948089732</v>
      </c>
    </row>
    <row r="129" spans="1:20" x14ac:dyDescent="0.25">
      <c r="C129">
        <f>SUM(C125:C128)</f>
        <v>115.99999999602497</v>
      </c>
      <c r="D129">
        <f>SUM(D125:D128)</f>
        <v>124.00000003905276</v>
      </c>
      <c r="E129">
        <f>SUM(E125:E128)</f>
        <v>259.99999996492227</v>
      </c>
      <c r="F129">
        <f>SUM(F125:F128)</f>
        <v>500</v>
      </c>
      <c r="J129">
        <f>SUM(J125:J128)</f>
        <v>116</v>
      </c>
      <c r="K129">
        <f>SUM(K125:K128)</f>
        <v>124</v>
      </c>
      <c r="L129">
        <f>SUM(L125:L128)</f>
        <v>260</v>
      </c>
      <c r="M129">
        <f>SUM(M125:M128)</f>
        <v>500</v>
      </c>
      <c r="Q129">
        <f>SUM(Q125:Q128)</f>
        <v>116</v>
      </c>
      <c r="R129">
        <f>SUM(R125:R128)</f>
        <v>124</v>
      </c>
      <c r="S129">
        <f>SUM(S125:S128)</f>
        <v>260</v>
      </c>
      <c r="T129">
        <f>SUM(T125:T128)</f>
        <v>499.99999999999994</v>
      </c>
    </row>
    <row r="131" spans="1:20" x14ac:dyDescent="0.25">
      <c r="A131" t="str">
        <f>A118</f>
        <v>Positive</v>
      </c>
      <c r="C131" s="96">
        <f>SUM(C125:C126)</f>
        <v>90.999999106680448</v>
      </c>
      <c r="D131" s="98">
        <f>SUM(D125:D126)</f>
        <v>79.000003841064867</v>
      </c>
      <c r="E131" s="99">
        <f>SUM(E125:E126)</f>
        <v>186.99999705225468</v>
      </c>
      <c r="H131" t="str">
        <f>A131</f>
        <v>Positive</v>
      </c>
      <c r="J131" s="96">
        <f>SUM(J125:J126)</f>
        <v>91</v>
      </c>
      <c r="K131" s="98">
        <f>SUM(K125:K126)</f>
        <v>79</v>
      </c>
      <c r="L131" s="99">
        <f>SUM(L125:L126)</f>
        <v>187</v>
      </c>
      <c r="O131" t="str">
        <f>H131</f>
        <v>Positive</v>
      </c>
      <c r="Q131" s="96">
        <f>SUM(Q125:Q126)</f>
        <v>90.999999867813898</v>
      </c>
      <c r="R131" s="98">
        <f>SUM(R125:R126)</f>
        <v>79.000000587117214</v>
      </c>
      <c r="S131" s="99">
        <f>SUM(S125:S126)</f>
        <v>186.99999967341861</v>
      </c>
    </row>
    <row r="132" spans="1:20" x14ac:dyDescent="0.25">
      <c r="A132" t="str">
        <f>A119</f>
        <v>Negative</v>
      </c>
      <c r="C132" s="9">
        <f>SUM(C127:C128)</f>
        <v>25.00000088934452</v>
      </c>
      <c r="D132" s="10">
        <f>SUM(D127:D128)</f>
        <v>44.99999619798789</v>
      </c>
      <c r="E132" s="10">
        <f>SUM(E127:E128)</f>
        <v>73.000002912667597</v>
      </c>
      <c r="H132" t="str">
        <f>A132</f>
        <v>Negative</v>
      </c>
      <c r="J132" s="9">
        <f>SUM(J127:J128)</f>
        <v>25</v>
      </c>
      <c r="K132" s="10">
        <f>SUM(K127:K128)</f>
        <v>45.000000000000007</v>
      </c>
      <c r="L132" s="10">
        <f>SUM(L127:L128)</f>
        <v>73</v>
      </c>
      <c r="O132" t="str">
        <f>H132</f>
        <v>Negative</v>
      </c>
      <c r="Q132" s="9">
        <f>SUM(Q127:Q128)</f>
        <v>25.000000132186099</v>
      </c>
      <c r="R132" s="10">
        <f>SUM(R127:R128)</f>
        <v>44.999999412882786</v>
      </c>
      <c r="S132" s="10">
        <f>SUM(S127:S128)</f>
        <v>73.000000326581372</v>
      </c>
    </row>
    <row r="134" spans="1:20" x14ac:dyDescent="0.25">
      <c r="B134" t="str">
        <f>B121</f>
        <v>Male</v>
      </c>
      <c r="C134" s="96">
        <f t="shared" ref="C134:E135" si="57">C125+C127</f>
        <v>68.000000196394979</v>
      </c>
      <c r="D134" s="98">
        <f t="shared" si="57"/>
        <v>66.999999673945766</v>
      </c>
      <c r="E134" s="99">
        <f t="shared" si="57"/>
        <v>124.00000012965927</v>
      </c>
      <c r="I134" t="str">
        <f>B134</f>
        <v>Male</v>
      </c>
      <c r="J134" s="96">
        <f t="shared" ref="J134:L135" si="58">J125+J127</f>
        <v>68.000000522092108</v>
      </c>
      <c r="K134" s="98">
        <f t="shared" si="58"/>
        <v>66.999998265312655</v>
      </c>
      <c r="L134" s="99">
        <f t="shared" si="58"/>
        <v>124.00000116151446</v>
      </c>
      <c r="P134" t="str">
        <f>I134</f>
        <v>Male</v>
      </c>
      <c r="Q134" s="96">
        <f t="shared" ref="Q134:S135" si="59">Q125+Q127</f>
        <v>67.999999999999986</v>
      </c>
      <c r="R134" s="98">
        <f t="shared" si="59"/>
        <v>67</v>
      </c>
      <c r="S134" s="99">
        <f t="shared" si="59"/>
        <v>123.99999999999999</v>
      </c>
    </row>
    <row r="135" spans="1:20" x14ac:dyDescent="0.25">
      <c r="B135" t="str">
        <f>B122</f>
        <v>Female</v>
      </c>
      <c r="C135" s="9">
        <f t="shared" si="57"/>
        <v>47.99999979962999</v>
      </c>
      <c r="D135" s="10">
        <f t="shared" si="57"/>
        <v>57.000000365106999</v>
      </c>
      <c r="E135" s="11">
        <f t="shared" si="57"/>
        <v>135.99999983526303</v>
      </c>
      <c r="I135" t="str">
        <f>B135</f>
        <v>Female</v>
      </c>
      <c r="J135" s="9">
        <f t="shared" si="58"/>
        <v>47.999999477907899</v>
      </c>
      <c r="K135" s="10">
        <f t="shared" si="58"/>
        <v>57.000001734687359</v>
      </c>
      <c r="L135" s="11">
        <f t="shared" si="58"/>
        <v>135.99999883848557</v>
      </c>
      <c r="P135" t="str">
        <f>I135</f>
        <v>Female</v>
      </c>
      <c r="Q135" s="9">
        <f t="shared" si="59"/>
        <v>48</v>
      </c>
      <c r="R135" s="10">
        <f t="shared" si="59"/>
        <v>57</v>
      </c>
      <c r="S135" s="11">
        <f t="shared" si="59"/>
        <v>136</v>
      </c>
    </row>
    <row r="137" spans="1:20" x14ac:dyDescent="0.25">
      <c r="C137" t="str">
        <f>C124</f>
        <v>Therapy 1</v>
      </c>
      <c r="D137" t="str">
        <f>D124</f>
        <v>Therapy 2</v>
      </c>
      <c r="E137" t="str">
        <f>E124</f>
        <v>Therapy 3</v>
      </c>
      <c r="J137" t="str">
        <f>J124</f>
        <v>Therapy 1</v>
      </c>
      <c r="K137" t="str">
        <f>K124</f>
        <v>Therapy 2</v>
      </c>
      <c r="L137" t="str">
        <f>L124</f>
        <v>Therapy 3</v>
      </c>
      <c r="Q137" t="str">
        <f>Q124</f>
        <v>Therapy 1</v>
      </c>
      <c r="R137" t="str">
        <f>R124</f>
        <v>Therapy 2</v>
      </c>
      <c r="S137" t="str">
        <f>S124</f>
        <v>Therapy 3</v>
      </c>
    </row>
    <row r="138" spans="1:20" x14ac:dyDescent="0.25">
      <c r="A138" t="str">
        <f t="shared" ref="A138:B141" si="60">A125</f>
        <v>Positive</v>
      </c>
      <c r="B138" t="str">
        <f t="shared" si="60"/>
        <v>Male</v>
      </c>
      <c r="C138" s="96">
        <f>Q125*$F$6/$T125</f>
        <v>60.4689411780722</v>
      </c>
      <c r="D138" s="98">
        <f>R125*$F$6/$T125</f>
        <v>53.109416386140808</v>
      </c>
      <c r="E138" s="99">
        <f>S125*$F$6/$T125</f>
        <v>107.42164243578701</v>
      </c>
      <c r="F138">
        <f>SUM(C138:E138)</f>
        <v>221</v>
      </c>
      <c r="H138" t="str">
        <f t="shared" ref="H138:I141" si="61">A138</f>
        <v>Positive</v>
      </c>
      <c r="I138" t="str">
        <f t="shared" si="61"/>
        <v>Male</v>
      </c>
      <c r="J138" s="96">
        <f>C138*$C$12/C144</f>
        <v>60.468941272300853</v>
      </c>
      <c r="K138" s="98">
        <f>D138*$D$12/D144</f>
        <v>53.109415994745881</v>
      </c>
      <c r="L138" s="99">
        <f>E138*$E$12/E144</f>
        <v>107.42164268876952</v>
      </c>
      <c r="M138">
        <f>SUM(J138:L138)</f>
        <v>220.99999995581624</v>
      </c>
      <c r="O138" t="str">
        <f t="shared" ref="O138:P141" si="62">H138</f>
        <v>Positive</v>
      </c>
      <c r="P138" t="str">
        <f t="shared" si="62"/>
        <v>Male</v>
      </c>
      <c r="Q138" s="96">
        <f>J138*$C$15/J147</f>
        <v>60.468941200098087</v>
      </c>
      <c r="R138" s="98">
        <f>K138*$D$15/K147</f>
        <v>53.109416202808752</v>
      </c>
      <c r="S138" s="99">
        <f>L138*$E$15/L147</f>
        <v>107.42164253834278</v>
      </c>
      <c r="T138">
        <f>SUM(Q138:S138)</f>
        <v>220.99999994124963</v>
      </c>
    </row>
    <row r="139" spans="1:20" x14ac:dyDescent="0.25">
      <c r="A139" t="str">
        <f t="shared" si="60"/>
        <v>Positive</v>
      </c>
      <c r="B139" t="str">
        <f t="shared" si="60"/>
        <v>Female</v>
      </c>
      <c r="C139" s="6">
        <f>Q126*$F$7/$T126</f>
        <v>30.531058680122651</v>
      </c>
      <c r="D139" s="7">
        <f>R126*$F$7/$T126</f>
        <v>25.890584196057265</v>
      </c>
      <c r="E139" s="8">
        <f>S126*$F$7/$T126</f>
        <v>79.578357123820069</v>
      </c>
      <c r="F139">
        <f>SUM(C139:E139)</f>
        <v>136</v>
      </c>
      <c r="H139" t="str">
        <f t="shared" si="61"/>
        <v>Positive</v>
      </c>
      <c r="I139" t="str">
        <f t="shared" si="61"/>
        <v>Female</v>
      </c>
      <c r="J139" s="6">
        <f>C139*$C$12/C144</f>
        <v>30.531058727699147</v>
      </c>
      <c r="K139" s="7">
        <f>D139*$D$12/D144</f>
        <v>25.890584005254127</v>
      </c>
      <c r="L139" s="8">
        <f>E139*$E$12/E144</f>
        <v>79.578357311230462</v>
      </c>
      <c r="M139">
        <f>SUM(J139:L139)</f>
        <v>136.00000004418374</v>
      </c>
      <c r="O139" t="str">
        <f t="shared" si="62"/>
        <v>Positive</v>
      </c>
      <c r="P139" t="str">
        <f t="shared" si="62"/>
        <v>Female</v>
      </c>
      <c r="Q139" s="6">
        <f>J139*$C$16/J148</f>
        <v>30.531058779344463</v>
      </c>
      <c r="R139" s="7">
        <f>K139*$D$16/K148</f>
        <v>25.890583886029805</v>
      </c>
      <c r="S139" s="8">
        <f>L139*$E$16/L148</f>
        <v>79.578357412834535</v>
      </c>
      <c r="T139">
        <f>SUM(Q139:S139)</f>
        <v>136.00000007820881</v>
      </c>
    </row>
    <row r="140" spans="1:20" x14ac:dyDescent="0.25">
      <c r="A140" t="str">
        <f t="shared" si="60"/>
        <v>Negative</v>
      </c>
      <c r="B140" t="str">
        <f t="shared" si="60"/>
        <v>Male</v>
      </c>
      <c r="C140" s="6">
        <f>Q127*$F$8/$T127</f>
        <v>7.5310588514020429</v>
      </c>
      <c r="D140" s="7">
        <f>R127*$F$8/$T127</f>
        <v>13.890583564926162</v>
      </c>
      <c r="E140" s="8">
        <f>S127*$F$8/$T127</f>
        <v>16.578357583671799</v>
      </c>
      <c r="F140">
        <f>SUM(C140:E140)</f>
        <v>38</v>
      </c>
      <c r="H140" t="str">
        <f t="shared" si="61"/>
        <v>Negative</v>
      </c>
      <c r="I140" t="str">
        <f t="shared" si="61"/>
        <v>Male</v>
      </c>
      <c r="J140" s="6">
        <f>C140*$C$13/C145</f>
        <v>7.531058808894338</v>
      </c>
      <c r="K140" s="7">
        <f>D140*$D$13/D145</f>
        <v>13.890583742773131</v>
      </c>
      <c r="L140" s="8">
        <f>E140*$E$13/E145</f>
        <v>16.578357484872541</v>
      </c>
      <c r="M140">
        <f>SUM(J140:L140)</f>
        <v>38.000000036540008</v>
      </c>
      <c r="O140" t="str">
        <f t="shared" si="62"/>
        <v>Negative</v>
      </c>
      <c r="P140" t="str">
        <f t="shared" si="62"/>
        <v>Male</v>
      </c>
      <c r="Q140" s="6">
        <f>J140*$C$15/J147</f>
        <v>7.5310587999018992</v>
      </c>
      <c r="R140" s="7">
        <f>K140*$D$15/K147</f>
        <v>13.890583797191255</v>
      </c>
      <c r="S140" s="8">
        <f>L140*$E$15/L147</f>
        <v>16.578357461657216</v>
      </c>
      <c r="T140">
        <f>SUM(Q140:S140)</f>
        <v>38.000000058750373</v>
      </c>
    </row>
    <row r="141" spans="1:20" x14ac:dyDescent="0.25">
      <c r="A141" t="str">
        <f t="shared" si="60"/>
        <v>Negative</v>
      </c>
      <c r="B141" t="str">
        <f t="shared" si="60"/>
        <v>Female</v>
      </c>
      <c r="C141" s="9">
        <f>Q128*$F$9/$T128</f>
        <v>17.468941289705953</v>
      </c>
      <c r="D141" s="10">
        <f>R128*$F$9/$T128</f>
        <v>31.109415858919967</v>
      </c>
      <c r="E141" s="11">
        <f>S128*$F$9/$T128</f>
        <v>56.421642851374081</v>
      </c>
      <c r="F141">
        <f>SUM(C141:E141)</f>
        <v>105</v>
      </c>
      <c r="H141" t="str">
        <f t="shared" si="61"/>
        <v>Negative</v>
      </c>
      <c r="I141" t="str">
        <f t="shared" si="61"/>
        <v>Female</v>
      </c>
      <c r="J141" s="9">
        <f>C141*$C$13/C145</f>
        <v>17.468941191105664</v>
      </c>
      <c r="K141" s="10">
        <f>D141*$D$13/D145</f>
        <v>31.109416257226869</v>
      </c>
      <c r="L141" s="11">
        <f>E141*$E$13/E145</f>
        <v>56.421642515127459</v>
      </c>
      <c r="M141">
        <f>SUM(J141:L141)</f>
        <v>104.99999996346</v>
      </c>
      <c r="O141" t="str">
        <f t="shared" si="62"/>
        <v>Negative</v>
      </c>
      <c r="P141" t="str">
        <f t="shared" si="62"/>
        <v>Female</v>
      </c>
      <c r="Q141" s="9">
        <f>J141*$C$16/J148</f>
        <v>17.468941220655537</v>
      </c>
      <c r="R141" s="10">
        <f>K141*$D$16/K148</f>
        <v>31.109416113970191</v>
      </c>
      <c r="S141" s="11">
        <f>L141*$E$16/L148</f>
        <v>56.421642587165493</v>
      </c>
      <c r="T141">
        <f>SUM(Q141:S141)</f>
        <v>104.99999992179121</v>
      </c>
    </row>
    <row r="142" spans="1:20" x14ac:dyDescent="0.25">
      <c r="C142">
        <f>SUM(C138:C141)</f>
        <v>115.99999999930284</v>
      </c>
      <c r="D142">
        <f>SUM(D138:D141)</f>
        <v>124.00000000604419</v>
      </c>
      <c r="E142">
        <f>SUM(E138:E141)</f>
        <v>259.99999999465297</v>
      </c>
      <c r="F142">
        <f>SUM(F138:F141)</f>
        <v>500</v>
      </c>
      <c r="J142">
        <f>SUM(J138:J141)</f>
        <v>116</v>
      </c>
      <c r="K142">
        <f>SUM(K138:K141)</f>
        <v>124</v>
      </c>
      <c r="L142">
        <f>SUM(L138:L141)</f>
        <v>260</v>
      </c>
      <c r="M142">
        <f>SUM(M138:M141)</f>
        <v>500</v>
      </c>
      <c r="Q142">
        <f>SUM(Q138:Q141)</f>
        <v>115.99999999999999</v>
      </c>
      <c r="R142">
        <f>SUM(R138:R141)</f>
        <v>124</v>
      </c>
      <c r="S142">
        <f>SUM(S138:S141)</f>
        <v>260</v>
      </c>
      <c r="T142">
        <f>SUM(T138:T141)</f>
        <v>500</v>
      </c>
    </row>
    <row r="144" spans="1:20" x14ac:dyDescent="0.25">
      <c r="A144" t="str">
        <f>A131</f>
        <v>Positive</v>
      </c>
      <c r="C144" s="96">
        <f>SUM(C138:C139)</f>
        <v>90.999999858194855</v>
      </c>
      <c r="D144" s="98">
        <f>SUM(D138:D139)</f>
        <v>79.000000582198069</v>
      </c>
      <c r="E144" s="99">
        <f>SUM(E138:E139)</f>
        <v>186.99999955960709</v>
      </c>
      <c r="H144" t="str">
        <f>A144</f>
        <v>Positive</v>
      </c>
      <c r="J144" s="96">
        <f>SUM(J138:J139)</f>
        <v>91</v>
      </c>
      <c r="K144" s="98">
        <f>SUM(K138:K139)</f>
        <v>79</v>
      </c>
      <c r="L144" s="99">
        <f>SUM(L138:L139)</f>
        <v>187</v>
      </c>
      <c r="O144" t="str">
        <f>H144</f>
        <v>Positive</v>
      </c>
      <c r="Q144" s="96">
        <f>SUM(Q138:Q139)</f>
        <v>90.999999979442549</v>
      </c>
      <c r="R144" s="98">
        <f>SUM(R138:R139)</f>
        <v>79.000000088838561</v>
      </c>
      <c r="S144" s="99">
        <f>SUM(S138:S139)</f>
        <v>186.9999999511773</v>
      </c>
    </row>
    <row r="145" spans="1:20" x14ac:dyDescent="0.25">
      <c r="A145" t="str">
        <f>A132</f>
        <v>Negative</v>
      </c>
      <c r="C145" s="9">
        <f>SUM(C140:C141)</f>
        <v>25.000000141107996</v>
      </c>
      <c r="D145" s="10">
        <f>SUM(D140:D141)</f>
        <v>44.999999423846127</v>
      </c>
      <c r="E145" s="10">
        <f>SUM(E140:E141)</f>
        <v>73.000000435045877</v>
      </c>
      <c r="H145" t="str">
        <f>A145</f>
        <v>Negative</v>
      </c>
      <c r="J145" s="9">
        <f>SUM(J140:J141)</f>
        <v>25</v>
      </c>
      <c r="K145" s="10">
        <f>SUM(K140:K141)</f>
        <v>45</v>
      </c>
      <c r="L145" s="10">
        <f>SUM(L140:L141)</f>
        <v>73</v>
      </c>
      <c r="O145" t="str">
        <f>H145</f>
        <v>Negative</v>
      </c>
      <c r="Q145" s="9">
        <f>SUM(Q140:Q141)</f>
        <v>25.000000020557437</v>
      </c>
      <c r="R145" s="10">
        <f>SUM(R140:R141)</f>
        <v>44.999999911161446</v>
      </c>
      <c r="S145" s="10">
        <f>SUM(S140:S141)</f>
        <v>73.000000048822713</v>
      </c>
    </row>
    <row r="147" spans="1:20" x14ac:dyDescent="0.25">
      <c r="B147" t="str">
        <f>B134</f>
        <v>Male</v>
      </c>
      <c r="C147" s="96">
        <f t="shared" ref="C147:E148" si="63">C138+C140</f>
        <v>68.000000029474236</v>
      </c>
      <c r="D147" s="98">
        <f t="shared" si="63"/>
        <v>66.999999951066968</v>
      </c>
      <c r="E147" s="99">
        <f t="shared" si="63"/>
        <v>124.00000001945881</v>
      </c>
      <c r="I147" t="str">
        <f>B147</f>
        <v>Male</v>
      </c>
      <c r="J147" s="96">
        <f t="shared" ref="J147:L148" si="64">J138+J140</f>
        <v>68.000000081195196</v>
      </c>
      <c r="K147" s="98">
        <f t="shared" si="64"/>
        <v>66.999999737519005</v>
      </c>
      <c r="L147" s="99">
        <f t="shared" si="64"/>
        <v>124.00000017364206</v>
      </c>
      <c r="P147" t="str">
        <f>I147</f>
        <v>Male</v>
      </c>
      <c r="Q147" s="96">
        <f t="shared" ref="Q147:S148" si="65">Q138+Q140</f>
        <v>67.999999999999986</v>
      </c>
      <c r="R147" s="98">
        <f t="shared" si="65"/>
        <v>67</v>
      </c>
      <c r="S147" s="99">
        <f t="shared" si="65"/>
        <v>124</v>
      </c>
    </row>
    <row r="148" spans="1:20" x14ac:dyDescent="0.25">
      <c r="B148" t="str">
        <f>B135</f>
        <v>Female</v>
      </c>
      <c r="C148" s="9">
        <f t="shared" si="63"/>
        <v>47.999999969828608</v>
      </c>
      <c r="D148" s="10">
        <f t="shared" si="63"/>
        <v>57.000000054977235</v>
      </c>
      <c r="E148" s="11">
        <f t="shared" si="63"/>
        <v>135.99999997519416</v>
      </c>
      <c r="I148" t="str">
        <f>B148</f>
        <v>Female</v>
      </c>
      <c r="J148" s="9">
        <f t="shared" si="64"/>
        <v>47.999999918804811</v>
      </c>
      <c r="K148" s="10">
        <f t="shared" si="64"/>
        <v>57.000000262480995</v>
      </c>
      <c r="L148" s="11">
        <f t="shared" si="64"/>
        <v>135.99999982635791</v>
      </c>
      <c r="P148" t="str">
        <f>I148</f>
        <v>Female</v>
      </c>
      <c r="Q148" s="9">
        <f t="shared" si="65"/>
        <v>48</v>
      </c>
      <c r="R148" s="10">
        <f t="shared" si="65"/>
        <v>57</v>
      </c>
      <c r="S148" s="11">
        <f t="shared" si="65"/>
        <v>136.00000000000003</v>
      </c>
    </row>
    <row r="150" spans="1:20" x14ac:dyDescent="0.25">
      <c r="C150" t="str">
        <f>C137</f>
        <v>Therapy 1</v>
      </c>
      <c r="D150" t="str">
        <f>D137</f>
        <v>Therapy 2</v>
      </c>
      <c r="E150" t="str">
        <f>E137</f>
        <v>Therapy 3</v>
      </c>
      <c r="J150" t="str">
        <f>J137</f>
        <v>Therapy 1</v>
      </c>
      <c r="K150" t="str">
        <f>K137</f>
        <v>Therapy 2</v>
      </c>
      <c r="L150" t="str">
        <f>L137</f>
        <v>Therapy 3</v>
      </c>
      <c r="Q150" t="str">
        <f>Q137</f>
        <v>Therapy 1</v>
      </c>
      <c r="R150" t="str">
        <f>R137</f>
        <v>Therapy 2</v>
      </c>
      <c r="S150" t="str">
        <f>S137</f>
        <v>Therapy 3</v>
      </c>
    </row>
    <row r="151" spans="1:20" x14ac:dyDescent="0.25">
      <c r="A151" t="str">
        <f t="shared" ref="A151:B154" si="66">A138</f>
        <v>Positive</v>
      </c>
      <c r="B151" t="str">
        <f t="shared" si="66"/>
        <v>Male</v>
      </c>
      <c r="C151" s="96">
        <f>Q138*$F$6/$T138</f>
        <v>60.468941216173079</v>
      </c>
      <c r="D151" s="98">
        <f>R138*$F$6/$T138</f>
        <v>53.109416216927293</v>
      </c>
      <c r="E151" s="99">
        <f>S138*$F$6/$T138</f>
        <v>107.42164256689962</v>
      </c>
      <c r="F151">
        <f>SUM(C151:E151)</f>
        <v>221</v>
      </c>
      <c r="H151" t="str">
        <f t="shared" ref="H151:I154" si="67">A151</f>
        <v>Positive</v>
      </c>
      <c r="I151" t="str">
        <f t="shared" si="67"/>
        <v>Male</v>
      </c>
      <c r="J151" s="96">
        <f>C151*$C$12/C157</f>
        <v>60.468941230818388</v>
      </c>
      <c r="K151" s="98">
        <f>D151*$D$12/D157</f>
        <v>53.109416157721505</v>
      </c>
      <c r="L151" s="99">
        <f>E151*$E$12/E157</f>
        <v>107.42164260482954</v>
      </c>
      <c r="M151">
        <f>SUM(J151:L151)</f>
        <v>220.99999999336944</v>
      </c>
      <c r="O151" t="str">
        <f t="shared" ref="O151:P154" si="68">H151</f>
        <v>Positive</v>
      </c>
      <c r="P151" t="str">
        <f t="shared" si="68"/>
        <v>Male</v>
      </c>
      <c r="Q151" s="96">
        <f>J151*$C$15/J160</f>
        <v>60.468941219727789</v>
      </c>
      <c r="R151" s="98">
        <f>K151*$D$15/K160</f>
        <v>53.109416189162133</v>
      </c>
      <c r="S151" s="99">
        <f>L151*$E$15/L160</f>
        <v>107.42164258226687</v>
      </c>
      <c r="T151">
        <f>SUM(Q151:S151)</f>
        <v>220.99999999115681</v>
      </c>
    </row>
    <row r="152" spans="1:20" x14ac:dyDescent="0.25">
      <c r="A152" t="str">
        <f t="shared" si="66"/>
        <v>Positive</v>
      </c>
      <c r="B152" t="str">
        <f t="shared" si="66"/>
        <v>Female</v>
      </c>
      <c r="C152" s="6">
        <f>Q139*$F$7/$T139</f>
        <v>30.531058761787126</v>
      </c>
      <c r="D152" s="7">
        <f>R139*$F$7/$T139</f>
        <v>25.89058387114104</v>
      </c>
      <c r="E152" s="8">
        <f>S139*$F$7/$T139</f>
        <v>79.578357367071817</v>
      </c>
      <c r="F152">
        <f>SUM(C152:E152)</f>
        <v>136</v>
      </c>
      <c r="H152" t="str">
        <f t="shared" si="67"/>
        <v>Positive</v>
      </c>
      <c r="I152" t="str">
        <f t="shared" si="67"/>
        <v>Female</v>
      </c>
      <c r="J152" s="6">
        <f>C152*$C$12/C157</f>
        <v>30.531058769181612</v>
      </c>
      <c r="K152" s="7">
        <f>D152*$D$12/D157</f>
        <v>25.890583842278499</v>
      </c>
      <c r="L152" s="8">
        <f>E152*$E$12/E157</f>
        <v>79.578357395170457</v>
      </c>
      <c r="M152">
        <f>SUM(J152:L152)</f>
        <v>136.00000000663056</v>
      </c>
      <c r="O152" t="str">
        <f t="shared" si="68"/>
        <v>Positive</v>
      </c>
      <c r="P152" t="str">
        <f t="shared" si="68"/>
        <v>Female</v>
      </c>
      <c r="Q152" s="6">
        <f>J152*$C$16/J161</f>
        <v>30.531058777114517</v>
      </c>
      <c r="R152" s="7">
        <f>K152*$D$16/K161</f>
        <v>25.890583824262364</v>
      </c>
      <c r="S152" s="8">
        <f>L152*$E$16/L161</f>
        <v>79.578357410410149</v>
      </c>
      <c r="T152">
        <f>SUM(Q152:S152)</f>
        <v>136.00000001178702</v>
      </c>
    </row>
    <row r="153" spans="1:20" x14ac:dyDescent="0.25">
      <c r="A153" t="str">
        <f t="shared" si="66"/>
        <v>Negative</v>
      </c>
      <c r="B153" t="str">
        <f t="shared" si="66"/>
        <v>Male</v>
      </c>
      <c r="C153" s="6">
        <f>Q140*$F$8/$T140</f>
        <v>7.5310587882584121</v>
      </c>
      <c r="D153" s="7">
        <f>R140*$F$8/$T140</f>
        <v>13.890583775715545</v>
      </c>
      <c r="E153" s="8">
        <f>S140*$F$8/$T140</f>
        <v>16.578357436026039</v>
      </c>
      <c r="F153">
        <f>SUM(C153:E153)</f>
        <v>38</v>
      </c>
      <c r="H153" t="str">
        <f t="shared" si="67"/>
        <v>Negative</v>
      </c>
      <c r="I153" t="str">
        <f t="shared" si="67"/>
        <v>Male</v>
      </c>
      <c r="J153" s="6">
        <f>C153*$C$13/C158</f>
        <v>7.5310587816534884</v>
      </c>
      <c r="K153" s="7">
        <f>D153*$D$13/D158</f>
        <v>13.890583802614676</v>
      </c>
      <c r="L153" s="8">
        <f>E153*$E$13/E158</f>
        <v>16.57835742121522</v>
      </c>
      <c r="M153">
        <f>SUM(J153:L153)</f>
        <v>38.000000005483386</v>
      </c>
      <c r="O153" t="str">
        <f t="shared" si="68"/>
        <v>Negative</v>
      </c>
      <c r="P153" t="str">
        <f t="shared" si="68"/>
        <v>Male</v>
      </c>
      <c r="Q153" s="6">
        <f>J153*$C$15/J160</f>
        <v>7.5310587802722173</v>
      </c>
      <c r="R153" s="7">
        <f>K153*$D$15/K160</f>
        <v>13.890583810837864</v>
      </c>
      <c r="S153" s="8">
        <f>L153*$E$15/L160</f>
        <v>16.57835741773313</v>
      </c>
      <c r="T153">
        <f>SUM(Q153:S153)</f>
        <v>38.000000008843216</v>
      </c>
    </row>
    <row r="154" spans="1:20" x14ac:dyDescent="0.25">
      <c r="A154" t="str">
        <f t="shared" si="66"/>
        <v>Negative</v>
      </c>
      <c r="B154" t="str">
        <f t="shared" si="66"/>
        <v>Female</v>
      </c>
      <c r="C154" s="9">
        <f>Q141*$F$9/$T141</f>
        <v>17.468941233667199</v>
      </c>
      <c r="D154" s="10">
        <f>R141*$F$9/$T141</f>
        <v>31.109416137141903</v>
      </c>
      <c r="E154" s="11">
        <f>S141*$F$9/$T141</f>
        <v>56.421642629190906</v>
      </c>
      <c r="F154">
        <f>SUM(C154:E154)</f>
        <v>105</v>
      </c>
      <c r="H154" t="str">
        <f t="shared" si="67"/>
        <v>Negative</v>
      </c>
      <c r="I154" t="str">
        <f t="shared" si="67"/>
        <v>Female</v>
      </c>
      <c r="J154" s="9">
        <f>C154*$C$13/C158</f>
        <v>17.468941218346512</v>
      </c>
      <c r="K154" s="10">
        <f>D154*$D$13/D158</f>
        <v>31.109416197385325</v>
      </c>
      <c r="L154" s="11">
        <f>E154*$E$13/E158</f>
        <v>56.421642578784791</v>
      </c>
      <c r="M154">
        <f>SUM(J154:L154)</f>
        <v>104.99999999451663</v>
      </c>
      <c r="O154" t="str">
        <f t="shared" si="68"/>
        <v>Negative</v>
      </c>
      <c r="P154" t="str">
        <f t="shared" si="68"/>
        <v>Female</v>
      </c>
      <c r="Q154" s="9">
        <f>J154*$C$16/J161</f>
        <v>17.468941222885476</v>
      </c>
      <c r="R154" s="10">
        <f>K154*$D$16/K161</f>
        <v>31.109416175737632</v>
      </c>
      <c r="S154" s="11">
        <f>L154*$E$16/L161</f>
        <v>56.421642589589844</v>
      </c>
      <c r="T154">
        <f>SUM(Q154:S154)</f>
        <v>104.99999998821295</v>
      </c>
    </row>
    <row r="155" spans="1:20" x14ac:dyDescent="0.25">
      <c r="C155">
        <f>SUM(C151:C154)</f>
        <v>115.9999999998858</v>
      </c>
      <c r="D155">
        <f>SUM(D151:D154)</f>
        <v>124.00000000092578</v>
      </c>
      <c r="E155">
        <f>SUM(E151:E154)</f>
        <v>259.99999999918839</v>
      </c>
      <c r="F155">
        <f>SUM(F151:F154)</f>
        <v>500</v>
      </c>
      <c r="J155">
        <f>SUM(J151:J154)</f>
        <v>116</v>
      </c>
      <c r="K155">
        <f>SUM(K151:K154)</f>
        <v>124</v>
      </c>
      <c r="L155">
        <f>SUM(L151:L154)</f>
        <v>260</v>
      </c>
      <c r="M155">
        <f>SUM(M151:M154)</f>
        <v>500</v>
      </c>
      <c r="Q155">
        <f>SUM(Q151:Q154)</f>
        <v>116</v>
      </c>
      <c r="R155">
        <f>SUM(R151:R154)</f>
        <v>124</v>
      </c>
      <c r="S155">
        <f>SUM(S151:S154)</f>
        <v>260</v>
      </c>
      <c r="T155">
        <f>SUM(T151:T154)</f>
        <v>500</v>
      </c>
    </row>
    <row r="157" spans="1:20" x14ac:dyDescent="0.25">
      <c r="A157" t="str">
        <f>A144</f>
        <v>Positive</v>
      </c>
      <c r="C157" s="96">
        <f>SUM(C151:C152)</f>
        <v>90.999999977960201</v>
      </c>
      <c r="D157" s="98">
        <f>SUM(D151:D152)</f>
        <v>79.000000088068333</v>
      </c>
      <c r="E157" s="99">
        <f>SUM(E151:E152)</f>
        <v>186.99999993397142</v>
      </c>
      <c r="H157" t="str">
        <f>A157</f>
        <v>Positive</v>
      </c>
      <c r="J157" s="96">
        <f>SUM(J151:J152)</f>
        <v>91</v>
      </c>
      <c r="K157" s="98">
        <f>SUM(K151:K152)</f>
        <v>79</v>
      </c>
      <c r="L157" s="99">
        <f>SUM(L151:L152)</f>
        <v>187</v>
      </c>
      <c r="O157" t="str">
        <f>H157</f>
        <v>Positive</v>
      </c>
      <c r="Q157" s="96">
        <f>SUM(Q151:Q152)</f>
        <v>90.999999996842305</v>
      </c>
      <c r="R157" s="98">
        <f>SUM(R151:R152)</f>
        <v>79.000000013424497</v>
      </c>
      <c r="S157" s="99">
        <f>SUM(S151:S152)</f>
        <v>186.99999999267703</v>
      </c>
    </row>
    <row r="158" spans="1:20" x14ac:dyDescent="0.25">
      <c r="A158" t="str">
        <f>A145</f>
        <v>Negative</v>
      </c>
      <c r="C158" s="9">
        <f>SUM(C153:C154)</f>
        <v>25.000000021925612</v>
      </c>
      <c r="D158" s="10">
        <f>SUM(D153:D154)</f>
        <v>44.999999912857447</v>
      </c>
      <c r="E158" s="10">
        <f>SUM(E153:E154)</f>
        <v>73.000000065216938</v>
      </c>
      <c r="H158" t="str">
        <f>A158</f>
        <v>Negative</v>
      </c>
      <c r="J158" s="9">
        <f>SUM(J153:J154)</f>
        <v>25</v>
      </c>
      <c r="K158" s="10">
        <f>SUM(K153:K154)</f>
        <v>45</v>
      </c>
      <c r="L158" s="10">
        <f>SUM(L153:L154)</f>
        <v>73.000000000000014</v>
      </c>
      <c r="O158" t="str">
        <f>H158</f>
        <v>Negative</v>
      </c>
      <c r="Q158" s="9">
        <f>SUM(Q153:Q154)</f>
        <v>25.000000003157695</v>
      </c>
      <c r="R158" s="10">
        <f>SUM(R153:R154)</f>
        <v>44.999999986575496</v>
      </c>
      <c r="S158" s="10">
        <f>SUM(S153:S154)</f>
        <v>73.000000007322967</v>
      </c>
    </row>
    <row r="160" spans="1:20" x14ac:dyDescent="0.25">
      <c r="B160" t="str">
        <f>B147</f>
        <v>Male</v>
      </c>
      <c r="C160" s="96">
        <f t="shared" ref="C160:E161" si="69">C151+C153</f>
        <v>68.000000004431485</v>
      </c>
      <c r="D160" s="98">
        <f t="shared" si="69"/>
        <v>66.999999992642842</v>
      </c>
      <c r="E160" s="99">
        <f t="shared" si="69"/>
        <v>124.00000000292566</v>
      </c>
      <c r="I160" t="str">
        <f>B160</f>
        <v>Male</v>
      </c>
      <c r="J160" s="96">
        <f t="shared" ref="J160:L161" si="70">J151+J153</f>
        <v>68.000000012471872</v>
      </c>
      <c r="K160" s="98">
        <f t="shared" si="70"/>
        <v>66.999999960336183</v>
      </c>
      <c r="L160" s="99">
        <f t="shared" si="70"/>
        <v>124.00000002604476</v>
      </c>
      <c r="P160" t="str">
        <f>I160</f>
        <v>Male</v>
      </c>
      <c r="Q160" s="96">
        <f t="shared" ref="Q160:S161" si="71">Q151+Q153</f>
        <v>68</v>
      </c>
      <c r="R160" s="98">
        <f t="shared" si="71"/>
        <v>67</v>
      </c>
      <c r="S160" s="99">
        <f t="shared" si="71"/>
        <v>124</v>
      </c>
    </row>
    <row r="161" spans="2:19" x14ac:dyDescent="0.25">
      <c r="B161" t="str">
        <f>B148</f>
        <v>Female</v>
      </c>
      <c r="C161" s="9">
        <f t="shared" si="69"/>
        <v>47.999999995454324</v>
      </c>
      <c r="D161" s="10">
        <f t="shared" si="69"/>
        <v>57.000000008282939</v>
      </c>
      <c r="E161" s="11">
        <f t="shared" si="69"/>
        <v>135.99999999626272</v>
      </c>
      <c r="I161" t="str">
        <f>B161</f>
        <v>Female</v>
      </c>
      <c r="J161" s="9">
        <f t="shared" si="70"/>
        <v>47.999999987528128</v>
      </c>
      <c r="K161" s="10">
        <f t="shared" si="70"/>
        <v>57.000000039663824</v>
      </c>
      <c r="L161" s="11">
        <f t="shared" si="70"/>
        <v>135.99999997395525</v>
      </c>
      <c r="P161" t="str">
        <f>I161</f>
        <v>Female</v>
      </c>
      <c r="Q161" s="9">
        <f t="shared" si="71"/>
        <v>47.999999999999993</v>
      </c>
      <c r="R161" s="10">
        <f t="shared" si="71"/>
        <v>57</v>
      </c>
      <c r="S161" s="11">
        <f t="shared" si="71"/>
        <v>136</v>
      </c>
    </row>
  </sheetData>
  <pageMargins left="0.7" right="0.7" top="0.75" bottom="0.75" header="0.3" footer="0.3"/>
  <ignoredErrors>
    <ignoredError sqref="Q12:S13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Q17"/>
  <sheetViews>
    <sheetView workbookViewId="0"/>
  </sheetViews>
  <sheetFormatPr defaultRowHeight="15" x14ac:dyDescent="0.25"/>
  <cols>
    <col min="2" max="2" width="8.7109375" customWidth="1"/>
    <col min="3" max="3" width="9.7109375" customWidth="1"/>
    <col min="4" max="10" width="7.85546875" customWidth="1"/>
    <col min="13" max="13" width="5.140625" customWidth="1"/>
    <col min="15" max="15" width="11.85546875" customWidth="1"/>
    <col min="16" max="16" width="4.28515625" customWidth="1"/>
    <col min="17" max="17" width="15" customWidth="1"/>
  </cols>
  <sheetData>
    <row r="1" spans="1:17" x14ac:dyDescent="0.25">
      <c r="A1" s="1" t="s">
        <v>295</v>
      </c>
    </row>
    <row r="3" spans="1:17" x14ac:dyDescent="0.25">
      <c r="A3" s="1" t="s">
        <v>286</v>
      </c>
    </row>
    <row r="5" spans="1:17" ht="18" x14ac:dyDescent="0.35">
      <c r="A5" s="137" t="s">
        <v>248</v>
      </c>
      <c r="B5" s="126" t="s">
        <v>180</v>
      </c>
      <c r="C5" s="138" t="s">
        <v>229</v>
      </c>
      <c r="D5" s="105" t="s">
        <v>300</v>
      </c>
      <c r="E5" s="140" t="s">
        <v>301</v>
      </c>
      <c r="F5" s="140" t="s">
        <v>302</v>
      </c>
      <c r="G5" s="140" t="s">
        <v>303</v>
      </c>
      <c r="H5" s="140" t="s">
        <v>304</v>
      </c>
      <c r="I5" s="140" t="s">
        <v>306</v>
      </c>
      <c r="J5" s="141" t="s">
        <v>308</v>
      </c>
      <c r="K5" s="141" t="s">
        <v>309</v>
      </c>
      <c r="L5" s="86" t="s">
        <v>212</v>
      </c>
      <c r="N5" s="146"/>
      <c r="O5" s="145" t="s">
        <v>319</v>
      </c>
    </row>
    <row r="6" spans="1:17" x14ac:dyDescent="0.25">
      <c r="A6" s="6" t="s">
        <v>249</v>
      </c>
      <c r="B6" s="7" t="s">
        <v>94</v>
      </c>
      <c r="C6" s="8" t="s">
        <v>79</v>
      </c>
      <c r="D6" s="29">
        <f>IF(A6="Positive",1,0)</f>
        <v>1</v>
      </c>
      <c r="E6" s="38">
        <f>IF(B6="Male",1,0)</f>
        <v>1</v>
      </c>
      <c r="F6" s="38">
        <f>IF(C6="Therapy 1",1,0)</f>
        <v>1</v>
      </c>
      <c r="G6" s="38">
        <f>IF(C6="Therapy 2",1,0)</f>
        <v>0</v>
      </c>
      <c r="H6" s="142">
        <f>D6*E6</f>
        <v>1</v>
      </c>
      <c r="I6" s="142">
        <f>D6*F6</f>
        <v>1</v>
      </c>
      <c r="J6" s="134">
        <f>D6*G6</f>
        <v>0</v>
      </c>
      <c r="K6" s="8">
        <f>'Log Lin 2.2'!M95</f>
        <v>56.333333333333336</v>
      </c>
      <c r="L6" s="8">
        <f>'Log Lin 2.2'!O95</f>
        <v>4.0312864262549635</v>
      </c>
      <c r="N6" s="143" t="s">
        <v>127</v>
      </c>
      <c r="O6" s="58">
        <f>L17</f>
        <v>3.9815751610460071</v>
      </c>
      <c r="Q6" s="14" t="s">
        <v>311</v>
      </c>
    </row>
    <row r="7" spans="1:17" x14ac:dyDescent="0.25">
      <c r="A7" s="6" t="s">
        <v>249</v>
      </c>
      <c r="B7" s="7" t="s">
        <v>94</v>
      </c>
      <c r="C7" s="8" t="s">
        <v>80</v>
      </c>
      <c r="D7" s="29">
        <f t="shared" ref="D7:D17" si="0">IF(A7="Positive",1,0)</f>
        <v>1</v>
      </c>
      <c r="E7" s="38">
        <f t="shared" ref="E7:E17" si="1">IF(B7="Male",1,0)</f>
        <v>1</v>
      </c>
      <c r="F7" s="38">
        <f t="shared" ref="F7:F17" si="2">IF(C7="Therapy 1",1,0)</f>
        <v>0</v>
      </c>
      <c r="G7" s="38">
        <f t="shared" ref="G7:G17" si="3">IF(C7="Therapy 2",1,0)</f>
        <v>1</v>
      </c>
      <c r="H7" s="38">
        <f t="shared" ref="H7:H17" si="4">D7*E7</f>
        <v>1</v>
      </c>
      <c r="I7" s="38">
        <f t="shared" ref="I7:I17" si="5">D7*F7</f>
        <v>0</v>
      </c>
      <c r="J7" s="30">
        <f t="shared" ref="J7:J17" si="6">D7*G7</f>
        <v>1</v>
      </c>
      <c r="K7" s="8">
        <f>'Log Lin 2.2'!M96</f>
        <v>48.904761904761905</v>
      </c>
      <c r="L7" s="8">
        <f>'Log Lin 2.2'!O96</f>
        <v>3.8898747722051352</v>
      </c>
      <c r="N7" s="143" t="s">
        <v>296</v>
      </c>
      <c r="O7" s="58">
        <f>L11-O6</f>
        <v>0.28445255976499251</v>
      </c>
      <c r="Q7" s="14" t="s">
        <v>312</v>
      </c>
    </row>
    <row r="8" spans="1:17" x14ac:dyDescent="0.25">
      <c r="A8" s="6" t="s">
        <v>249</v>
      </c>
      <c r="B8" s="7" t="s">
        <v>94</v>
      </c>
      <c r="C8" s="8" t="s">
        <v>247</v>
      </c>
      <c r="D8" s="29">
        <f t="shared" si="0"/>
        <v>1</v>
      </c>
      <c r="E8" s="38">
        <f t="shared" si="1"/>
        <v>1</v>
      </c>
      <c r="F8" s="38">
        <f t="shared" si="2"/>
        <v>0</v>
      </c>
      <c r="G8" s="38">
        <f t="shared" si="3"/>
        <v>0</v>
      </c>
      <c r="H8" s="38">
        <f t="shared" si="4"/>
        <v>1</v>
      </c>
      <c r="I8" s="38">
        <f t="shared" si="5"/>
        <v>0</v>
      </c>
      <c r="J8" s="30">
        <f t="shared" si="6"/>
        <v>0</v>
      </c>
      <c r="K8" s="8">
        <f>'Log Lin 2.2'!M97</f>
        <v>115.76190476190476</v>
      </c>
      <c r="L8" s="8">
        <f>'Log Lin 2.2'!O97</f>
        <v>4.7515355365927006</v>
      </c>
      <c r="N8" s="143" t="s">
        <v>297</v>
      </c>
      <c r="O8" s="58">
        <f>L14-O6</f>
        <v>-1.0163741904311374</v>
      </c>
      <c r="Q8" s="14" t="s">
        <v>313</v>
      </c>
    </row>
    <row r="9" spans="1:17" x14ac:dyDescent="0.25">
      <c r="A9" s="6" t="s">
        <v>249</v>
      </c>
      <c r="B9" s="7" t="s">
        <v>72</v>
      </c>
      <c r="C9" s="8" t="s">
        <v>79</v>
      </c>
      <c r="D9" s="29">
        <f t="shared" si="0"/>
        <v>1</v>
      </c>
      <c r="E9" s="38">
        <f t="shared" si="1"/>
        <v>0</v>
      </c>
      <c r="F9" s="38">
        <f t="shared" si="2"/>
        <v>1</v>
      </c>
      <c r="G9" s="38">
        <f t="shared" si="3"/>
        <v>0</v>
      </c>
      <c r="H9" s="38">
        <f t="shared" si="4"/>
        <v>0</v>
      </c>
      <c r="I9" s="38">
        <f t="shared" si="5"/>
        <v>1</v>
      </c>
      <c r="J9" s="30">
        <f t="shared" si="6"/>
        <v>0</v>
      </c>
      <c r="K9" s="8">
        <f>'Log Lin 2.2'!M98</f>
        <v>34.666666666666664</v>
      </c>
      <c r="L9" s="8">
        <f>'Log Lin 2.2'!O98</f>
        <v>3.5457786104732629</v>
      </c>
      <c r="N9" s="143" t="s">
        <v>298</v>
      </c>
      <c r="O9" s="58">
        <f>L15-O6</f>
        <v>-1.0715836162801904</v>
      </c>
      <c r="Q9" s="14" t="s">
        <v>314</v>
      </c>
    </row>
    <row r="10" spans="1:17" x14ac:dyDescent="0.25">
      <c r="A10" s="6" t="s">
        <v>249</v>
      </c>
      <c r="B10" s="7" t="s">
        <v>72</v>
      </c>
      <c r="C10" s="8" t="s">
        <v>80</v>
      </c>
      <c r="D10" s="29">
        <f t="shared" si="0"/>
        <v>1</v>
      </c>
      <c r="E10" s="38">
        <f t="shared" si="1"/>
        <v>0</v>
      </c>
      <c r="F10" s="38">
        <f t="shared" si="2"/>
        <v>0</v>
      </c>
      <c r="G10" s="38">
        <f t="shared" si="3"/>
        <v>1</v>
      </c>
      <c r="H10" s="38">
        <f t="shared" si="4"/>
        <v>0</v>
      </c>
      <c r="I10" s="38">
        <f t="shared" si="5"/>
        <v>0</v>
      </c>
      <c r="J10" s="30">
        <f t="shared" si="6"/>
        <v>1</v>
      </c>
      <c r="K10" s="8">
        <f>'Log Lin 2.2'!M99</f>
        <v>30.095238095238095</v>
      </c>
      <c r="L10" s="8">
        <f>'Log Lin 2.2'!O99</f>
        <v>3.4043669564234342</v>
      </c>
      <c r="N10" s="143" t="s">
        <v>299</v>
      </c>
      <c r="O10" s="58">
        <f>L16-O6</f>
        <v>-0.48379695137807133</v>
      </c>
      <c r="Q10" s="14" t="s">
        <v>315</v>
      </c>
    </row>
    <row r="11" spans="1:17" x14ac:dyDescent="0.25">
      <c r="A11" s="6" t="s">
        <v>249</v>
      </c>
      <c r="B11" s="7" t="s">
        <v>72</v>
      </c>
      <c r="C11" s="8" t="s">
        <v>247</v>
      </c>
      <c r="D11" s="29">
        <f t="shared" si="0"/>
        <v>1</v>
      </c>
      <c r="E11" s="38">
        <f t="shared" si="1"/>
        <v>0</v>
      </c>
      <c r="F11" s="38">
        <f t="shared" si="2"/>
        <v>0</v>
      </c>
      <c r="G11" s="38">
        <f t="shared" si="3"/>
        <v>0</v>
      </c>
      <c r="H11" s="38">
        <f t="shared" si="4"/>
        <v>0</v>
      </c>
      <c r="I11" s="38">
        <f t="shared" si="5"/>
        <v>0</v>
      </c>
      <c r="J11" s="30">
        <f t="shared" si="6"/>
        <v>0</v>
      </c>
      <c r="K11" s="8">
        <f>'Log Lin 2.2'!M100</f>
        <v>71.238095238095241</v>
      </c>
      <c r="L11" s="8">
        <f>'Log Lin 2.2'!O100</f>
        <v>4.2660277208109996</v>
      </c>
      <c r="N11" s="143" t="s">
        <v>305</v>
      </c>
      <c r="O11" s="58">
        <f>L8-O6-O7-O8</f>
        <v>1.5018820062128384</v>
      </c>
      <c r="Q11" s="14" t="s">
        <v>316</v>
      </c>
    </row>
    <row r="12" spans="1:17" x14ac:dyDescent="0.25">
      <c r="A12" s="6" t="s">
        <v>250</v>
      </c>
      <c r="B12" s="7" t="s">
        <v>94</v>
      </c>
      <c r="C12" s="8" t="s">
        <v>79</v>
      </c>
      <c r="D12" s="29">
        <f t="shared" si="0"/>
        <v>0</v>
      </c>
      <c r="E12" s="38">
        <f t="shared" si="1"/>
        <v>1</v>
      </c>
      <c r="F12" s="38">
        <f t="shared" si="2"/>
        <v>1</v>
      </c>
      <c r="G12" s="38">
        <f t="shared" si="3"/>
        <v>0</v>
      </c>
      <c r="H12" s="38">
        <f t="shared" si="4"/>
        <v>0</v>
      </c>
      <c r="I12" s="38">
        <f t="shared" si="5"/>
        <v>0</v>
      </c>
      <c r="J12" s="30">
        <f t="shared" si="6"/>
        <v>0</v>
      </c>
      <c r="K12" s="8">
        <f>'Log Lin 2.2'!M101</f>
        <v>6.6433566433566433</v>
      </c>
      <c r="L12" s="8">
        <f>'Log Lin 2.2'!O101</f>
        <v>1.8936173543346793</v>
      </c>
      <c r="N12" s="143" t="s">
        <v>307</v>
      </c>
      <c r="O12" s="58">
        <f>L9-O6-O7-O9</f>
        <v>0.35133450594245375</v>
      </c>
      <c r="Q12" s="14" t="s">
        <v>317</v>
      </c>
    </row>
    <row r="13" spans="1:17" x14ac:dyDescent="0.25">
      <c r="A13" s="6" t="s">
        <v>250</v>
      </c>
      <c r="B13" s="7" t="s">
        <v>94</v>
      </c>
      <c r="C13" s="8" t="s">
        <v>80</v>
      </c>
      <c r="D13" s="29">
        <f t="shared" si="0"/>
        <v>0</v>
      </c>
      <c r="E13" s="38">
        <f t="shared" si="1"/>
        <v>1</v>
      </c>
      <c r="F13" s="38">
        <f t="shared" si="2"/>
        <v>0</v>
      </c>
      <c r="G13" s="38">
        <f t="shared" si="3"/>
        <v>1</v>
      </c>
      <c r="H13" s="38">
        <f t="shared" si="4"/>
        <v>0</v>
      </c>
      <c r="I13" s="38">
        <f t="shared" si="5"/>
        <v>0</v>
      </c>
      <c r="J13" s="30">
        <f t="shared" si="6"/>
        <v>0</v>
      </c>
      <c r="K13" s="8">
        <f>'Log Lin 2.2'!M102</f>
        <v>11.958041958041958</v>
      </c>
      <c r="L13" s="8">
        <f>'Log Lin 2.2'!O102</f>
        <v>2.4814040192367983</v>
      </c>
      <c r="N13" s="144" t="s">
        <v>310</v>
      </c>
      <c r="O13" s="123">
        <f>L10-O6-O7-O10</f>
        <v>-0.37786381300949401</v>
      </c>
      <c r="Q13" s="14" t="s">
        <v>318</v>
      </c>
    </row>
    <row r="14" spans="1:17" x14ac:dyDescent="0.25">
      <c r="A14" s="6" t="s">
        <v>250</v>
      </c>
      <c r="B14" s="7" t="s">
        <v>94</v>
      </c>
      <c r="C14" s="8" t="s">
        <v>247</v>
      </c>
      <c r="D14" s="29">
        <f t="shared" si="0"/>
        <v>0</v>
      </c>
      <c r="E14" s="38">
        <f t="shared" si="1"/>
        <v>1</v>
      </c>
      <c r="F14" s="38">
        <f t="shared" si="2"/>
        <v>0</v>
      </c>
      <c r="G14" s="38">
        <f t="shared" si="3"/>
        <v>0</v>
      </c>
      <c r="H14" s="38">
        <f t="shared" si="4"/>
        <v>0</v>
      </c>
      <c r="I14" s="38">
        <f t="shared" si="5"/>
        <v>0</v>
      </c>
      <c r="J14" s="30">
        <f t="shared" si="6"/>
        <v>0</v>
      </c>
      <c r="K14" s="8">
        <f>'Log Lin 2.2'!M103</f>
        <v>19.3986013986014</v>
      </c>
      <c r="L14" s="8">
        <f>'Log Lin 2.2'!O103</f>
        <v>2.9652009706148696</v>
      </c>
    </row>
    <row r="15" spans="1:17" x14ac:dyDescent="0.25">
      <c r="A15" s="6" t="s">
        <v>250</v>
      </c>
      <c r="B15" s="7" t="s">
        <v>72</v>
      </c>
      <c r="C15" s="8" t="s">
        <v>79</v>
      </c>
      <c r="D15" s="29">
        <f t="shared" si="0"/>
        <v>0</v>
      </c>
      <c r="E15" s="38">
        <f t="shared" si="1"/>
        <v>0</v>
      </c>
      <c r="F15" s="38">
        <f t="shared" si="2"/>
        <v>1</v>
      </c>
      <c r="G15" s="38">
        <f t="shared" si="3"/>
        <v>0</v>
      </c>
      <c r="H15" s="38">
        <f t="shared" si="4"/>
        <v>0</v>
      </c>
      <c r="I15" s="38">
        <f t="shared" si="5"/>
        <v>0</v>
      </c>
      <c r="J15" s="30">
        <f t="shared" si="6"/>
        <v>0</v>
      </c>
      <c r="K15" s="8">
        <f>'Log Lin 2.2'!M104</f>
        <v>18.356643356643357</v>
      </c>
      <c r="L15" s="8">
        <f>'Log Lin 2.2'!O104</f>
        <v>2.9099915447658167</v>
      </c>
    </row>
    <row r="16" spans="1:17" x14ac:dyDescent="0.25">
      <c r="A16" s="6" t="s">
        <v>250</v>
      </c>
      <c r="B16" s="7" t="s">
        <v>72</v>
      </c>
      <c r="C16" s="8" t="s">
        <v>80</v>
      </c>
      <c r="D16" s="29">
        <f t="shared" si="0"/>
        <v>0</v>
      </c>
      <c r="E16" s="38">
        <f t="shared" si="1"/>
        <v>0</v>
      </c>
      <c r="F16" s="38">
        <f t="shared" si="2"/>
        <v>0</v>
      </c>
      <c r="G16" s="38">
        <f t="shared" si="3"/>
        <v>1</v>
      </c>
      <c r="H16" s="38">
        <f t="shared" si="4"/>
        <v>0</v>
      </c>
      <c r="I16" s="38">
        <f t="shared" si="5"/>
        <v>0</v>
      </c>
      <c r="J16" s="30">
        <f t="shared" si="6"/>
        <v>0</v>
      </c>
      <c r="K16" s="8">
        <f>'Log Lin 2.2'!M105</f>
        <v>33.04195804195804</v>
      </c>
      <c r="L16" s="8">
        <f>'Log Lin 2.2'!O105</f>
        <v>3.4977782096679357</v>
      </c>
    </row>
    <row r="17" spans="1:12" x14ac:dyDescent="0.25">
      <c r="A17" s="112" t="s">
        <v>250</v>
      </c>
      <c r="B17" s="10" t="s">
        <v>72</v>
      </c>
      <c r="C17" s="11" t="s">
        <v>247</v>
      </c>
      <c r="D17" s="139">
        <f t="shared" si="0"/>
        <v>0</v>
      </c>
      <c r="E17" s="119">
        <f t="shared" si="1"/>
        <v>0</v>
      </c>
      <c r="F17" s="119">
        <f t="shared" si="2"/>
        <v>0</v>
      </c>
      <c r="G17" s="119">
        <f t="shared" si="3"/>
        <v>0</v>
      </c>
      <c r="H17" s="119">
        <f t="shared" si="4"/>
        <v>0</v>
      </c>
      <c r="I17" s="119">
        <f t="shared" si="5"/>
        <v>0</v>
      </c>
      <c r="J17" s="32">
        <f t="shared" si="6"/>
        <v>0</v>
      </c>
      <c r="K17" s="123">
        <f>'Log Lin 2.2'!M106</f>
        <v>53.6013986013986</v>
      </c>
      <c r="L17" s="11">
        <f>'Log Lin 2.2'!O106</f>
        <v>3.9815751610460071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43"/>
  <sheetViews>
    <sheetView workbookViewId="0"/>
  </sheetViews>
  <sheetFormatPr defaultRowHeight="15" x14ac:dyDescent="0.25"/>
  <cols>
    <col min="1" max="1" width="9.85546875" customWidth="1"/>
    <col min="2" max="2" width="10" customWidth="1"/>
    <col min="3" max="3" width="3.42578125" customWidth="1"/>
    <col min="4" max="6" width="5.5703125" customWidth="1"/>
    <col min="9" max="9" width="9.140625" customWidth="1"/>
    <col min="10" max="10" width="4.85546875" customWidth="1"/>
    <col min="12" max="12" width="4.85546875" customWidth="1"/>
    <col min="14" max="14" width="5.7109375" customWidth="1"/>
  </cols>
  <sheetData>
    <row r="1" spans="1:15" x14ac:dyDescent="0.25">
      <c r="A1" s="1" t="s">
        <v>1255</v>
      </c>
    </row>
    <row r="3" spans="1:15" x14ac:dyDescent="0.25">
      <c r="A3" s="571" t="s">
        <v>1256</v>
      </c>
      <c r="B3" s="571" t="s">
        <v>620</v>
      </c>
      <c r="D3" s="12" t="s">
        <v>44</v>
      </c>
      <c r="E3" s="12" t="s">
        <v>28</v>
      </c>
      <c r="F3" s="12" t="s">
        <v>17</v>
      </c>
      <c r="G3" s="12" t="s">
        <v>1257</v>
      </c>
      <c r="H3" s="12" t="s">
        <v>1258</v>
      </c>
      <c r="J3" s="12" t="s">
        <v>44</v>
      </c>
      <c r="K3" s="12" t="s">
        <v>1258</v>
      </c>
      <c r="N3" s="20" t="s">
        <v>44</v>
      </c>
      <c r="O3" s="20" t="s">
        <v>1258</v>
      </c>
    </row>
    <row r="4" spans="1:15" x14ac:dyDescent="0.25">
      <c r="A4">
        <v>3</v>
      </c>
      <c r="B4">
        <v>1</v>
      </c>
      <c r="D4" s="554">
        <v>0</v>
      </c>
      <c r="E4" s="387"/>
      <c r="F4" s="387">
        <f>COUNTIF($A$4:$A$21, "&gt;"&amp;D4-1)</f>
        <v>18</v>
      </c>
      <c r="G4" s="387"/>
      <c r="H4" s="555">
        <v>1</v>
      </c>
      <c r="J4" s="7">
        <v>0</v>
      </c>
      <c r="K4" s="7">
        <v>1</v>
      </c>
      <c r="L4">
        <v>1</v>
      </c>
      <c r="N4" s="554">
        <v>0</v>
      </c>
      <c r="O4" s="555">
        <v>1</v>
      </c>
    </row>
    <row r="5" spans="1:15" x14ac:dyDescent="0.25">
      <c r="A5">
        <v>5</v>
      </c>
      <c r="B5">
        <v>1</v>
      </c>
      <c r="D5" s="214">
        <v>2</v>
      </c>
      <c r="E5" s="7">
        <f>COUNTIFS($A$4:$A$21,D5,$B$4:$B$21,1)</f>
        <v>1</v>
      </c>
      <c r="F5" s="7">
        <f t="shared" ref="F5:F12" si="0">COUNTIF($A$4:$A$21, "&gt;"&amp;D5-1)</f>
        <v>18</v>
      </c>
      <c r="G5" s="7">
        <f t="shared" ref="G5:G12" si="1">1-E5/F5</f>
        <v>0.94444444444444442</v>
      </c>
      <c r="H5" s="215">
        <f>H4*G5</f>
        <v>0.94444444444444442</v>
      </c>
      <c r="J5" s="7">
        <v>2</v>
      </c>
      <c r="K5" s="7">
        <v>0.94444444444444442</v>
      </c>
      <c r="L5">
        <v>2</v>
      </c>
      <c r="N5" s="214">
        <v>2</v>
      </c>
      <c r="O5" s="215">
        <v>1</v>
      </c>
    </row>
    <row r="6" spans="1:15" x14ac:dyDescent="0.25">
      <c r="A6">
        <v>8</v>
      </c>
      <c r="B6">
        <v>1</v>
      </c>
      <c r="D6" s="214">
        <v>3</v>
      </c>
      <c r="E6" s="7">
        <f t="shared" ref="E6:E12" si="2">COUNTIFS($A$4:$A$21,D6,$B$4:$B$21,1)</f>
        <v>1</v>
      </c>
      <c r="F6" s="7">
        <f t="shared" si="0"/>
        <v>17</v>
      </c>
      <c r="G6" s="7">
        <f t="shared" si="1"/>
        <v>0.94117647058823528</v>
      </c>
      <c r="H6" s="215">
        <f t="shared" ref="H6:H12" si="3">H5*G6</f>
        <v>0.88888888888888884</v>
      </c>
      <c r="J6" s="7">
        <v>3</v>
      </c>
      <c r="K6" s="7">
        <v>0.88888888888888884</v>
      </c>
      <c r="L6">
        <v>3</v>
      </c>
      <c r="N6" s="214">
        <v>2</v>
      </c>
      <c r="O6" s="215">
        <v>0.94444444444444442</v>
      </c>
    </row>
    <row r="7" spans="1:15" x14ac:dyDescent="0.25">
      <c r="A7">
        <v>10</v>
      </c>
      <c r="B7">
        <v>0</v>
      </c>
      <c r="D7" s="214">
        <v>5</v>
      </c>
      <c r="E7" s="7">
        <f t="shared" si="2"/>
        <v>3</v>
      </c>
      <c r="F7" s="7">
        <f t="shared" si="0"/>
        <v>16</v>
      </c>
      <c r="G7" s="7">
        <f t="shared" si="1"/>
        <v>0.8125</v>
      </c>
      <c r="H7" s="215">
        <f t="shared" si="3"/>
        <v>0.72222222222222221</v>
      </c>
      <c r="J7" s="7">
        <v>5</v>
      </c>
      <c r="K7" s="7">
        <v>0.72222222222222221</v>
      </c>
      <c r="L7">
        <v>4</v>
      </c>
      <c r="N7" s="214">
        <v>3</v>
      </c>
      <c r="O7" s="215">
        <v>0.94444444444444442</v>
      </c>
    </row>
    <row r="8" spans="1:15" x14ac:dyDescent="0.25">
      <c r="A8">
        <v>5</v>
      </c>
      <c r="B8">
        <v>1</v>
      </c>
      <c r="D8" s="214">
        <v>8</v>
      </c>
      <c r="E8" s="7">
        <f t="shared" si="2"/>
        <v>3</v>
      </c>
      <c r="F8" s="7">
        <f t="shared" si="0"/>
        <v>12</v>
      </c>
      <c r="G8" s="7">
        <f t="shared" si="1"/>
        <v>0.75</v>
      </c>
      <c r="H8" s="215">
        <f t="shared" si="3"/>
        <v>0.54166666666666663</v>
      </c>
      <c r="J8" s="7">
        <v>8</v>
      </c>
      <c r="K8" s="7">
        <v>0.54166666666666663</v>
      </c>
      <c r="L8">
        <v>5</v>
      </c>
      <c r="N8" s="214">
        <v>3</v>
      </c>
      <c r="O8" s="215">
        <v>0.88888888888888884</v>
      </c>
    </row>
    <row r="9" spans="1:15" x14ac:dyDescent="0.25">
      <c r="A9">
        <v>5</v>
      </c>
      <c r="B9">
        <v>0</v>
      </c>
      <c r="D9" s="214">
        <v>9</v>
      </c>
      <c r="E9" s="7">
        <f t="shared" si="2"/>
        <v>0</v>
      </c>
      <c r="F9" s="7">
        <f t="shared" si="0"/>
        <v>9</v>
      </c>
      <c r="G9" s="7">
        <f t="shared" si="1"/>
        <v>1</v>
      </c>
      <c r="H9" s="215">
        <f t="shared" si="3"/>
        <v>0.54166666666666663</v>
      </c>
      <c r="J9" s="7">
        <v>9</v>
      </c>
      <c r="K9" s="7">
        <v>0.54166666666666663</v>
      </c>
      <c r="L9">
        <v>6</v>
      </c>
      <c r="N9" s="214">
        <v>5</v>
      </c>
      <c r="O9" s="215">
        <v>0.88888888888888884</v>
      </c>
    </row>
    <row r="10" spans="1:15" x14ac:dyDescent="0.25">
      <c r="A10">
        <v>8</v>
      </c>
      <c r="B10">
        <v>1</v>
      </c>
      <c r="D10" s="214">
        <v>10</v>
      </c>
      <c r="E10" s="7">
        <f t="shared" si="2"/>
        <v>0</v>
      </c>
      <c r="F10" s="7">
        <f t="shared" si="0"/>
        <v>8</v>
      </c>
      <c r="G10" s="7">
        <f t="shared" si="1"/>
        <v>1</v>
      </c>
      <c r="H10" s="215">
        <f t="shared" si="3"/>
        <v>0.54166666666666663</v>
      </c>
      <c r="J10" s="7">
        <v>10</v>
      </c>
      <c r="K10" s="7">
        <v>0.54166666666666663</v>
      </c>
      <c r="L10">
        <v>7</v>
      </c>
      <c r="N10" s="214">
        <v>5</v>
      </c>
      <c r="O10" s="215">
        <v>0.72222222222222221</v>
      </c>
    </row>
    <row r="11" spans="1:15" x14ac:dyDescent="0.25">
      <c r="A11">
        <v>12</v>
      </c>
      <c r="B11">
        <v>1</v>
      </c>
      <c r="D11" s="214">
        <v>11</v>
      </c>
      <c r="E11" s="7">
        <f t="shared" si="2"/>
        <v>2</v>
      </c>
      <c r="F11" s="7">
        <f t="shared" si="0"/>
        <v>6</v>
      </c>
      <c r="G11" s="7">
        <f t="shared" si="1"/>
        <v>0.66666666666666674</v>
      </c>
      <c r="H11" s="215">
        <f t="shared" si="3"/>
        <v>0.3611111111111111</v>
      </c>
      <c r="J11" s="7">
        <v>11</v>
      </c>
      <c r="K11" s="7">
        <v>0.3611111111111111</v>
      </c>
      <c r="L11">
        <v>8</v>
      </c>
      <c r="N11" s="214">
        <v>8</v>
      </c>
      <c r="O11" s="215">
        <v>0.72222222222222221</v>
      </c>
    </row>
    <row r="12" spans="1:15" x14ac:dyDescent="0.25">
      <c r="A12">
        <v>15</v>
      </c>
      <c r="B12">
        <v>0</v>
      </c>
      <c r="D12" s="112">
        <v>12</v>
      </c>
      <c r="E12" s="354">
        <f t="shared" si="2"/>
        <v>2</v>
      </c>
      <c r="F12" s="354">
        <f t="shared" si="0"/>
        <v>4</v>
      </c>
      <c r="G12" s="354">
        <f t="shared" si="1"/>
        <v>0.5</v>
      </c>
      <c r="H12" s="120">
        <f t="shared" si="3"/>
        <v>0.18055555555555555</v>
      </c>
      <c r="J12" s="7">
        <v>12</v>
      </c>
      <c r="K12" s="7">
        <v>0.18055555555555555</v>
      </c>
      <c r="L12">
        <v>9</v>
      </c>
      <c r="N12" s="214">
        <v>8</v>
      </c>
      <c r="O12" s="215">
        <v>0.54166666666666663</v>
      </c>
    </row>
    <row r="13" spans="1:15" x14ac:dyDescent="0.25">
      <c r="A13">
        <v>14</v>
      </c>
      <c r="B13">
        <v>0</v>
      </c>
      <c r="J13" s="7">
        <v>2</v>
      </c>
      <c r="K13" s="7">
        <v>1</v>
      </c>
      <c r="L13">
        <v>1</v>
      </c>
      <c r="N13" s="214">
        <v>9</v>
      </c>
      <c r="O13" s="215">
        <v>0.54166666666666663</v>
      </c>
    </row>
    <row r="14" spans="1:15" x14ac:dyDescent="0.25">
      <c r="A14">
        <v>2</v>
      </c>
      <c r="B14">
        <v>1</v>
      </c>
      <c r="J14" s="7">
        <v>3</v>
      </c>
      <c r="K14" s="7">
        <v>0.94444444444444442</v>
      </c>
      <c r="L14">
        <v>2</v>
      </c>
      <c r="N14" s="214">
        <v>9</v>
      </c>
      <c r="O14" s="215">
        <v>0.54166666666666663</v>
      </c>
    </row>
    <row r="15" spans="1:15" x14ac:dyDescent="0.25">
      <c r="A15">
        <v>11</v>
      </c>
      <c r="B15">
        <v>1</v>
      </c>
      <c r="J15" s="7">
        <v>5</v>
      </c>
      <c r="K15" s="7">
        <v>0.88888888888888884</v>
      </c>
      <c r="L15">
        <v>3</v>
      </c>
      <c r="N15" s="214">
        <v>10</v>
      </c>
      <c r="O15" s="215">
        <v>0.54166666666666663</v>
      </c>
    </row>
    <row r="16" spans="1:15" x14ac:dyDescent="0.25">
      <c r="A16">
        <v>10</v>
      </c>
      <c r="B16">
        <v>0</v>
      </c>
      <c r="J16" s="7">
        <v>8</v>
      </c>
      <c r="K16" s="7">
        <v>0.72222222222222221</v>
      </c>
      <c r="L16">
        <v>4</v>
      </c>
      <c r="N16" s="214">
        <v>10</v>
      </c>
      <c r="O16" s="215">
        <v>0.54166666666666663</v>
      </c>
    </row>
    <row r="17" spans="1:15" x14ac:dyDescent="0.25">
      <c r="A17">
        <v>9</v>
      </c>
      <c r="B17">
        <v>0</v>
      </c>
      <c r="J17" s="7">
        <v>9</v>
      </c>
      <c r="K17" s="7">
        <v>0.54166666666666663</v>
      </c>
      <c r="L17">
        <v>5</v>
      </c>
      <c r="N17" s="214">
        <v>11</v>
      </c>
      <c r="O17" s="215">
        <v>0.54166666666666663</v>
      </c>
    </row>
    <row r="18" spans="1:15" x14ac:dyDescent="0.25">
      <c r="A18">
        <v>12</v>
      </c>
      <c r="B18">
        <v>1</v>
      </c>
      <c r="J18" s="7">
        <v>10</v>
      </c>
      <c r="K18" s="7">
        <v>0.54166666666666663</v>
      </c>
      <c r="L18">
        <v>6</v>
      </c>
      <c r="N18" s="214">
        <v>11</v>
      </c>
      <c r="O18" s="215">
        <v>0.3611111111111111</v>
      </c>
    </row>
    <row r="19" spans="1:15" x14ac:dyDescent="0.25">
      <c r="A19">
        <v>5</v>
      </c>
      <c r="B19">
        <v>1</v>
      </c>
      <c r="J19" s="7">
        <v>11</v>
      </c>
      <c r="K19" s="7">
        <v>0.54166666666666663</v>
      </c>
      <c r="L19">
        <v>7</v>
      </c>
      <c r="N19" s="214">
        <v>12</v>
      </c>
      <c r="O19" s="215">
        <v>0.3611111111111111</v>
      </c>
    </row>
    <row r="20" spans="1:15" x14ac:dyDescent="0.25">
      <c r="A20">
        <v>8</v>
      </c>
      <c r="B20">
        <v>1</v>
      </c>
      <c r="J20" s="7">
        <v>12</v>
      </c>
      <c r="K20" s="7">
        <v>0.3611111111111111</v>
      </c>
      <c r="L20">
        <v>8</v>
      </c>
      <c r="N20" s="112">
        <v>12</v>
      </c>
      <c r="O20" s="120">
        <v>0.18055555555555555</v>
      </c>
    </row>
    <row r="21" spans="1:15" x14ac:dyDescent="0.25">
      <c r="A21" s="354">
        <v>11</v>
      </c>
      <c r="B21" s="354">
        <v>1</v>
      </c>
    </row>
    <row r="24" spans="1:15" x14ac:dyDescent="0.25">
      <c r="A24" s="571" t="s">
        <v>1256</v>
      </c>
      <c r="B24" s="571" t="s">
        <v>620</v>
      </c>
      <c r="D24" s="12" t="s">
        <v>44</v>
      </c>
      <c r="E24" s="12" t="s">
        <v>28</v>
      </c>
      <c r="F24" s="12" t="s">
        <v>17</v>
      </c>
      <c r="G24" s="12" t="s">
        <v>1257</v>
      </c>
      <c r="H24" s="12" t="s">
        <v>1258</v>
      </c>
      <c r="J24" s="12" t="s">
        <v>44</v>
      </c>
      <c r="K24" s="12" t="s">
        <v>1258</v>
      </c>
      <c r="N24" s="20" t="s">
        <v>44</v>
      </c>
      <c r="O24" s="20" t="s">
        <v>1258</v>
      </c>
    </row>
    <row r="25" spans="1:15" x14ac:dyDescent="0.25">
      <c r="A25">
        <v>1</v>
      </c>
      <c r="B25">
        <v>1</v>
      </c>
      <c r="D25" s="554">
        <v>0</v>
      </c>
      <c r="E25" s="387"/>
      <c r="F25" s="387">
        <f>COUNTIF($A$4:$A$21, "&gt;"&amp;D25-1)</f>
        <v>18</v>
      </c>
      <c r="G25" s="387"/>
      <c r="H25" s="555">
        <v>1</v>
      </c>
      <c r="J25" s="554">
        <v>0</v>
      </c>
      <c r="K25" s="555">
        <v>1</v>
      </c>
      <c r="L25">
        <v>1</v>
      </c>
      <c r="N25" s="554">
        <v>0</v>
      </c>
      <c r="O25" s="555">
        <v>1</v>
      </c>
    </row>
    <row r="26" spans="1:15" x14ac:dyDescent="0.25">
      <c r="A26">
        <v>4</v>
      </c>
      <c r="B26">
        <v>1</v>
      </c>
      <c r="D26" s="214">
        <v>1</v>
      </c>
      <c r="E26" s="7">
        <f>COUNTIFS($A$25:$A$42,D26,$B$25:$B$42,1)</f>
        <v>1</v>
      </c>
      <c r="F26" s="7">
        <f>COUNTIF($A$25:$A$42, "&gt;"&amp;D26-1)</f>
        <v>18</v>
      </c>
      <c r="G26" s="7">
        <f t="shared" ref="G26:G34" si="4">1-E26/F26</f>
        <v>0.94444444444444442</v>
      </c>
      <c r="H26" s="215">
        <f>H25*G26</f>
        <v>0.94444444444444442</v>
      </c>
      <c r="J26" s="214">
        <v>1</v>
      </c>
      <c r="K26" s="215">
        <v>0.94444444444444442</v>
      </c>
      <c r="L26">
        <v>2</v>
      </c>
      <c r="N26" s="214">
        <v>1</v>
      </c>
      <c r="O26" s="215">
        <v>1</v>
      </c>
    </row>
    <row r="27" spans="1:15" x14ac:dyDescent="0.25">
      <c r="A27">
        <v>9</v>
      </c>
      <c r="B27">
        <v>0</v>
      </c>
      <c r="D27" s="214">
        <v>3</v>
      </c>
      <c r="E27" s="7">
        <f t="shared" ref="E27:E34" si="5">COUNTIFS($A$25:$A$42,D27,$B$25:$B$42,1)</f>
        <v>1</v>
      </c>
      <c r="F27" s="7">
        <f t="shared" ref="F27:F34" si="6">COUNTIF($A$25:$A$42, "&gt;"&amp;D27-1)</f>
        <v>17</v>
      </c>
      <c r="G27" s="7">
        <f t="shared" si="4"/>
        <v>0.94117647058823528</v>
      </c>
      <c r="H27" s="215">
        <f t="shared" ref="H27:H34" si="7">H26*G27</f>
        <v>0.88888888888888884</v>
      </c>
      <c r="J27" s="214">
        <v>3</v>
      </c>
      <c r="K27" s="215">
        <v>0.88888888888888884</v>
      </c>
      <c r="L27">
        <v>3</v>
      </c>
      <c r="N27" s="214">
        <v>1</v>
      </c>
      <c r="O27" s="215">
        <v>0.94444444444444442</v>
      </c>
    </row>
    <row r="28" spans="1:15" x14ac:dyDescent="0.25">
      <c r="A28">
        <v>10</v>
      </c>
      <c r="B28">
        <v>0</v>
      </c>
      <c r="D28" s="214">
        <v>4</v>
      </c>
      <c r="E28" s="7">
        <f t="shared" si="5"/>
        <v>1</v>
      </c>
      <c r="F28" s="7">
        <f t="shared" si="6"/>
        <v>16</v>
      </c>
      <c r="G28" s="7">
        <f t="shared" si="4"/>
        <v>0.9375</v>
      </c>
      <c r="H28" s="215">
        <f t="shared" si="7"/>
        <v>0.83333333333333326</v>
      </c>
      <c r="J28" s="214">
        <v>4</v>
      </c>
      <c r="K28" s="215">
        <v>0.83333333333333326</v>
      </c>
      <c r="L28">
        <v>4</v>
      </c>
      <c r="N28" s="214">
        <v>3</v>
      </c>
      <c r="O28" s="215">
        <v>0.94444444444444442</v>
      </c>
    </row>
    <row r="29" spans="1:15" x14ac:dyDescent="0.25">
      <c r="A29">
        <v>6</v>
      </c>
      <c r="B29">
        <v>1</v>
      </c>
      <c r="D29" s="214">
        <v>6</v>
      </c>
      <c r="E29" s="7">
        <f t="shared" si="5"/>
        <v>1</v>
      </c>
      <c r="F29" s="7">
        <f t="shared" si="6"/>
        <v>15</v>
      </c>
      <c r="G29" s="7">
        <f t="shared" si="4"/>
        <v>0.93333333333333335</v>
      </c>
      <c r="H29" s="215">
        <f t="shared" si="7"/>
        <v>0.77777777777777768</v>
      </c>
      <c r="J29" s="214">
        <v>6</v>
      </c>
      <c r="K29" s="215">
        <v>0.77777777777777768</v>
      </c>
      <c r="L29">
        <v>5</v>
      </c>
      <c r="N29" s="214">
        <v>3</v>
      </c>
      <c r="O29" s="215">
        <v>0.88888888888888884</v>
      </c>
    </row>
    <row r="30" spans="1:15" x14ac:dyDescent="0.25">
      <c r="A30">
        <v>6</v>
      </c>
      <c r="B30">
        <v>0</v>
      </c>
      <c r="D30" s="214">
        <v>8</v>
      </c>
      <c r="E30" s="7">
        <f t="shared" si="5"/>
        <v>1</v>
      </c>
      <c r="F30" s="7">
        <f t="shared" si="6"/>
        <v>12</v>
      </c>
      <c r="G30" s="7">
        <f t="shared" si="4"/>
        <v>0.91666666666666663</v>
      </c>
      <c r="H30" s="215">
        <f t="shared" si="7"/>
        <v>0.7129629629629628</v>
      </c>
      <c r="J30" s="214">
        <v>8</v>
      </c>
      <c r="K30" s="215">
        <v>0.7129629629629628</v>
      </c>
      <c r="L30">
        <v>6</v>
      </c>
      <c r="N30" s="214">
        <v>4</v>
      </c>
      <c r="O30" s="215">
        <v>0.88888888888888884</v>
      </c>
    </row>
    <row r="31" spans="1:15" x14ac:dyDescent="0.25">
      <c r="A31">
        <v>10</v>
      </c>
      <c r="B31">
        <v>1</v>
      </c>
      <c r="D31" s="214">
        <v>9</v>
      </c>
      <c r="E31" s="7">
        <f t="shared" si="5"/>
        <v>0</v>
      </c>
      <c r="F31" s="7">
        <f t="shared" si="6"/>
        <v>10</v>
      </c>
      <c r="G31" s="7">
        <f t="shared" si="4"/>
        <v>1</v>
      </c>
      <c r="H31" s="215">
        <f t="shared" si="7"/>
        <v>0.7129629629629628</v>
      </c>
      <c r="J31" s="238">
        <v>9</v>
      </c>
      <c r="K31" s="215">
        <v>0.7129629629629628</v>
      </c>
      <c r="L31">
        <v>7</v>
      </c>
      <c r="N31" s="214">
        <v>4</v>
      </c>
      <c r="O31" s="215">
        <v>0.83333333333333326</v>
      </c>
    </row>
    <row r="32" spans="1:15" x14ac:dyDescent="0.25">
      <c r="A32">
        <v>10</v>
      </c>
      <c r="B32">
        <v>1</v>
      </c>
      <c r="D32" s="214">
        <v>10</v>
      </c>
      <c r="E32" s="7">
        <f t="shared" si="5"/>
        <v>2</v>
      </c>
      <c r="F32" s="7">
        <f t="shared" si="6"/>
        <v>9</v>
      </c>
      <c r="G32" s="7">
        <f t="shared" si="4"/>
        <v>0.77777777777777779</v>
      </c>
      <c r="H32" s="215">
        <f t="shared" si="7"/>
        <v>0.55452674897119325</v>
      </c>
      <c r="J32" s="214">
        <v>10</v>
      </c>
      <c r="K32" s="215">
        <v>0.55452674897119325</v>
      </c>
      <c r="L32">
        <v>8</v>
      </c>
      <c r="N32" s="214">
        <v>6</v>
      </c>
      <c r="O32" s="215">
        <v>0.83333333333333326</v>
      </c>
    </row>
    <row r="33" spans="1:15" x14ac:dyDescent="0.25">
      <c r="A33">
        <v>12</v>
      </c>
      <c r="B33">
        <v>0</v>
      </c>
      <c r="D33" s="214">
        <v>12</v>
      </c>
      <c r="E33" s="7">
        <f t="shared" si="5"/>
        <v>0</v>
      </c>
      <c r="F33" s="7">
        <f t="shared" si="6"/>
        <v>5</v>
      </c>
      <c r="G33" s="7">
        <f t="shared" si="4"/>
        <v>1</v>
      </c>
      <c r="H33" s="215">
        <f t="shared" si="7"/>
        <v>0.55452674897119325</v>
      </c>
      <c r="J33" s="214">
        <v>12</v>
      </c>
      <c r="K33" s="215">
        <v>0.55452674897119325</v>
      </c>
      <c r="L33">
        <v>9</v>
      </c>
      <c r="N33" s="214">
        <v>6</v>
      </c>
      <c r="O33" s="215">
        <v>0.77777777777777768</v>
      </c>
    </row>
    <row r="34" spans="1:15" x14ac:dyDescent="0.25">
      <c r="A34">
        <v>13</v>
      </c>
      <c r="B34">
        <v>0</v>
      </c>
      <c r="D34" s="112">
        <v>13</v>
      </c>
      <c r="E34" s="354">
        <f t="shared" si="5"/>
        <v>1</v>
      </c>
      <c r="F34" s="354">
        <f t="shared" si="6"/>
        <v>3</v>
      </c>
      <c r="G34" s="354">
        <f t="shared" si="4"/>
        <v>0.66666666666666674</v>
      </c>
      <c r="H34" s="120">
        <f t="shared" si="7"/>
        <v>0.36968449931412889</v>
      </c>
      <c r="J34" s="214">
        <v>13</v>
      </c>
      <c r="K34" s="215">
        <v>0.3666292555181444</v>
      </c>
      <c r="L34">
        <v>10</v>
      </c>
      <c r="N34" s="214">
        <v>7</v>
      </c>
      <c r="O34" s="215">
        <v>0.77777777777777768</v>
      </c>
    </row>
    <row r="35" spans="1:15" x14ac:dyDescent="0.25">
      <c r="A35">
        <v>3</v>
      </c>
      <c r="B35">
        <v>1</v>
      </c>
      <c r="J35" s="214">
        <v>1</v>
      </c>
      <c r="K35" s="215">
        <v>1</v>
      </c>
      <c r="L35">
        <v>1</v>
      </c>
      <c r="N35" s="214">
        <v>7</v>
      </c>
      <c r="O35" s="215">
        <v>0.7129629629629628</v>
      </c>
    </row>
    <row r="36" spans="1:15" x14ac:dyDescent="0.25">
      <c r="A36">
        <v>13</v>
      </c>
      <c r="B36">
        <v>0</v>
      </c>
      <c r="J36" s="214">
        <v>3</v>
      </c>
      <c r="K36" s="215">
        <v>0.94444444444444442</v>
      </c>
      <c r="L36">
        <v>2</v>
      </c>
      <c r="N36" s="238">
        <v>8</v>
      </c>
      <c r="O36" s="215">
        <v>0.7129629629629628</v>
      </c>
    </row>
    <row r="37" spans="1:15" x14ac:dyDescent="0.25">
      <c r="A37">
        <v>8</v>
      </c>
      <c r="B37">
        <v>0</v>
      </c>
      <c r="J37" s="214">
        <v>4</v>
      </c>
      <c r="K37" s="215">
        <v>0.88888888888888884</v>
      </c>
      <c r="L37">
        <v>3</v>
      </c>
      <c r="N37" s="238">
        <v>8</v>
      </c>
      <c r="O37" s="215">
        <v>0.7129629629629628</v>
      </c>
    </row>
    <row r="38" spans="1:15" x14ac:dyDescent="0.25">
      <c r="A38">
        <v>10</v>
      </c>
      <c r="B38">
        <v>0</v>
      </c>
      <c r="J38" s="214">
        <v>6</v>
      </c>
      <c r="K38" s="215">
        <v>0.83333333333333326</v>
      </c>
      <c r="L38">
        <v>4</v>
      </c>
      <c r="N38" s="214">
        <v>10</v>
      </c>
      <c r="O38" s="215">
        <v>0.7129629629629628</v>
      </c>
    </row>
    <row r="39" spans="1:15" x14ac:dyDescent="0.25">
      <c r="A39">
        <v>13</v>
      </c>
      <c r="B39">
        <v>1</v>
      </c>
      <c r="J39" s="214">
        <v>8</v>
      </c>
      <c r="K39" s="215">
        <v>0.77777777777777768</v>
      </c>
      <c r="L39">
        <v>5</v>
      </c>
      <c r="N39" s="214">
        <v>10</v>
      </c>
      <c r="O39" s="215">
        <v>0.55452674897119325</v>
      </c>
    </row>
    <row r="40" spans="1:15" x14ac:dyDescent="0.25">
      <c r="A40">
        <v>6</v>
      </c>
      <c r="B40">
        <v>0</v>
      </c>
      <c r="J40" s="238">
        <v>9</v>
      </c>
      <c r="K40" s="215">
        <v>0.7129629629629628</v>
      </c>
      <c r="L40">
        <v>6</v>
      </c>
      <c r="N40" s="214">
        <v>12</v>
      </c>
      <c r="O40" s="215">
        <v>0.55452674897119325</v>
      </c>
    </row>
    <row r="41" spans="1:15" x14ac:dyDescent="0.25">
      <c r="A41">
        <v>8</v>
      </c>
      <c r="B41">
        <v>1</v>
      </c>
      <c r="J41" s="214">
        <v>10</v>
      </c>
      <c r="K41" s="215">
        <v>0.7129629629629628</v>
      </c>
      <c r="L41">
        <v>7</v>
      </c>
      <c r="N41" s="214">
        <v>12</v>
      </c>
      <c r="O41" s="215">
        <v>0.55452674897119325</v>
      </c>
    </row>
    <row r="42" spans="1:15" x14ac:dyDescent="0.25">
      <c r="A42" s="354">
        <v>12</v>
      </c>
      <c r="B42" s="354">
        <v>0</v>
      </c>
      <c r="J42" s="214">
        <v>12</v>
      </c>
      <c r="K42" s="215">
        <v>0.55452674897119325</v>
      </c>
      <c r="L42">
        <v>8</v>
      </c>
      <c r="N42" s="214">
        <v>13</v>
      </c>
      <c r="O42" s="215">
        <v>0.55452674897119325</v>
      </c>
    </row>
    <row r="43" spans="1:15" x14ac:dyDescent="0.25">
      <c r="J43" s="112">
        <v>13</v>
      </c>
      <c r="K43" s="120">
        <v>0.55452674897119325</v>
      </c>
      <c r="L43">
        <v>9</v>
      </c>
      <c r="N43" s="112">
        <v>13</v>
      </c>
      <c r="O43" s="120">
        <v>0.3666292555181444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42"/>
  <sheetViews>
    <sheetView workbookViewId="0"/>
  </sheetViews>
  <sheetFormatPr defaultRowHeight="15" x14ac:dyDescent="0.25"/>
  <cols>
    <col min="1" max="1" width="9.85546875" customWidth="1"/>
    <col min="2" max="2" width="10" customWidth="1"/>
    <col min="3" max="3" width="5.42578125" customWidth="1"/>
    <col min="4" max="6" width="6.42578125" customWidth="1"/>
  </cols>
  <sheetData>
    <row r="1" spans="1:11" x14ac:dyDescent="0.25">
      <c r="A1" s="1" t="s">
        <v>1255</v>
      </c>
    </row>
    <row r="3" spans="1:11" x14ac:dyDescent="0.25">
      <c r="A3" s="563" t="s">
        <v>1256</v>
      </c>
      <c r="B3" s="563" t="s">
        <v>620</v>
      </c>
      <c r="I3" t="s">
        <v>18</v>
      </c>
      <c r="J3" s="258">
        <v>0.05</v>
      </c>
    </row>
    <row r="4" spans="1:11" x14ac:dyDescent="0.25">
      <c r="A4" s="565">
        <v>3</v>
      </c>
      <c r="B4" s="565">
        <v>1</v>
      </c>
    </row>
    <row r="5" spans="1:11" x14ac:dyDescent="0.25">
      <c r="A5" s="565">
        <v>5</v>
      </c>
      <c r="B5" s="565">
        <v>1</v>
      </c>
      <c r="D5" s="565" t="s">
        <v>44</v>
      </c>
      <c r="E5" s="565" t="s">
        <v>28</v>
      </c>
      <c r="F5" s="565" t="s">
        <v>17</v>
      </c>
      <c r="G5" s="565" t="s">
        <v>1257</v>
      </c>
      <c r="H5" s="565" t="s">
        <v>1258</v>
      </c>
      <c r="I5" s="565" t="s">
        <v>148</v>
      </c>
      <c r="J5" s="565" t="s">
        <v>15</v>
      </c>
      <c r="K5" s="565" t="s">
        <v>16</v>
      </c>
    </row>
    <row r="6" spans="1:11" x14ac:dyDescent="0.25">
      <c r="A6" s="565">
        <v>8</v>
      </c>
      <c r="B6" s="565">
        <v>1</v>
      </c>
      <c r="D6" s="575">
        <v>0</v>
      </c>
      <c r="E6" s="413"/>
      <c r="F6" s="413">
        <f>COUNTIF($A$4:$A$21, "&gt;"&amp;D6-1)</f>
        <v>18</v>
      </c>
      <c r="G6" s="387"/>
      <c r="H6" s="555">
        <v>1</v>
      </c>
      <c r="I6" s="682"/>
      <c r="J6" s="387"/>
      <c r="K6" s="604"/>
    </row>
    <row r="7" spans="1:11" x14ac:dyDescent="0.25">
      <c r="A7" s="565">
        <v>10</v>
      </c>
      <c r="B7" s="565">
        <v>0</v>
      </c>
      <c r="D7" s="222">
        <v>2</v>
      </c>
      <c r="E7" s="566">
        <f>COUNTIFS($A$4:$A$21,D7,$B$4:$B$21,1)</f>
        <v>1</v>
      </c>
      <c r="F7" s="566">
        <f t="shared" ref="F7:F14" si="0">COUNTIF($A$4:$A$21, "&gt;"&amp;D7-1)</f>
        <v>18</v>
      </c>
      <c r="G7" s="7">
        <f t="shared" ref="G7:G14" si="1">1-E7/F7</f>
        <v>0.94444444444444442</v>
      </c>
      <c r="H7" s="215">
        <f>H6*G7</f>
        <v>0.94444444444444442</v>
      </c>
      <c r="I7" s="214">
        <f>H7*SQRT(E7/(F7*(F7-E7))+(I6/H6)^2)</f>
        <v>5.3990295322641671E-2</v>
      </c>
      <c r="J7" s="7">
        <f>H7^EXP(NORMSINV($J$3/2)/LN(H7)*I7/H7)</f>
        <v>0.66639016833533005</v>
      </c>
      <c r="K7" s="215">
        <f>H7^EXP(-NORMSINV($J$3/2)/LN(H7)*I7/H7)</f>
        <v>0.99198292367400587</v>
      </c>
    </row>
    <row r="8" spans="1:11" x14ac:dyDescent="0.25">
      <c r="A8" s="565">
        <v>5</v>
      </c>
      <c r="B8" s="565">
        <v>1</v>
      </c>
      <c r="D8" s="222">
        <v>3</v>
      </c>
      <c r="E8" s="566">
        <f t="shared" ref="E8:E14" si="2">COUNTIFS($A$4:$A$21,D8,$B$4:$B$21,1)</f>
        <v>1</v>
      </c>
      <c r="F8" s="566">
        <f t="shared" si="0"/>
        <v>17</v>
      </c>
      <c r="G8" s="7">
        <f t="shared" si="1"/>
        <v>0.94117647058823528</v>
      </c>
      <c r="H8" s="215">
        <f t="shared" ref="H8:H14" si="3">H7*G8</f>
        <v>0.88888888888888884</v>
      </c>
      <c r="I8" s="214">
        <f t="shared" ref="I8:I14" si="4">H8*SQRT(E8/(F8*(F8-E8))+(I7/H7)^2)</f>
        <v>7.4074074074074084E-2</v>
      </c>
      <c r="J8" s="7">
        <f t="shared" ref="J8:J14" si="5">H8^EXP(NORMSINV($J$3/2)/LN(H8)*I8/H8)</f>
        <v>0.62417426555346311</v>
      </c>
      <c r="K8" s="215">
        <f t="shared" ref="K8:K14" si="6">H8^EXP(-NORMSINV($J$3/2)/LN(H8)*I8/H8)</f>
        <v>0.97099528363470267</v>
      </c>
    </row>
    <row r="9" spans="1:11" x14ac:dyDescent="0.25">
      <c r="A9" s="565">
        <v>5</v>
      </c>
      <c r="B9" s="565">
        <v>0</v>
      </c>
      <c r="D9" s="222">
        <v>5</v>
      </c>
      <c r="E9" s="566">
        <f t="shared" si="2"/>
        <v>3</v>
      </c>
      <c r="F9" s="566">
        <f t="shared" si="0"/>
        <v>16</v>
      </c>
      <c r="G9" s="7">
        <f t="shared" si="1"/>
        <v>0.8125</v>
      </c>
      <c r="H9" s="215">
        <f t="shared" si="3"/>
        <v>0.72222222222222221</v>
      </c>
      <c r="I9" s="214">
        <f t="shared" si="4"/>
        <v>0.10557179862029056</v>
      </c>
      <c r="J9" s="7">
        <f t="shared" si="5"/>
        <v>0.45617855619620901</v>
      </c>
      <c r="K9" s="215">
        <f t="shared" si="6"/>
        <v>0.87378030469460044</v>
      </c>
    </row>
    <row r="10" spans="1:11" x14ac:dyDescent="0.25">
      <c r="A10" s="565">
        <v>8</v>
      </c>
      <c r="B10" s="565">
        <v>1</v>
      </c>
      <c r="D10" s="222">
        <v>8</v>
      </c>
      <c r="E10" s="566">
        <f t="shared" si="2"/>
        <v>3</v>
      </c>
      <c r="F10" s="566">
        <f t="shared" si="0"/>
        <v>12</v>
      </c>
      <c r="G10" s="7">
        <f t="shared" si="1"/>
        <v>0.75</v>
      </c>
      <c r="H10" s="215">
        <f t="shared" si="3"/>
        <v>0.54166666666666663</v>
      </c>
      <c r="I10" s="214">
        <f t="shared" si="4"/>
        <v>0.12008066990132348</v>
      </c>
      <c r="J10" s="7">
        <f t="shared" si="5"/>
        <v>0.28782198282010996</v>
      </c>
      <c r="K10" s="215">
        <f t="shared" si="6"/>
        <v>0.73946729162425273</v>
      </c>
    </row>
    <row r="11" spans="1:11" x14ac:dyDescent="0.25">
      <c r="A11" s="565">
        <v>12</v>
      </c>
      <c r="B11" s="565">
        <v>1</v>
      </c>
      <c r="D11" s="222">
        <v>9</v>
      </c>
      <c r="E11" s="566">
        <f t="shared" si="2"/>
        <v>0</v>
      </c>
      <c r="F11" s="566">
        <f t="shared" si="0"/>
        <v>9</v>
      </c>
      <c r="G11" s="7">
        <f t="shared" si="1"/>
        <v>1</v>
      </c>
      <c r="H11" s="215">
        <f t="shared" si="3"/>
        <v>0.54166666666666663</v>
      </c>
      <c r="I11" s="214">
        <f t="shared" si="4"/>
        <v>0.12008066990132348</v>
      </c>
      <c r="J11" s="7">
        <f t="shared" si="5"/>
        <v>0.28782198282010996</v>
      </c>
      <c r="K11" s="215">
        <f t="shared" si="6"/>
        <v>0.73946729162425273</v>
      </c>
    </row>
    <row r="12" spans="1:11" x14ac:dyDescent="0.25">
      <c r="A12" s="565">
        <v>15</v>
      </c>
      <c r="B12" s="565">
        <v>0</v>
      </c>
      <c r="D12" s="222">
        <v>10</v>
      </c>
      <c r="E12" s="566">
        <f t="shared" si="2"/>
        <v>0</v>
      </c>
      <c r="F12" s="566">
        <f t="shared" si="0"/>
        <v>8</v>
      </c>
      <c r="G12" s="7">
        <f t="shared" si="1"/>
        <v>1</v>
      </c>
      <c r="H12" s="215">
        <f t="shared" si="3"/>
        <v>0.54166666666666663</v>
      </c>
      <c r="I12" s="214">
        <f t="shared" si="4"/>
        <v>0.12008066990132348</v>
      </c>
      <c r="J12" s="7">
        <f t="shared" si="5"/>
        <v>0.28782198282010996</v>
      </c>
      <c r="K12" s="215">
        <f t="shared" si="6"/>
        <v>0.73946729162425273</v>
      </c>
    </row>
    <row r="13" spans="1:11" x14ac:dyDescent="0.25">
      <c r="A13" s="565">
        <v>14</v>
      </c>
      <c r="B13" s="565">
        <v>0</v>
      </c>
      <c r="D13" s="222">
        <v>11</v>
      </c>
      <c r="E13" s="566">
        <f t="shared" si="2"/>
        <v>2</v>
      </c>
      <c r="F13" s="566">
        <f t="shared" si="0"/>
        <v>6</v>
      </c>
      <c r="G13" s="7">
        <f t="shared" si="1"/>
        <v>0.66666666666666674</v>
      </c>
      <c r="H13" s="215">
        <f t="shared" si="3"/>
        <v>0.3611111111111111</v>
      </c>
      <c r="I13" s="214">
        <f t="shared" si="4"/>
        <v>0.13143582932017028</v>
      </c>
      <c r="J13" s="7">
        <f t="shared" si="5"/>
        <v>0.12848854925062067</v>
      </c>
      <c r="K13" s="215">
        <f t="shared" si="6"/>
        <v>0.60313314002058016</v>
      </c>
    </row>
    <row r="14" spans="1:11" x14ac:dyDescent="0.25">
      <c r="A14" s="565">
        <v>2</v>
      </c>
      <c r="B14" s="565">
        <v>1</v>
      </c>
      <c r="D14" s="139">
        <v>12</v>
      </c>
      <c r="E14" s="567">
        <f t="shared" si="2"/>
        <v>2</v>
      </c>
      <c r="F14" s="567">
        <f t="shared" si="0"/>
        <v>4</v>
      </c>
      <c r="G14" s="354">
        <f t="shared" si="1"/>
        <v>0.5</v>
      </c>
      <c r="H14" s="120">
        <f t="shared" si="3"/>
        <v>0.18055555555555555</v>
      </c>
      <c r="I14" s="112">
        <f t="shared" si="4"/>
        <v>0.1116643249554846</v>
      </c>
      <c r="J14" s="696">
        <f t="shared" si="5"/>
        <v>3.0957164378136271E-2</v>
      </c>
      <c r="K14" s="120">
        <f t="shared" si="6"/>
        <v>0.43036505295667765</v>
      </c>
    </row>
    <row r="15" spans="1:11" x14ac:dyDescent="0.25">
      <c r="A15" s="565">
        <v>11</v>
      </c>
      <c r="B15" s="565">
        <v>1</v>
      </c>
    </row>
    <row r="16" spans="1:11" x14ac:dyDescent="0.25">
      <c r="A16" s="565">
        <v>10</v>
      </c>
      <c r="B16" s="565">
        <v>0</v>
      </c>
    </row>
    <row r="17" spans="1:11" x14ac:dyDescent="0.25">
      <c r="A17" s="565">
        <v>9</v>
      </c>
      <c r="B17" s="565">
        <v>0</v>
      </c>
    </row>
    <row r="18" spans="1:11" x14ac:dyDescent="0.25">
      <c r="A18" s="565">
        <v>12</v>
      </c>
      <c r="B18" s="565">
        <v>1</v>
      </c>
    </row>
    <row r="19" spans="1:11" x14ac:dyDescent="0.25">
      <c r="A19" s="565">
        <v>5</v>
      </c>
      <c r="B19" s="565">
        <v>1</v>
      </c>
    </row>
    <row r="20" spans="1:11" x14ac:dyDescent="0.25">
      <c r="A20" s="565">
        <v>8</v>
      </c>
      <c r="B20" s="565">
        <v>1</v>
      </c>
    </row>
    <row r="21" spans="1:11" x14ac:dyDescent="0.25">
      <c r="A21" s="567">
        <v>11</v>
      </c>
      <c r="B21" s="567">
        <v>1</v>
      </c>
    </row>
    <row r="22" spans="1:11" x14ac:dyDescent="0.25">
      <c r="I22" t="s">
        <v>18</v>
      </c>
      <c r="J22" s="258">
        <v>0.05</v>
      </c>
    </row>
    <row r="24" spans="1:11" x14ac:dyDescent="0.25">
      <c r="A24" s="571" t="s">
        <v>1256</v>
      </c>
      <c r="B24" s="571" t="s">
        <v>620</v>
      </c>
      <c r="D24" s="12" t="s">
        <v>44</v>
      </c>
      <c r="E24" s="12" t="s">
        <v>28</v>
      </c>
      <c r="F24" s="12" t="s">
        <v>17</v>
      </c>
      <c r="G24" s="12" t="s">
        <v>1257</v>
      </c>
      <c r="H24" s="12" t="s">
        <v>1258</v>
      </c>
      <c r="I24" s="565" t="s">
        <v>148</v>
      </c>
      <c r="J24" s="565" t="s">
        <v>15</v>
      </c>
      <c r="K24" s="565" t="s">
        <v>16</v>
      </c>
    </row>
    <row r="25" spans="1:11" x14ac:dyDescent="0.25">
      <c r="A25">
        <v>1</v>
      </c>
      <c r="B25">
        <v>1</v>
      </c>
      <c r="D25" s="554">
        <v>0</v>
      </c>
      <c r="E25" s="387"/>
      <c r="F25" s="387">
        <f>COUNTIF($A$4:$A$21, "&gt;"&amp;D25-1)</f>
        <v>18</v>
      </c>
      <c r="G25" s="387"/>
      <c r="H25" s="555">
        <v>1</v>
      </c>
      <c r="I25" s="682"/>
      <c r="J25" s="387"/>
      <c r="K25" s="604"/>
    </row>
    <row r="26" spans="1:11" x14ac:dyDescent="0.25">
      <c r="A26">
        <v>4</v>
      </c>
      <c r="B26">
        <v>1</v>
      </c>
      <c r="D26" s="214">
        <v>1</v>
      </c>
      <c r="E26" s="7">
        <f>COUNTIFS($A$25:$A$42,D26,$B$25:$B$42,1)</f>
        <v>1</v>
      </c>
      <c r="F26" s="7">
        <f>COUNTIF($A$25:$A$42, "&gt;"&amp;D26-1)</f>
        <v>18</v>
      </c>
      <c r="G26" s="7">
        <f t="shared" ref="G26:G34" si="7">1-E26/F26</f>
        <v>0.94444444444444442</v>
      </c>
      <c r="H26" s="215">
        <f>H25*G26</f>
        <v>0.94444444444444442</v>
      </c>
      <c r="I26" s="214">
        <f>H26*SQRT(E26/(F26*(F26-E26))+(I25/H25)^2)</f>
        <v>5.3990295322641671E-2</v>
      </c>
      <c r="J26" s="7">
        <f>H26^EXP(NORMSINV($J$3/2)/LN(H26)*I26/H26)</f>
        <v>0.66639016833533005</v>
      </c>
      <c r="K26" s="215">
        <f>H26^EXP(-NORMSINV($J$3/2)/LN(H26)*I26/H26)</f>
        <v>0.99198292367400587</v>
      </c>
    </row>
    <row r="27" spans="1:11" x14ac:dyDescent="0.25">
      <c r="A27">
        <v>9</v>
      </c>
      <c r="B27">
        <v>0</v>
      </c>
      <c r="D27" s="214">
        <v>3</v>
      </c>
      <c r="E27" s="7">
        <f t="shared" ref="E27:E34" si="8">COUNTIFS($A$25:$A$42,D27,$B$25:$B$42,1)</f>
        <v>1</v>
      </c>
      <c r="F27" s="7">
        <f t="shared" ref="F27:F34" si="9">COUNTIF($A$25:$A$42, "&gt;"&amp;D27-1)</f>
        <v>17</v>
      </c>
      <c r="G27" s="7">
        <f t="shared" si="7"/>
        <v>0.94117647058823528</v>
      </c>
      <c r="H27" s="215">
        <f t="shared" ref="H27:H34" si="10">H26*G27</f>
        <v>0.88888888888888884</v>
      </c>
      <c r="I27" s="214">
        <f t="shared" ref="I27:I34" si="11">H27*SQRT(E27/(F27*(F27-E27))+(I26/H26)^2)</f>
        <v>7.4074074074074084E-2</v>
      </c>
      <c r="J27" s="7">
        <f t="shared" ref="J27:J34" si="12">H27^EXP(NORMSINV($J$3/2)/LN(H27)*I27/H27)</f>
        <v>0.62417426555346311</v>
      </c>
      <c r="K27" s="215">
        <f t="shared" ref="K27:K34" si="13">H27^EXP(-NORMSINV($J$3/2)/LN(H27)*I27/H27)</f>
        <v>0.97099528363470267</v>
      </c>
    </row>
    <row r="28" spans="1:11" x14ac:dyDescent="0.25">
      <c r="A28">
        <v>10</v>
      </c>
      <c r="B28">
        <v>0</v>
      </c>
      <c r="D28" s="214">
        <v>4</v>
      </c>
      <c r="E28" s="7">
        <f t="shared" si="8"/>
        <v>1</v>
      </c>
      <c r="F28" s="7">
        <f t="shared" si="9"/>
        <v>16</v>
      </c>
      <c r="G28" s="7">
        <f t="shared" si="7"/>
        <v>0.9375</v>
      </c>
      <c r="H28" s="215">
        <f t="shared" si="10"/>
        <v>0.83333333333333326</v>
      </c>
      <c r="I28" s="214">
        <f t="shared" si="11"/>
        <v>8.7841046115788315E-2</v>
      </c>
      <c r="J28" s="7">
        <f t="shared" si="12"/>
        <v>0.56768551868068984</v>
      </c>
      <c r="K28" s="215">
        <f t="shared" si="13"/>
        <v>0.94297974157893638</v>
      </c>
    </row>
    <row r="29" spans="1:11" x14ac:dyDescent="0.25">
      <c r="A29">
        <v>6</v>
      </c>
      <c r="B29">
        <v>1</v>
      </c>
      <c r="D29" s="214">
        <v>6</v>
      </c>
      <c r="E29" s="7">
        <f t="shared" si="8"/>
        <v>1</v>
      </c>
      <c r="F29" s="7">
        <f t="shared" si="9"/>
        <v>15</v>
      </c>
      <c r="G29" s="7">
        <f t="shared" si="7"/>
        <v>0.93333333333333335</v>
      </c>
      <c r="H29" s="215">
        <f t="shared" si="10"/>
        <v>0.77777777777777768</v>
      </c>
      <c r="I29" s="214">
        <f t="shared" si="11"/>
        <v>9.7990789298688541E-2</v>
      </c>
      <c r="J29" s="7">
        <f t="shared" si="12"/>
        <v>0.51102605286833191</v>
      </c>
      <c r="K29" s="215">
        <f t="shared" si="13"/>
        <v>0.91021025068036554</v>
      </c>
    </row>
    <row r="30" spans="1:11" x14ac:dyDescent="0.25">
      <c r="A30">
        <v>6</v>
      </c>
      <c r="B30">
        <v>0</v>
      </c>
      <c r="D30" s="214">
        <v>8</v>
      </c>
      <c r="E30" s="7">
        <f t="shared" si="8"/>
        <v>1</v>
      </c>
      <c r="F30" s="7">
        <f t="shared" si="9"/>
        <v>12</v>
      </c>
      <c r="G30" s="7">
        <f t="shared" si="7"/>
        <v>0.91666666666666663</v>
      </c>
      <c r="H30" s="215">
        <f t="shared" si="10"/>
        <v>0.7129629629629628</v>
      </c>
      <c r="I30" s="214">
        <f t="shared" si="11"/>
        <v>0.10917596392483944</v>
      </c>
      <c r="J30" s="7">
        <f t="shared" si="12"/>
        <v>0.43977932746096943</v>
      </c>
      <c r="K30" s="215">
        <f t="shared" si="13"/>
        <v>0.86993323915353649</v>
      </c>
    </row>
    <row r="31" spans="1:11" x14ac:dyDescent="0.25">
      <c r="A31">
        <v>10</v>
      </c>
      <c r="B31">
        <v>1</v>
      </c>
      <c r="D31" s="214">
        <v>9</v>
      </c>
      <c r="E31" s="7">
        <f t="shared" si="8"/>
        <v>0</v>
      </c>
      <c r="F31" s="7">
        <f t="shared" si="9"/>
        <v>10</v>
      </c>
      <c r="G31" s="7">
        <f t="shared" si="7"/>
        <v>1</v>
      </c>
      <c r="H31" s="215">
        <f t="shared" si="10"/>
        <v>0.7129629629629628</v>
      </c>
      <c r="I31" s="214">
        <f t="shared" si="11"/>
        <v>0.10917596392483944</v>
      </c>
      <c r="J31" s="7">
        <f t="shared" si="12"/>
        <v>0.43977932746096943</v>
      </c>
      <c r="K31" s="215">
        <f t="shared" si="13"/>
        <v>0.86993323915353649</v>
      </c>
    </row>
    <row r="32" spans="1:11" x14ac:dyDescent="0.25">
      <c r="A32">
        <v>10</v>
      </c>
      <c r="B32">
        <v>1</v>
      </c>
      <c r="D32" s="214">
        <v>10</v>
      </c>
      <c r="E32" s="7">
        <f t="shared" si="8"/>
        <v>2</v>
      </c>
      <c r="F32" s="7">
        <f t="shared" si="9"/>
        <v>9</v>
      </c>
      <c r="G32" s="7">
        <f t="shared" si="7"/>
        <v>0.77777777777777779</v>
      </c>
      <c r="H32" s="215">
        <f t="shared" si="10"/>
        <v>0.55452674897119325</v>
      </c>
      <c r="I32" s="214">
        <f t="shared" si="11"/>
        <v>0.13027815597312631</v>
      </c>
      <c r="J32" s="7">
        <f t="shared" si="12"/>
        <v>0.27596646255302304</v>
      </c>
      <c r="K32" s="215">
        <f t="shared" si="13"/>
        <v>0.76334563712125603</v>
      </c>
    </row>
    <row r="33" spans="1:11" x14ac:dyDescent="0.25">
      <c r="A33">
        <v>12</v>
      </c>
      <c r="B33">
        <v>0</v>
      </c>
      <c r="D33" s="214">
        <v>12</v>
      </c>
      <c r="E33" s="7">
        <f t="shared" si="8"/>
        <v>0</v>
      </c>
      <c r="F33" s="7">
        <f t="shared" si="9"/>
        <v>5</v>
      </c>
      <c r="G33" s="7">
        <f t="shared" si="7"/>
        <v>1</v>
      </c>
      <c r="H33" s="215">
        <f t="shared" si="10"/>
        <v>0.55452674897119325</v>
      </c>
      <c r="I33" s="214">
        <f t="shared" si="11"/>
        <v>0.13027815597312631</v>
      </c>
      <c r="J33" s="7">
        <f t="shared" si="12"/>
        <v>0.27596646255302304</v>
      </c>
      <c r="K33" s="215">
        <f t="shared" si="13"/>
        <v>0.76334563712125603</v>
      </c>
    </row>
    <row r="34" spans="1:11" x14ac:dyDescent="0.25">
      <c r="A34">
        <v>13</v>
      </c>
      <c r="B34">
        <v>0</v>
      </c>
      <c r="D34" s="112">
        <v>13</v>
      </c>
      <c r="E34" s="354">
        <f t="shared" si="8"/>
        <v>1</v>
      </c>
      <c r="F34" s="354">
        <f t="shared" si="9"/>
        <v>3</v>
      </c>
      <c r="G34" s="354">
        <f t="shared" si="7"/>
        <v>0.66666666666666674</v>
      </c>
      <c r="H34" s="120">
        <f t="shared" si="10"/>
        <v>0.36968449931412889</v>
      </c>
      <c r="I34" s="112">
        <f t="shared" si="11"/>
        <v>0.17412943309974277</v>
      </c>
      <c r="J34" s="696">
        <f t="shared" si="12"/>
        <v>8.075170365588398E-2</v>
      </c>
      <c r="K34" s="120">
        <f t="shared" si="13"/>
        <v>0.67468043232048835</v>
      </c>
    </row>
    <row r="35" spans="1:11" x14ac:dyDescent="0.25">
      <c r="A35">
        <v>3</v>
      </c>
      <c r="B35">
        <v>1</v>
      </c>
    </row>
    <row r="36" spans="1:11" x14ac:dyDescent="0.25">
      <c r="A36">
        <v>13</v>
      </c>
      <c r="B36">
        <v>0</v>
      </c>
    </row>
    <row r="37" spans="1:11" x14ac:dyDescent="0.25">
      <c r="A37">
        <v>8</v>
      </c>
      <c r="B37">
        <v>0</v>
      </c>
    </row>
    <row r="38" spans="1:11" x14ac:dyDescent="0.25">
      <c r="A38">
        <v>10</v>
      </c>
      <c r="B38">
        <v>0</v>
      </c>
    </row>
    <row r="39" spans="1:11" x14ac:dyDescent="0.25">
      <c r="A39">
        <v>13</v>
      </c>
      <c r="B39">
        <v>1</v>
      </c>
    </row>
    <row r="40" spans="1:11" x14ac:dyDescent="0.25">
      <c r="A40">
        <v>6</v>
      </c>
      <c r="B40">
        <v>0</v>
      </c>
    </row>
    <row r="41" spans="1:11" x14ac:dyDescent="0.25">
      <c r="A41">
        <v>8</v>
      </c>
      <c r="B41">
        <v>1</v>
      </c>
    </row>
    <row r="42" spans="1:11" x14ac:dyDescent="0.25">
      <c r="A42" s="354">
        <v>12</v>
      </c>
      <c r="B42" s="35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1"/>
  <sheetViews>
    <sheetView workbookViewId="0"/>
  </sheetViews>
  <sheetFormatPr defaultRowHeight="15" x14ac:dyDescent="0.25"/>
  <cols>
    <col min="1" max="1" width="10" customWidth="1"/>
    <col min="2" max="2" width="7" customWidth="1"/>
    <col min="3" max="3" width="3.28515625" customWidth="1"/>
    <col min="4" max="6" width="4.5703125" customWidth="1"/>
  </cols>
  <sheetData>
    <row r="1" spans="1:11" x14ac:dyDescent="0.25">
      <c r="A1" s="1" t="s">
        <v>1255</v>
      </c>
    </row>
    <row r="2" spans="1:11" x14ac:dyDescent="0.25">
      <c r="D2" t="s">
        <v>1322</v>
      </c>
      <c r="I2" t="s">
        <v>18</v>
      </c>
      <c r="J2">
        <v>0.05</v>
      </c>
    </row>
    <row r="3" spans="1:11" ht="15.75" thickBot="1" x14ac:dyDescent="0.3">
      <c r="A3" s="568" t="s">
        <v>1256</v>
      </c>
      <c r="B3" s="568" t="s">
        <v>620</v>
      </c>
    </row>
    <row r="4" spans="1:11" ht="15.75" thickTop="1" x14ac:dyDescent="0.25">
      <c r="A4" s="569">
        <v>3</v>
      </c>
      <c r="B4" s="569">
        <v>1</v>
      </c>
      <c r="D4" s="386" t="s">
        <v>44</v>
      </c>
      <c r="E4" s="386" t="s">
        <v>28</v>
      </c>
      <c r="F4" s="386" t="s">
        <v>17</v>
      </c>
      <c r="G4" s="386" t="s">
        <v>1257</v>
      </c>
      <c r="H4" s="386" t="s">
        <v>1258</v>
      </c>
      <c r="I4" s="386" t="s">
        <v>148</v>
      </c>
      <c r="J4" s="386" t="s">
        <v>15</v>
      </c>
      <c r="K4" s="386" t="s">
        <v>16</v>
      </c>
    </row>
    <row r="5" spans="1:11" x14ac:dyDescent="0.25">
      <c r="A5" s="569">
        <v>5</v>
      </c>
      <c r="B5" s="569">
        <v>1</v>
      </c>
      <c r="D5">
        <v>0</v>
      </c>
      <c r="F5">
        <f>COUNT(A4:A21)</f>
        <v>18</v>
      </c>
      <c r="H5">
        <v>1</v>
      </c>
    </row>
    <row r="6" spans="1:11" x14ac:dyDescent="0.25">
      <c r="A6" s="569">
        <v>8</v>
      </c>
      <c r="B6" s="569">
        <v>1</v>
      </c>
      <c r="D6" t="e">
        <f t="array" aca="1" ref="D6:D13" ca="1">SortUnique(A4:A21)</f>
        <v>#NAME?</v>
      </c>
      <c r="E6">
        <f ca="1">COUNTIFS($A$4:$A$21,D6,$B$4:$B$21,1)</f>
        <v>0</v>
      </c>
      <c r="F6">
        <f ca="1">COUNTIF($A$4:$A$21,"&gt;"&amp;D6-1)</f>
        <v>0</v>
      </c>
      <c r="G6" t="e">
        <f ca="1">1-E6/F6</f>
        <v>#DIV/0!</v>
      </c>
      <c r="H6" t="e">
        <f ca="1">H5*G6</f>
        <v>#DIV/0!</v>
      </c>
      <c r="I6" t="e">
        <f ca="1">IF(H6&gt;0,H6*SQRT(E6/(F6*(F6-E6))+(I5/H5)^2),0)</f>
        <v>#DIV/0!</v>
      </c>
      <c r="J6" t="e">
        <f ca="1">IF(I6&gt;0,H6^EXP(NORMSINV($J$2/2)/LN(H6)*I6/H6),"")</f>
        <v>#DIV/0!</v>
      </c>
      <c r="K6" t="e">
        <f ca="1">IF(I6&gt;0,H6^EXP(-NORMSINV($J$2/2)/LN(H6)*I6/H6),"")</f>
        <v>#DIV/0!</v>
      </c>
    </row>
    <row r="7" spans="1:11" x14ac:dyDescent="0.25">
      <c r="A7" s="569">
        <v>10</v>
      </c>
      <c r="B7" s="569">
        <v>0</v>
      </c>
      <c r="D7" t="e">
        <f ca="1"/>
        <v>#NAME?</v>
      </c>
      <c r="E7">
        <f t="shared" ref="E7:E13" ca="1" si="0">COUNTIFS($A$4:$A$21,D7,$B$4:$B$21,1)</f>
        <v>0</v>
      </c>
      <c r="F7">
        <f t="shared" ref="F7:F13" ca="1" si="1">COUNTIF($A$4:$A$21,"&gt;"&amp;D7-1)</f>
        <v>0</v>
      </c>
      <c r="G7" t="e">
        <f t="shared" ref="G7:G13" ca="1" si="2">1-E7/F7</f>
        <v>#DIV/0!</v>
      </c>
      <c r="H7" t="e">
        <f t="shared" ref="H7:H13" ca="1" si="3">H6*G7</f>
        <v>#DIV/0!</v>
      </c>
      <c r="I7" t="e">
        <f t="shared" ref="I7:I13" ca="1" si="4">IF(H7&gt;0,H7*SQRT(E7/(F7*(F7-E7))+(I6/H6)^2),0)</f>
        <v>#DIV/0!</v>
      </c>
      <c r="J7" t="e">
        <f t="shared" ref="J7:J13" ca="1" si="5">IF(I7&gt;0,H7^EXP(NORMSINV($J$2/2)/LN(H7)*I7/H7),"")</f>
        <v>#DIV/0!</v>
      </c>
      <c r="K7" t="e">
        <f t="shared" ref="K7:K13" ca="1" si="6">IF(I7&gt;0,H7^EXP(-NORMSINV($J$2/2)/LN(H7)*I7/H7),"")</f>
        <v>#DIV/0!</v>
      </c>
    </row>
    <row r="8" spans="1:11" x14ac:dyDescent="0.25">
      <c r="A8" s="569">
        <v>5</v>
      </c>
      <c r="B8" s="569">
        <v>1</v>
      </c>
      <c r="D8" t="e">
        <f ca="1"/>
        <v>#NAME?</v>
      </c>
      <c r="E8">
        <f t="shared" ca="1" si="0"/>
        <v>0</v>
      </c>
      <c r="F8">
        <f t="shared" ca="1" si="1"/>
        <v>0</v>
      </c>
      <c r="G8" t="e">
        <f t="shared" ca="1" si="2"/>
        <v>#DIV/0!</v>
      </c>
      <c r="H8" t="e">
        <f t="shared" ca="1" si="3"/>
        <v>#DIV/0!</v>
      </c>
      <c r="I8" t="e">
        <f t="shared" ca="1" si="4"/>
        <v>#DIV/0!</v>
      </c>
      <c r="J8" t="e">
        <f t="shared" ca="1" si="5"/>
        <v>#DIV/0!</v>
      </c>
      <c r="K8" t="e">
        <f t="shared" ca="1" si="6"/>
        <v>#DIV/0!</v>
      </c>
    </row>
    <row r="9" spans="1:11" x14ac:dyDescent="0.25">
      <c r="A9" s="569">
        <v>5</v>
      </c>
      <c r="B9" s="569">
        <v>0</v>
      </c>
      <c r="D9" t="e">
        <f ca="1"/>
        <v>#NAME?</v>
      </c>
      <c r="E9">
        <f t="shared" ca="1" si="0"/>
        <v>0</v>
      </c>
      <c r="F9">
        <f t="shared" ca="1" si="1"/>
        <v>0</v>
      </c>
      <c r="G9" t="e">
        <f t="shared" ca="1" si="2"/>
        <v>#DIV/0!</v>
      </c>
      <c r="H9" t="e">
        <f t="shared" ca="1" si="3"/>
        <v>#DIV/0!</v>
      </c>
      <c r="I9" t="e">
        <f t="shared" ca="1" si="4"/>
        <v>#DIV/0!</v>
      </c>
      <c r="J9" t="e">
        <f t="shared" ca="1" si="5"/>
        <v>#DIV/0!</v>
      </c>
      <c r="K9" t="e">
        <f t="shared" ca="1" si="6"/>
        <v>#DIV/0!</v>
      </c>
    </row>
    <row r="10" spans="1:11" x14ac:dyDescent="0.25">
      <c r="A10" s="569">
        <v>8</v>
      </c>
      <c r="B10" s="569">
        <v>1</v>
      </c>
      <c r="D10" t="e">
        <f ca="1"/>
        <v>#NAME?</v>
      </c>
      <c r="E10">
        <f t="shared" ca="1" si="0"/>
        <v>0</v>
      </c>
      <c r="F10">
        <f t="shared" ca="1" si="1"/>
        <v>0</v>
      </c>
      <c r="G10" t="e">
        <f t="shared" ca="1" si="2"/>
        <v>#DIV/0!</v>
      </c>
      <c r="H10" t="e">
        <f t="shared" ca="1" si="3"/>
        <v>#DIV/0!</v>
      </c>
      <c r="I10" t="e">
        <f t="shared" ca="1" si="4"/>
        <v>#DIV/0!</v>
      </c>
      <c r="J10" t="e">
        <f t="shared" ca="1" si="5"/>
        <v>#DIV/0!</v>
      </c>
      <c r="K10" t="e">
        <f t="shared" ca="1" si="6"/>
        <v>#DIV/0!</v>
      </c>
    </row>
    <row r="11" spans="1:11" x14ac:dyDescent="0.25">
      <c r="A11" s="569">
        <v>12</v>
      </c>
      <c r="B11" s="569">
        <v>1</v>
      </c>
      <c r="D11" t="e">
        <f ca="1"/>
        <v>#NAME?</v>
      </c>
      <c r="E11">
        <f t="shared" ca="1" si="0"/>
        <v>0</v>
      </c>
      <c r="F11">
        <f t="shared" ca="1" si="1"/>
        <v>0</v>
      </c>
      <c r="G11" t="e">
        <f t="shared" ca="1" si="2"/>
        <v>#DIV/0!</v>
      </c>
      <c r="H11" t="e">
        <f t="shared" ca="1" si="3"/>
        <v>#DIV/0!</v>
      </c>
      <c r="I11" t="e">
        <f t="shared" ca="1" si="4"/>
        <v>#DIV/0!</v>
      </c>
      <c r="J11" t="e">
        <f t="shared" ca="1" si="5"/>
        <v>#DIV/0!</v>
      </c>
      <c r="K11" t="e">
        <f t="shared" ca="1" si="6"/>
        <v>#DIV/0!</v>
      </c>
    </row>
    <row r="12" spans="1:11" x14ac:dyDescent="0.25">
      <c r="A12" s="569">
        <v>15</v>
      </c>
      <c r="B12" s="569">
        <v>0</v>
      </c>
      <c r="D12" t="e">
        <f ca="1"/>
        <v>#NAME?</v>
      </c>
      <c r="E12">
        <f t="shared" ca="1" si="0"/>
        <v>0</v>
      </c>
      <c r="F12">
        <f t="shared" ca="1" si="1"/>
        <v>0</v>
      </c>
      <c r="G12" t="e">
        <f t="shared" ca="1" si="2"/>
        <v>#DIV/0!</v>
      </c>
      <c r="H12" t="e">
        <f t="shared" ca="1" si="3"/>
        <v>#DIV/0!</v>
      </c>
      <c r="I12" t="e">
        <f t="shared" ca="1" si="4"/>
        <v>#DIV/0!</v>
      </c>
      <c r="J12" t="e">
        <f t="shared" ca="1" si="5"/>
        <v>#DIV/0!</v>
      </c>
      <c r="K12" t="e">
        <f t="shared" ca="1" si="6"/>
        <v>#DIV/0!</v>
      </c>
    </row>
    <row r="13" spans="1:11" x14ac:dyDescent="0.25">
      <c r="A13" s="569">
        <v>14</v>
      </c>
      <c r="B13" s="569">
        <v>0</v>
      </c>
      <c r="D13" t="e">
        <f ca="1"/>
        <v>#NAME?</v>
      </c>
      <c r="E13">
        <f t="shared" ca="1" si="0"/>
        <v>0</v>
      </c>
      <c r="F13">
        <f t="shared" ca="1" si="1"/>
        <v>0</v>
      </c>
      <c r="G13" t="e">
        <f t="shared" ca="1" si="2"/>
        <v>#DIV/0!</v>
      </c>
      <c r="H13" t="e">
        <f t="shared" ca="1" si="3"/>
        <v>#DIV/0!</v>
      </c>
      <c r="I13" t="e">
        <f t="shared" ca="1" si="4"/>
        <v>#DIV/0!</v>
      </c>
      <c r="J13" t="e">
        <f t="shared" ca="1" si="5"/>
        <v>#DIV/0!</v>
      </c>
      <c r="K13" t="e">
        <f t="shared" ca="1" si="6"/>
        <v>#DIV/0!</v>
      </c>
    </row>
    <row r="14" spans="1:11" x14ac:dyDescent="0.25">
      <c r="A14" s="569">
        <v>2</v>
      </c>
      <c r="B14" s="569">
        <v>1</v>
      </c>
      <c r="D14" s="387"/>
      <c r="E14" s="387"/>
      <c r="F14" s="387"/>
      <c r="G14" s="387"/>
      <c r="H14" s="387"/>
      <c r="I14" s="387"/>
      <c r="J14" s="387"/>
      <c r="K14" s="387"/>
    </row>
    <row r="15" spans="1:11" x14ac:dyDescent="0.25">
      <c r="A15" s="569">
        <v>11</v>
      </c>
      <c r="B15" s="569">
        <v>1</v>
      </c>
    </row>
    <row r="16" spans="1:11" x14ac:dyDescent="0.25">
      <c r="A16" s="569">
        <v>10</v>
      </c>
      <c r="B16" s="569">
        <v>0</v>
      </c>
    </row>
    <row r="17" spans="1:2" x14ac:dyDescent="0.25">
      <c r="A17" s="569">
        <v>9</v>
      </c>
      <c r="B17" s="569">
        <v>0</v>
      </c>
    </row>
    <row r="18" spans="1:2" x14ac:dyDescent="0.25">
      <c r="A18" s="569">
        <v>12</v>
      </c>
      <c r="B18" s="569">
        <v>1</v>
      </c>
    </row>
    <row r="19" spans="1:2" x14ac:dyDescent="0.25">
      <c r="A19" s="569">
        <v>5</v>
      </c>
      <c r="B19" s="569">
        <v>1</v>
      </c>
    </row>
    <row r="20" spans="1:2" x14ac:dyDescent="0.25">
      <c r="A20" s="569">
        <v>8</v>
      </c>
      <c r="B20" s="569">
        <v>1</v>
      </c>
    </row>
    <row r="21" spans="1:2" x14ac:dyDescent="0.25">
      <c r="A21" s="570">
        <v>11</v>
      </c>
      <c r="B21" s="570">
        <v>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23"/>
  <sheetViews>
    <sheetView workbookViewId="0"/>
  </sheetViews>
  <sheetFormatPr defaultRowHeight="15" x14ac:dyDescent="0.25"/>
  <cols>
    <col min="1" max="1" width="10.42578125" customWidth="1"/>
    <col min="2" max="2" width="6.7109375" customWidth="1"/>
    <col min="3" max="3" width="4.28515625" customWidth="1"/>
    <col min="4" max="4" width="10.42578125" customWidth="1"/>
    <col min="5" max="5" width="6.7109375" customWidth="1"/>
    <col min="6" max="6" width="4.5703125" customWidth="1"/>
    <col min="7" max="7" width="9.140625" customWidth="1"/>
    <col min="9" max="9" width="9.140625" customWidth="1"/>
    <col min="22" max="22" width="9.140625" customWidth="1"/>
    <col min="23" max="23" width="13.85546875" customWidth="1"/>
  </cols>
  <sheetData>
    <row r="1" spans="1:25" x14ac:dyDescent="0.25">
      <c r="A1" s="1" t="s">
        <v>1325</v>
      </c>
    </row>
    <row r="3" spans="1:25" x14ac:dyDescent="0.25">
      <c r="A3" s="773" t="s">
        <v>1260</v>
      </c>
      <c r="B3" s="773"/>
      <c r="D3" s="773" t="s">
        <v>1261</v>
      </c>
      <c r="E3" s="773"/>
      <c r="G3" t="s">
        <v>1322</v>
      </c>
      <c r="L3" t="s">
        <v>18</v>
      </c>
      <c r="M3">
        <v>0.05</v>
      </c>
    </row>
    <row r="5" spans="1:25" ht="15.75" thickBot="1" x14ac:dyDescent="0.3">
      <c r="A5" s="568" t="s">
        <v>1256</v>
      </c>
      <c r="B5" s="568" t="s">
        <v>620</v>
      </c>
      <c r="C5" s="569"/>
      <c r="D5" s="568" t="s">
        <v>1256</v>
      </c>
      <c r="E5" s="568" t="s">
        <v>620</v>
      </c>
      <c r="H5" t="s">
        <v>1323</v>
      </c>
      <c r="O5" t="s">
        <v>1324</v>
      </c>
    </row>
    <row r="6" spans="1:25" ht="15.75" thickTop="1" x14ac:dyDescent="0.25">
      <c r="A6" s="569">
        <v>3</v>
      </c>
      <c r="B6" s="569">
        <v>1</v>
      </c>
      <c r="C6" s="569"/>
      <c r="D6" s="569">
        <v>1</v>
      </c>
      <c r="E6" s="569">
        <v>1</v>
      </c>
      <c r="G6" s="591" t="s">
        <v>44</v>
      </c>
      <c r="H6" s="591" t="s">
        <v>28</v>
      </c>
      <c r="I6" s="592" t="s">
        <v>17</v>
      </c>
      <c r="J6" s="592" t="s">
        <v>1257</v>
      </c>
      <c r="K6" s="592" t="s">
        <v>1258</v>
      </c>
      <c r="L6" s="592" t="s">
        <v>148</v>
      </c>
      <c r="M6" s="592" t="s">
        <v>15</v>
      </c>
      <c r="N6" s="593" t="s">
        <v>16</v>
      </c>
      <c r="O6" s="592" t="s">
        <v>28</v>
      </c>
      <c r="P6" s="592" t="s">
        <v>17</v>
      </c>
      <c r="Q6" s="592" t="s">
        <v>1257</v>
      </c>
      <c r="R6" s="592" t="s">
        <v>1258</v>
      </c>
      <c r="S6" s="592" t="s">
        <v>148</v>
      </c>
      <c r="T6" s="592" t="s">
        <v>15</v>
      </c>
      <c r="U6" s="593" t="s">
        <v>16</v>
      </c>
      <c r="W6" t="s">
        <v>1326</v>
      </c>
    </row>
    <row r="7" spans="1:25" x14ac:dyDescent="0.25">
      <c r="A7" s="569">
        <v>5</v>
      </c>
      <c r="B7" s="569">
        <v>1</v>
      </c>
      <c r="C7" s="569"/>
      <c r="D7" s="569">
        <v>4</v>
      </c>
      <c r="E7" s="569">
        <v>1</v>
      </c>
      <c r="G7" s="183">
        <v>0</v>
      </c>
      <c r="H7" s="183"/>
      <c r="I7" s="7">
        <f>COUNT(A6:A23)</f>
        <v>18</v>
      </c>
      <c r="J7" s="7"/>
      <c r="K7" s="7">
        <v>1</v>
      </c>
      <c r="L7" s="7"/>
      <c r="M7" s="7"/>
      <c r="N7" s="43"/>
      <c r="O7" s="7"/>
      <c r="P7" s="7">
        <f>COUNT(D6:D23)</f>
        <v>18</v>
      </c>
      <c r="Q7" s="7"/>
      <c r="R7" s="7">
        <v>1</v>
      </c>
      <c r="S7" s="7"/>
      <c r="T7" s="7"/>
      <c r="U7" s="43"/>
    </row>
    <row r="8" spans="1:25" x14ac:dyDescent="0.25">
      <c r="A8" s="569">
        <v>8</v>
      </c>
      <c r="B8" s="569">
        <v>1</v>
      </c>
      <c r="C8" s="569"/>
      <c r="D8" s="569">
        <v>9</v>
      </c>
      <c r="E8" s="569">
        <v>0</v>
      </c>
      <c r="G8" s="183" t="e">
        <f t="array" aca="1" ref="G8:G19" ca="1">SortUnique(MERGE(A6:A23,D6:D23))</f>
        <v>#NAME?</v>
      </c>
      <c r="H8" s="183">
        <f ca="1">COUNTIFS($A$6:$A$23,G8,$B$6:$B$23,1)</f>
        <v>0</v>
      </c>
      <c r="I8" s="7">
        <f ca="1">COUNTIF($A$6:$A$23,"&gt;"&amp;G8-1)</f>
        <v>0</v>
      </c>
      <c r="J8" s="7">
        <f ca="1">IF(I8&gt;0,1-H8/I8,0)</f>
        <v>0</v>
      </c>
      <c r="K8" s="7">
        <f ca="1">K7*J8</f>
        <v>0</v>
      </c>
      <c r="L8" s="7">
        <f ca="1">IF(K8&gt;0,K8*SQRT(H8/(I8*(I8-H8))+(L7/K7)^2),0)</f>
        <v>0</v>
      </c>
      <c r="M8" s="7">
        <f ca="1">IF(L8&gt;0,K8^EXP(NORMSINV($M$3/2)/LN(K8)*L8/K8),K8)</f>
        <v>0</v>
      </c>
      <c r="N8" s="43" t="str">
        <f ca="1">IF(L8&gt;0,K8^EXP(-NORMSINV($M$3/2)/LN(K8)*L8),"")</f>
        <v/>
      </c>
      <c r="O8" s="7">
        <f ca="1">COUNTIFS($D$6:$D$23,G8,$E$6:$E$23,1)</f>
        <v>0</v>
      </c>
      <c r="P8" s="7">
        <f ca="1">COUNTIF($D$6:$D$23,"&gt;"&amp;G8-1)</f>
        <v>0</v>
      </c>
      <c r="Q8" s="7">
        <f ca="1">IF(P8&gt;0,1-O8/P8,0)</f>
        <v>0</v>
      </c>
      <c r="R8" s="7">
        <f ca="1">R7*Q8</f>
        <v>0</v>
      </c>
      <c r="S8" s="7">
        <f ca="1">IF(R8&gt;0,R8*SQRT(O8/(P8*(P8-O8))+(S7/R7)^2),0)</f>
        <v>0</v>
      </c>
      <c r="T8" s="7" t="str">
        <f ca="1">IF(S8&gt;0,R8^EXP(NORMSINV($M$3/2)/LN(R8)*S8/R8),"")</f>
        <v/>
      </c>
      <c r="U8" s="43" t="str">
        <f ca="1">IF(S8&gt;0,R8^EXP(-NORMSINV($M$3/2)/LN(R8)*S8/R8),"")</f>
        <v/>
      </c>
      <c r="W8" t="e">
        <f t="array" aca="1" ref="W8:Y12" ca="1">LOGRANK(H8:I19,O8:P19,TRUE)</f>
        <v>#NAME?</v>
      </c>
      <c r="X8" s="569" t="e">
        <f ca="1"/>
        <v>#NAME?</v>
      </c>
      <c r="Y8" s="569" t="e">
        <f ca="1"/>
        <v>#NAME?</v>
      </c>
    </row>
    <row r="9" spans="1:25" x14ac:dyDescent="0.25">
      <c r="A9" s="569">
        <v>10</v>
      </c>
      <c r="B9" s="569">
        <v>0</v>
      </c>
      <c r="C9" s="569"/>
      <c r="D9" s="569">
        <v>10</v>
      </c>
      <c r="E9" s="569">
        <v>0</v>
      </c>
      <c r="G9" s="183" t="e">
        <f ca="1"/>
        <v>#NAME?</v>
      </c>
      <c r="H9" s="183">
        <f t="shared" ref="H9:H19" ca="1" si="0">COUNTIFS($A$6:$A$23,G9,$B$6:$B$23,1)</f>
        <v>0</v>
      </c>
      <c r="I9" s="7">
        <f t="shared" ref="I9:I19" ca="1" si="1">COUNTIF($A$6:$A$23,"&gt;"&amp;G9-1)</f>
        <v>0</v>
      </c>
      <c r="J9" s="7">
        <f t="shared" ref="J9:J19" ca="1" si="2">IF(I9&gt;0,1-H9/I9,0)</f>
        <v>0</v>
      </c>
      <c r="K9" s="7">
        <f t="shared" ref="K9:K19" ca="1" si="3">K8*J9</f>
        <v>0</v>
      </c>
      <c r="L9" s="7">
        <f t="shared" ref="L9:L19" ca="1" si="4">IF(K9&gt;0,K9*SQRT(H9/(I9*(I9-H9))+(L8/K8)^2),0)</f>
        <v>0</v>
      </c>
      <c r="M9" s="7">
        <f t="shared" ref="M9:M19" ca="1" si="5">IF(L9&gt;0,K9^EXP(NORMSINV($M$3/2)/LN(K9)*L9/K9),K9)</f>
        <v>0</v>
      </c>
      <c r="N9" s="43" t="str">
        <f ca="1">IF(L9&gt;0,K9^EXP(-NORMSINV($M$3/2)/LN(K9)*L9/K9),"")</f>
        <v/>
      </c>
      <c r="O9" s="7">
        <f t="shared" ref="O9:O19" ca="1" si="6">COUNTIFS($D$6:$D$23,G9,$E$6:$E$23,1)</f>
        <v>0</v>
      </c>
      <c r="P9" s="7">
        <f t="shared" ref="P9:P19" ca="1" si="7">COUNTIF($D$6:$D$23,"&gt;"&amp;G9-1)</f>
        <v>0</v>
      </c>
      <c r="Q9" s="7">
        <f t="shared" ref="Q9:Q19" ca="1" si="8">IF(P9&gt;0,1-O9/P9,0)</f>
        <v>0</v>
      </c>
      <c r="R9" s="7">
        <f t="shared" ref="R9:R19" ca="1" si="9">R8*Q9</f>
        <v>0</v>
      </c>
      <c r="S9" s="7">
        <f t="shared" ref="S9:S19" ca="1" si="10">IF(R9&gt;0,R9*SQRT(O9/(P9*(P9-O9))+(S8/R8)^2),0)</f>
        <v>0</v>
      </c>
      <c r="T9" s="7" t="str">
        <f t="shared" ref="T9:T19" ca="1" si="11">IF(S9&gt;0,R9^EXP(NORMSINV($M$3/2)/LN(R9)*S9/R9),"")</f>
        <v/>
      </c>
      <c r="U9" s="43" t="str">
        <f t="shared" ref="U9:U19" ca="1" si="12">IF(S9&gt;0,R9^EXP(-NORMSINV($M$3/2)/LN(R9)*S9/R9),"")</f>
        <v/>
      </c>
      <c r="W9" t="e">
        <f ca="1"/>
        <v>#NAME?</v>
      </c>
      <c r="X9" s="550" t="e">
        <f ca="1"/>
        <v>#NAME?</v>
      </c>
      <c r="Y9" s="557" t="e">
        <f ca="1"/>
        <v>#NAME?</v>
      </c>
    </row>
    <row r="10" spans="1:25" x14ac:dyDescent="0.25">
      <c r="A10" s="569">
        <v>5</v>
      </c>
      <c r="B10" s="569">
        <v>1</v>
      </c>
      <c r="C10" s="569"/>
      <c r="D10" s="569">
        <v>6</v>
      </c>
      <c r="E10" s="569">
        <v>1</v>
      </c>
      <c r="G10" s="183" t="e">
        <f ca="1"/>
        <v>#NAME?</v>
      </c>
      <c r="H10" s="183">
        <f t="shared" ca="1" si="0"/>
        <v>0</v>
      </c>
      <c r="I10" s="7">
        <f t="shared" ca="1" si="1"/>
        <v>0</v>
      </c>
      <c r="J10" s="7">
        <f t="shared" ca="1" si="2"/>
        <v>0</v>
      </c>
      <c r="K10" s="7">
        <f t="shared" ca="1" si="3"/>
        <v>0</v>
      </c>
      <c r="L10" s="7">
        <f t="shared" ca="1" si="4"/>
        <v>0</v>
      </c>
      <c r="M10" s="7">
        <f t="shared" ca="1" si="5"/>
        <v>0</v>
      </c>
      <c r="N10" s="43" t="str">
        <f t="shared" ref="N10:N19" ca="1" si="13">IF(L10&gt;0,K10^EXP(-NORMSINV($M$3/2)/LN(K10)*L10/K10),"")</f>
        <v/>
      </c>
      <c r="O10" s="7">
        <f t="shared" ca="1" si="6"/>
        <v>0</v>
      </c>
      <c r="P10" s="7">
        <f t="shared" ca="1" si="7"/>
        <v>0</v>
      </c>
      <c r="Q10" s="7">
        <f t="shared" ca="1" si="8"/>
        <v>0</v>
      </c>
      <c r="R10" s="7">
        <f t="shared" ca="1" si="9"/>
        <v>0</v>
      </c>
      <c r="S10" s="7">
        <f t="shared" ca="1" si="10"/>
        <v>0</v>
      </c>
      <c r="T10" s="7" t="str">
        <f t="shared" ca="1" si="11"/>
        <v/>
      </c>
      <c r="U10" s="43" t="str">
        <f t="shared" ca="1" si="12"/>
        <v/>
      </c>
      <c r="W10" t="e">
        <f ca="1"/>
        <v>#NAME?</v>
      </c>
      <c r="X10" s="183" t="e">
        <f ca="1"/>
        <v>#NAME?</v>
      </c>
      <c r="Y10" s="43" t="e">
        <f ca="1"/>
        <v>#NAME?</v>
      </c>
    </row>
    <row r="11" spans="1:25" x14ac:dyDescent="0.25">
      <c r="A11" s="569">
        <v>5</v>
      </c>
      <c r="B11" s="569">
        <v>0</v>
      </c>
      <c r="C11" s="569"/>
      <c r="D11" s="569">
        <v>6</v>
      </c>
      <c r="E11" s="569">
        <v>0</v>
      </c>
      <c r="G11" s="183" t="e">
        <f ca="1"/>
        <v>#NAME?</v>
      </c>
      <c r="H11" s="183">
        <f t="shared" ca="1" si="0"/>
        <v>0</v>
      </c>
      <c r="I11" s="7">
        <f t="shared" ca="1" si="1"/>
        <v>0</v>
      </c>
      <c r="J11" s="7">
        <f t="shared" ca="1" si="2"/>
        <v>0</v>
      </c>
      <c r="K11" s="7">
        <f t="shared" ca="1" si="3"/>
        <v>0</v>
      </c>
      <c r="L11" s="7">
        <f t="shared" ca="1" si="4"/>
        <v>0</v>
      </c>
      <c r="M11" s="7">
        <f t="shared" ca="1" si="5"/>
        <v>0</v>
      </c>
      <c r="N11" s="43" t="str">
        <f t="shared" ca="1" si="13"/>
        <v/>
      </c>
      <c r="O11" s="7">
        <f t="shared" ca="1" si="6"/>
        <v>0</v>
      </c>
      <c r="P11" s="7">
        <f t="shared" ca="1" si="7"/>
        <v>0</v>
      </c>
      <c r="Q11" s="7">
        <f t="shared" ca="1" si="8"/>
        <v>0</v>
      </c>
      <c r="R11" s="7">
        <f t="shared" ca="1" si="9"/>
        <v>0</v>
      </c>
      <c r="S11" s="7">
        <f t="shared" ca="1" si="10"/>
        <v>0</v>
      </c>
      <c r="T11" s="7" t="str">
        <f t="shared" ca="1" si="11"/>
        <v/>
      </c>
      <c r="U11" s="43" t="str">
        <f t="shared" ca="1" si="12"/>
        <v/>
      </c>
      <c r="W11" t="e">
        <f ca="1"/>
        <v>#NAME?</v>
      </c>
      <c r="X11" s="183" t="e">
        <f ca="1"/>
        <v>#NAME?</v>
      </c>
      <c r="Y11" s="43" t="e">
        <f ca="1"/>
        <v>#NAME?</v>
      </c>
    </row>
    <row r="12" spans="1:25" x14ac:dyDescent="0.25">
      <c r="A12" s="569">
        <v>8</v>
      </c>
      <c r="B12" s="569">
        <v>1</v>
      </c>
      <c r="C12" s="569"/>
      <c r="D12" s="569">
        <v>10</v>
      </c>
      <c r="E12" s="569">
        <v>1</v>
      </c>
      <c r="G12" s="183" t="e">
        <f ca="1"/>
        <v>#NAME?</v>
      </c>
      <c r="H12" s="183">
        <f t="shared" ca="1" si="0"/>
        <v>0</v>
      </c>
      <c r="I12" s="7">
        <f t="shared" ca="1" si="1"/>
        <v>0</v>
      </c>
      <c r="J12" s="7">
        <f t="shared" ca="1" si="2"/>
        <v>0</v>
      </c>
      <c r="K12" s="7">
        <f t="shared" ca="1" si="3"/>
        <v>0</v>
      </c>
      <c r="L12" s="7">
        <f t="shared" ca="1" si="4"/>
        <v>0</v>
      </c>
      <c r="M12" s="7">
        <f t="shared" ca="1" si="5"/>
        <v>0</v>
      </c>
      <c r="N12" s="43" t="str">
        <f t="shared" ca="1" si="13"/>
        <v/>
      </c>
      <c r="O12" s="7">
        <f t="shared" ca="1" si="6"/>
        <v>0</v>
      </c>
      <c r="P12" s="7">
        <f t="shared" ca="1" si="7"/>
        <v>0</v>
      </c>
      <c r="Q12" s="7">
        <f t="shared" ca="1" si="8"/>
        <v>0</v>
      </c>
      <c r="R12" s="7">
        <f t="shared" ca="1" si="9"/>
        <v>0</v>
      </c>
      <c r="S12" s="7">
        <f t="shared" ca="1" si="10"/>
        <v>0</v>
      </c>
      <c r="T12" s="7" t="str">
        <f t="shared" ca="1" si="11"/>
        <v/>
      </c>
      <c r="U12" s="43" t="str">
        <f t="shared" ca="1" si="12"/>
        <v/>
      </c>
      <c r="W12" t="e">
        <f ca="1"/>
        <v>#NAME?</v>
      </c>
      <c r="X12" s="351" t="e">
        <f ca="1"/>
        <v>#NAME?</v>
      </c>
      <c r="Y12" s="353" t="e">
        <f ca="1"/>
        <v>#NAME?</v>
      </c>
    </row>
    <row r="13" spans="1:25" x14ac:dyDescent="0.25">
      <c r="A13" s="569">
        <v>12</v>
      </c>
      <c r="B13" s="569">
        <v>1</v>
      </c>
      <c r="C13" s="569"/>
      <c r="D13" s="569">
        <v>10</v>
      </c>
      <c r="E13" s="569">
        <v>1</v>
      </c>
      <c r="G13" s="183" t="e">
        <f ca="1"/>
        <v>#NAME?</v>
      </c>
      <c r="H13" s="183">
        <f t="shared" ca="1" si="0"/>
        <v>0</v>
      </c>
      <c r="I13" s="7">
        <f t="shared" ca="1" si="1"/>
        <v>0</v>
      </c>
      <c r="J13" s="7">
        <f t="shared" ca="1" si="2"/>
        <v>0</v>
      </c>
      <c r="K13" s="7">
        <f t="shared" ca="1" si="3"/>
        <v>0</v>
      </c>
      <c r="L13" s="7">
        <f t="shared" ca="1" si="4"/>
        <v>0</v>
      </c>
      <c r="M13" s="7">
        <f t="shared" ca="1" si="5"/>
        <v>0</v>
      </c>
      <c r="N13" s="43" t="str">
        <f t="shared" ca="1" si="13"/>
        <v/>
      </c>
      <c r="O13" s="7">
        <f t="shared" ca="1" si="6"/>
        <v>0</v>
      </c>
      <c r="P13" s="7">
        <f t="shared" ca="1" si="7"/>
        <v>0</v>
      </c>
      <c r="Q13" s="7">
        <f t="shared" ca="1" si="8"/>
        <v>0</v>
      </c>
      <c r="R13" s="7">
        <f t="shared" ca="1" si="9"/>
        <v>0</v>
      </c>
      <c r="S13" s="7">
        <f t="shared" ca="1" si="10"/>
        <v>0</v>
      </c>
      <c r="T13" s="7" t="str">
        <f t="shared" ca="1" si="11"/>
        <v/>
      </c>
      <c r="U13" s="43" t="str">
        <f t="shared" ca="1" si="12"/>
        <v/>
      </c>
    </row>
    <row r="14" spans="1:25" x14ac:dyDescent="0.25">
      <c r="A14" s="569">
        <v>15</v>
      </c>
      <c r="B14" s="569">
        <v>0</v>
      </c>
      <c r="C14" s="569"/>
      <c r="D14" s="569">
        <v>12</v>
      </c>
      <c r="E14" s="569">
        <v>0</v>
      </c>
      <c r="G14" s="183" t="e">
        <f ca="1"/>
        <v>#NAME?</v>
      </c>
      <c r="H14" s="183">
        <f t="shared" ca="1" si="0"/>
        <v>0</v>
      </c>
      <c r="I14" s="7">
        <f t="shared" ca="1" si="1"/>
        <v>0</v>
      </c>
      <c r="J14" s="7">
        <f t="shared" ca="1" si="2"/>
        <v>0</v>
      </c>
      <c r="K14" s="7">
        <f t="shared" ca="1" si="3"/>
        <v>0</v>
      </c>
      <c r="L14" s="7">
        <f t="shared" ca="1" si="4"/>
        <v>0</v>
      </c>
      <c r="M14" s="7">
        <f t="shared" ca="1" si="5"/>
        <v>0</v>
      </c>
      <c r="N14" s="43" t="str">
        <f t="shared" ca="1" si="13"/>
        <v/>
      </c>
      <c r="O14" s="7">
        <f t="shared" ca="1" si="6"/>
        <v>0</v>
      </c>
      <c r="P14" s="7">
        <f t="shared" ca="1" si="7"/>
        <v>0</v>
      </c>
      <c r="Q14" s="7">
        <f t="shared" ca="1" si="8"/>
        <v>0</v>
      </c>
      <c r="R14" s="7">
        <f t="shared" ca="1" si="9"/>
        <v>0</v>
      </c>
      <c r="S14" s="7">
        <f t="shared" ca="1" si="10"/>
        <v>0</v>
      </c>
      <c r="T14" s="7" t="str">
        <f t="shared" ca="1" si="11"/>
        <v/>
      </c>
      <c r="U14" s="43" t="str">
        <f t="shared" ca="1" si="12"/>
        <v/>
      </c>
    </row>
    <row r="15" spans="1:25" x14ac:dyDescent="0.25">
      <c r="A15" s="569">
        <v>14</v>
      </c>
      <c r="B15" s="569">
        <v>0</v>
      </c>
      <c r="C15" s="569"/>
      <c r="D15" s="569">
        <v>13</v>
      </c>
      <c r="E15" s="569">
        <v>0</v>
      </c>
      <c r="G15" s="183" t="e">
        <f ca="1"/>
        <v>#NAME?</v>
      </c>
      <c r="H15" s="183">
        <f t="shared" ca="1" si="0"/>
        <v>0</v>
      </c>
      <c r="I15" s="7">
        <f t="shared" ca="1" si="1"/>
        <v>0</v>
      </c>
      <c r="J15" s="7">
        <f t="shared" ca="1" si="2"/>
        <v>0</v>
      </c>
      <c r="K15" s="7">
        <f t="shared" ca="1" si="3"/>
        <v>0</v>
      </c>
      <c r="L15" s="7">
        <f t="shared" ca="1" si="4"/>
        <v>0</v>
      </c>
      <c r="M15" s="7">
        <f t="shared" ca="1" si="5"/>
        <v>0</v>
      </c>
      <c r="N15" s="43" t="str">
        <f t="shared" ca="1" si="13"/>
        <v/>
      </c>
      <c r="O15" s="7">
        <f t="shared" ca="1" si="6"/>
        <v>0</v>
      </c>
      <c r="P15" s="7">
        <f t="shared" ca="1" si="7"/>
        <v>0</v>
      </c>
      <c r="Q15" s="7">
        <f t="shared" ca="1" si="8"/>
        <v>0</v>
      </c>
      <c r="R15" s="7">
        <f t="shared" ca="1" si="9"/>
        <v>0</v>
      </c>
      <c r="S15" s="7">
        <f t="shared" ca="1" si="10"/>
        <v>0</v>
      </c>
      <c r="T15" s="7" t="str">
        <f t="shared" ca="1" si="11"/>
        <v/>
      </c>
      <c r="U15" s="43" t="str">
        <f t="shared" ca="1" si="12"/>
        <v/>
      </c>
    </row>
    <row r="16" spans="1:25" x14ac:dyDescent="0.25">
      <c r="A16" s="569">
        <v>2</v>
      </c>
      <c r="B16" s="569">
        <v>1</v>
      </c>
      <c r="C16" s="569"/>
      <c r="D16" s="569">
        <v>3</v>
      </c>
      <c r="E16" s="569">
        <v>1</v>
      </c>
      <c r="G16" s="183" t="e">
        <f ca="1"/>
        <v>#NAME?</v>
      </c>
      <c r="H16" s="183">
        <f t="shared" ca="1" si="0"/>
        <v>0</v>
      </c>
      <c r="I16" s="7">
        <f t="shared" ca="1" si="1"/>
        <v>0</v>
      </c>
      <c r="J16" s="7">
        <f t="shared" ca="1" si="2"/>
        <v>0</v>
      </c>
      <c r="K16" s="7">
        <f t="shared" ca="1" si="3"/>
        <v>0</v>
      </c>
      <c r="L16" s="7">
        <f t="shared" ca="1" si="4"/>
        <v>0</v>
      </c>
      <c r="M16" s="7">
        <f t="shared" ca="1" si="5"/>
        <v>0</v>
      </c>
      <c r="N16" s="43" t="str">
        <f t="shared" ca="1" si="13"/>
        <v/>
      </c>
      <c r="O16" s="7">
        <f t="shared" ca="1" si="6"/>
        <v>0</v>
      </c>
      <c r="P16" s="7">
        <f t="shared" ca="1" si="7"/>
        <v>0</v>
      </c>
      <c r="Q16" s="7">
        <f t="shared" ca="1" si="8"/>
        <v>0</v>
      </c>
      <c r="R16" s="7">
        <f t="shared" ca="1" si="9"/>
        <v>0</v>
      </c>
      <c r="S16" s="7">
        <f t="shared" ca="1" si="10"/>
        <v>0</v>
      </c>
      <c r="T16" s="7" t="str">
        <f t="shared" ca="1" si="11"/>
        <v/>
      </c>
      <c r="U16" s="43" t="str">
        <f t="shared" ca="1" si="12"/>
        <v/>
      </c>
    </row>
    <row r="17" spans="1:21" x14ac:dyDescent="0.25">
      <c r="A17" s="569">
        <v>11</v>
      </c>
      <c r="B17" s="569">
        <v>1</v>
      </c>
      <c r="C17" s="569"/>
      <c r="D17" s="569">
        <v>13</v>
      </c>
      <c r="E17" s="569">
        <v>0</v>
      </c>
      <c r="G17" s="183" t="e">
        <f ca="1"/>
        <v>#NAME?</v>
      </c>
      <c r="H17" s="183">
        <f t="shared" ca="1" si="0"/>
        <v>0</v>
      </c>
      <c r="I17" s="7">
        <f t="shared" ca="1" si="1"/>
        <v>0</v>
      </c>
      <c r="J17" s="7">
        <f t="shared" ca="1" si="2"/>
        <v>0</v>
      </c>
      <c r="K17" s="7">
        <f t="shared" ca="1" si="3"/>
        <v>0</v>
      </c>
      <c r="L17" s="7">
        <f t="shared" ca="1" si="4"/>
        <v>0</v>
      </c>
      <c r="M17" s="7">
        <f t="shared" ca="1" si="5"/>
        <v>0</v>
      </c>
      <c r="N17" s="43" t="str">
        <f t="shared" ca="1" si="13"/>
        <v/>
      </c>
      <c r="O17" s="7">
        <f t="shared" ca="1" si="6"/>
        <v>0</v>
      </c>
      <c r="P17" s="7">
        <f t="shared" ca="1" si="7"/>
        <v>0</v>
      </c>
      <c r="Q17" s="7">
        <f t="shared" ca="1" si="8"/>
        <v>0</v>
      </c>
      <c r="R17" s="7">
        <f t="shared" ca="1" si="9"/>
        <v>0</v>
      </c>
      <c r="S17" s="7">
        <f t="shared" ca="1" si="10"/>
        <v>0</v>
      </c>
      <c r="T17" s="7" t="str">
        <f t="shared" ca="1" si="11"/>
        <v/>
      </c>
      <c r="U17" s="43" t="str">
        <f t="shared" ca="1" si="12"/>
        <v/>
      </c>
    </row>
    <row r="18" spans="1:21" x14ac:dyDescent="0.25">
      <c r="A18" s="569">
        <v>10</v>
      </c>
      <c r="B18" s="569">
        <v>0</v>
      </c>
      <c r="C18" s="569"/>
      <c r="D18" s="569">
        <v>8</v>
      </c>
      <c r="E18" s="569">
        <v>0</v>
      </c>
      <c r="G18" s="183" t="e">
        <f ca="1"/>
        <v>#NAME?</v>
      </c>
      <c r="H18" s="183">
        <f t="shared" ca="1" si="0"/>
        <v>0</v>
      </c>
      <c r="I18" s="7">
        <f t="shared" ca="1" si="1"/>
        <v>0</v>
      </c>
      <c r="J18" s="7">
        <f t="shared" ca="1" si="2"/>
        <v>0</v>
      </c>
      <c r="K18" s="7">
        <f t="shared" ca="1" si="3"/>
        <v>0</v>
      </c>
      <c r="L18" s="7">
        <f t="shared" ca="1" si="4"/>
        <v>0</v>
      </c>
      <c r="M18" s="7">
        <f t="shared" ca="1" si="5"/>
        <v>0</v>
      </c>
      <c r="N18" s="43" t="str">
        <f t="shared" ca="1" si="13"/>
        <v/>
      </c>
      <c r="O18" s="7">
        <f t="shared" ca="1" si="6"/>
        <v>0</v>
      </c>
      <c r="P18" s="7">
        <f t="shared" ca="1" si="7"/>
        <v>0</v>
      </c>
      <c r="Q18" s="7">
        <f t="shared" ca="1" si="8"/>
        <v>0</v>
      </c>
      <c r="R18" s="7">
        <f t="shared" ca="1" si="9"/>
        <v>0</v>
      </c>
      <c r="S18" s="7">
        <f t="shared" ca="1" si="10"/>
        <v>0</v>
      </c>
      <c r="T18" s="7" t="str">
        <f t="shared" ca="1" si="11"/>
        <v/>
      </c>
      <c r="U18" s="43" t="str">
        <f t="shared" ca="1" si="12"/>
        <v/>
      </c>
    </row>
    <row r="19" spans="1:21" x14ac:dyDescent="0.25">
      <c r="A19" s="569">
        <v>9</v>
      </c>
      <c r="B19" s="569">
        <v>0</v>
      </c>
      <c r="C19" s="569"/>
      <c r="D19" s="569">
        <v>10</v>
      </c>
      <c r="E19" s="569">
        <v>0</v>
      </c>
      <c r="G19" s="351" t="e">
        <f ca="1"/>
        <v>#NAME?</v>
      </c>
      <c r="H19" s="351">
        <f t="shared" ca="1" si="0"/>
        <v>0</v>
      </c>
      <c r="I19" s="352">
        <f t="shared" ca="1" si="1"/>
        <v>0</v>
      </c>
      <c r="J19" s="352">
        <f t="shared" ca="1" si="2"/>
        <v>0</v>
      </c>
      <c r="K19" s="352">
        <f t="shared" ca="1" si="3"/>
        <v>0</v>
      </c>
      <c r="L19" s="354">
        <f t="shared" ca="1" si="4"/>
        <v>0</v>
      </c>
      <c r="M19" s="354">
        <f t="shared" ca="1" si="5"/>
        <v>0</v>
      </c>
      <c r="N19" s="699" t="str">
        <f t="shared" ca="1" si="13"/>
        <v/>
      </c>
      <c r="O19" s="352">
        <f t="shared" ca="1" si="6"/>
        <v>0</v>
      </c>
      <c r="P19" s="352">
        <f t="shared" ca="1" si="7"/>
        <v>0</v>
      </c>
      <c r="Q19" s="352">
        <f t="shared" ca="1" si="8"/>
        <v>0</v>
      </c>
      <c r="R19" s="352">
        <f t="shared" ca="1" si="9"/>
        <v>0</v>
      </c>
      <c r="S19" s="354">
        <f t="shared" ca="1" si="10"/>
        <v>0</v>
      </c>
      <c r="T19" s="354" t="str">
        <f t="shared" ca="1" si="11"/>
        <v/>
      </c>
      <c r="U19" s="699" t="str">
        <f t="shared" ca="1" si="12"/>
        <v/>
      </c>
    </row>
    <row r="20" spans="1:21" x14ac:dyDescent="0.25">
      <c r="A20" s="569">
        <v>12</v>
      </c>
      <c r="B20" s="569">
        <v>1</v>
      </c>
      <c r="C20" s="569"/>
      <c r="D20" s="569">
        <v>13</v>
      </c>
      <c r="E20" s="569">
        <v>1</v>
      </c>
    </row>
    <row r="21" spans="1:21" x14ac:dyDescent="0.25">
      <c r="A21" s="569">
        <v>5</v>
      </c>
      <c r="B21" s="569">
        <v>1</v>
      </c>
      <c r="C21" s="569"/>
      <c r="D21" s="569">
        <v>6</v>
      </c>
      <c r="E21" s="569">
        <v>0</v>
      </c>
    </row>
    <row r="22" spans="1:21" x14ac:dyDescent="0.25">
      <c r="A22" s="569">
        <v>8</v>
      </c>
      <c r="B22" s="569">
        <v>1</v>
      </c>
      <c r="C22" s="569"/>
      <c r="D22" s="569">
        <v>8</v>
      </c>
      <c r="E22" s="569">
        <v>1</v>
      </c>
    </row>
    <row r="23" spans="1:21" x14ac:dyDescent="0.25">
      <c r="A23" s="570">
        <v>11</v>
      </c>
      <c r="B23" s="570">
        <v>1</v>
      </c>
      <c r="C23" s="569"/>
      <c r="D23" s="570">
        <v>12</v>
      </c>
      <c r="E23" s="570">
        <v>0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W39"/>
  <sheetViews>
    <sheetView workbookViewId="0"/>
  </sheetViews>
  <sheetFormatPr defaultRowHeight="15" x14ac:dyDescent="0.25"/>
  <cols>
    <col min="1" max="1" width="10.42578125" customWidth="1"/>
    <col min="2" max="2" width="6.7109375" customWidth="1"/>
    <col min="3" max="3" width="9.140625" style="569"/>
    <col min="21" max="21" width="12.7109375" customWidth="1"/>
  </cols>
  <sheetData>
    <row r="1" spans="1:23" x14ac:dyDescent="0.25">
      <c r="A1" s="1" t="s">
        <v>1325</v>
      </c>
    </row>
    <row r="3" spans="1:23" x14ac:dyDescent="0.25">
      <c r="A3" s="568" t="s">
        <v>1256</v>
      </c>
      <c r="B3" s="568" t="s">
        <v>620</v>
      </c>
      <c r="C3" s="568" t="s">
        <v>69</v>
      </c>
      <c r="E3" t="s">
        <v>1322</v>
      </c>
      <c r="J3" t="s">
        <v>18</v>
      </c>
      <c r="K3">
        <v>0.05</v>
      </c>
    </row>
    <row r="4" spans="1:23" x14ac:dyDescent="0.25">
      <c r="A4" s="569">
        <v>3</v>
      </c>
      <c r="B4" s="569">
        <v>1</v>
      </c>
      <c r="C4" s="569">
        <v>0</v>
      </c>
    </row>
    <row r="5" spans="1:23" ht="15.75" thickBot="1" x14ac:dyDescent="0.3">
      <c r="A5" s="569">
        <v>5</v>
      </c>
      <c r="B5" s="569">
        <v>1</v>
      </c>
      <c r="C5" s="569">
        <v>0</v>
      </c>
      <c r="F5" t="s">
        <v>1323</v>
      </c>
      <c r="M5" t="s">
        <v>1324</v>
      </c>
    </row>
    <row r="6" spans="1:23" ht="15.75" thickTop="1" x14ac:dyDescent="0.25">
      <c r="A6" s="569">
        <v>8</v>
      </c>
      <c r="B6" s="569">
        <v>1</v>
      </c>
      <c r="C6" s="569">
        <v>0</v>
      </c>
      <c r="E6" s="591" t="s">
        <v>44</v>
      </c>
      <c r="F6" s="591" t="s">
        <v>28</v>
      </c>
      <c r="G6" s="592" t="s">
        <v>17</v>
      </c>
      <c r="H6" s="592" t="s">
        <v>1257</v>
      </c>
      <c r="I6" s="592" t="s">
        <v>1258</v>
      </c>
      <c r="J6" s="592" t="s">
        <v>148</v>
      </c>
      <c r="K6" s="592" t="s">
        <v>15</v>
      </c>
      <c r="L6" s="593" t="s">
        <v>16</v>
      </c>
      <c r="M6" s="592" t="s">
        <v>28</v>
      </c>
      <c r="N6" s="592" t="s">
        <v>17</v>
      </c>
      <c r="O6" s="592" t="s">
        <v>1257</v>
      </c>
      <c r="P6" s="592" t="s">
        <v>1258</v>
      </c>
      <c r="Q6" s="592" t="s">
        <v>148</v>
      </c>
      <c r="R6" s="592" t="s">
        <v>15</v>
      </c>
      <c r="S6" s="593" t="s">
        <v>16</v>
      </c>
      <c r="U6" t="s">
        <v>1326</v>
      </c>
    </row>
    <row r="7" spans="1:23" x14ac:dyDescent="0.25">
      <c r="A7" s="569">
        <v>10</v>
      </c>
      <c r="B7" s="569">
        <v>0</v>
      </c>
      <c r="C7" s="569">
        <v>0</v>
      </c>
      <c r="E7" s="183">
        <v>0</v>
      </c>
      <c r="F7" s="183"/>
      <c r="G7" s="7">
        <f>COUNTIF(C4:C39,$C$4)</f>
        <v>18</v>
      </c>
      <c r="H7" s="7"/>
      <c r="I7" s="7">
        <v>1</v>
      </c>
      <c r="J7" s="7"/>
      <c r="K7" s="7"/>
      <c r="L7" s="43"/>
      <c r="M7" s="7"/>
      <c r="N7" s="7">
        <f>COUNT(A4:A39)-G7</f>
        <v>18</v>
      </c>
      <c r="O7" s="7"/>
      <c r="P7" s="7">
        <v>1</v>
      </c>
      <c r="Q7" s="7"/>
      <c r="R7" s="7"/>
      <c r="S7" s="43"/>
    </row>
    <row r="8" spans="1:23" x14ac:dyDescent="0.25">
      <c r="A8" s="569">
        <v>5</v>
      </c>
      <c r="B8" s="569">
        <v>1</v>
      </c>
      <c r="C8" s="569">
        <v>0</v>
      </c>
      <c r="E8" s="183" t="e">
        <f t="array" aca="1" ref="E8:E19" ca="1">SortUnique(A4:A39)</f>
        <v>#NAME?</v>
      </c>
      <c r="F8" s="183">
        <f ca="1">COUNTIFS($A$4:$A$39,E8,$B$4:$B$39,1,$C$4:$C$39,$C$4)</f>
        <v>0</v>
      </c>
      <c r="G8" s="7">
        <f ca="1">COUNTIFS($A$4:$A$39,"&gt;"&amp;E8-1,$C$4:$C$39,$C$4)</f>
        <v>0</v>
      </c>
      <c r="H8" s="7">
        <f ca="1">IF(G8&gt;0,1-F8/G8,0)</f>
        <v>0</v>
      </c>
      <c r="I8" s="7">
        <f ca="1">I7*H8</f>
        <v>0</v>
      </c>
      <c r="J8" s="7">
        <f ca="1">IF(I8&gt;0,I8*SQRT(F8/(G8*(G8-F8))+(J7/I7)^2),0)</f>
        <v>0</v>
      </c>
      <c r="K8" s="7" t="str">
        <f ca="1">IF(J8&gt;0,I8^EXP(NORMSINV($K$3/2)/LN(I8)*J8),"")</f>
        <v/>
      </c>
      <c r="L8" s="43" t="str">
        <f ca="1">IF(J8&gt;0,I8^EXP(-NORMSINV($K$3/2)/LN(I8)*J8),"")</f>
        <v/>
      </c>
      <c r="M8" s="7">
        <f ca="1">COUNTIFS($A$4:$A$39,E8,$B$4:$B$39,1,$C$4:$C$39,"&lt;&gt;"&amp;$C$4)</f>
        <v>0</v>
      </c>
      <c r="N8" s="7">
        <f ca="1">COUNTIFS($A$4:$A$39,"&gt;"&amp;E8-1,$C$4:$C$39,"&lt;&gt;"&amp;$C$4)</f>
        <v>0</v>
      </c>
      <c r="O8" s="7">
        <f ca="1">IF(N8&gt;0,1-M8/N8,0)</f>
        <v>0</v>
      </c>
      <c r="P8" s="7">
        <f ca="1">P7*O8</f>
        <v>0</v>
      </c>
      <c r="Q8" s="7">
        <f ca="1">IF(P8&gt;0,P8*SQRT(M8/(N8*(N8-M8))+(Q7/P7)^2),0)</f>
        <v>0</v>
      </c>
      <c r="R8" s="7" t="str">
        <f ca="1">IF(Q8&gt;0,P8^EXP(NORMSINV($K$3/2)/LN(P8)*Q8/P8),"")</f>
        <v/>
      </c>
      <c r="S8" s="43" t="str">
        <f ca="1">IF(Q8&gt;0,P8^EXP(-NORMSINV($K$3/2)/LN(P8)*Q8/P8),"")</f>
        <v/>
      </c>
      <c r="U8" t="e">
        <f t="array" aca="1" ref="U8:W12" ca="1">LOGRANK(F8:G19,M8:N19,TRUE)</f>
        <v>#NAME?</v>
      </c>
      <c r="V8" s="597" t="e">
        <f ca="1"/>
        <v>#NAME?</v>
      </c>
      <c r="W8" s="597" t="e">
        <f ca="1"/>
        <v>#NAME?</v>
      </c>
    </row>
    <row r="9" spans="1:23" x14ac:dyDescent="0.25">
      <c r="A9" s="569">
        <v>5</v>
      </c>
      <c r="B9" s="569">
        <v>0</v>
      </c>
      <c r="C9" s="569">
        <v>0</v>
      </c>
      <c r="E9" s="183" t="e">
        <f ca="1"/>
        <v>#NAME?</v>
      </c>
      <c r="F9" s="183">
        <f t="shared" ref="F9:F19" ca="1" si="0">COUNTIFS($A$4:$A$39,E9,$B$4:$B$39,1,$C$4:$C$39,$C$4)</f>
        <v>0</v>
      </c>
      <c r="G9" s="7">
        <f t="shared" ref="G9:G19" ca="1" si="1">COUNTIFS($A$4:$A$39,"&gt;"&amp;E9-1,$C$4:$C$39,$C$4)</f>
        <v>0</v>
      </c>
      <c r="H9" s="7">
        <f t="shared" ref="H9:H19" ca="1" si="2">IF(G9&gt;0,1-F9/G9,0)</f>
        <v>0</v>
      </c>
      <c r="I9" s="7">
        <f t="shared" ref="I9:I19" ca="1" si="3">I8*H9</f>
        <v>0</v>
      </c>
      <c r="J9" s="7">
        <f t="shared" ref="J9:J19" ca="1" si="4">IF(I9&gt;0,I9*SQRT(F9/(G9*(G9-F9))+(J8/I8)^2),0)</f>
        <v>0</v>
      </c>
      <c r="K9" s="7" t="str">
        <f ca="1">IF(J9&gt;0,I9^EXP(NORMSINV($K$3/2)/LN(I9)*J9/I9),"")</f>
        <v/>
      </c>
      <c r="L9" s="43" t="str">
        <f ca="1">IF(J9&gt;0,I9^EXP(-NORMSINV($K$3/2)/LN(I9)*J9/I9),"")</f>
        <v/>
      </c>
      <c r="M9" s="7">
        <f t="shared" ref="M9:M19" ca="1" si="5">COUNTIFS($A$4:$A$39,E9,$B$4:$B$39,1,$C$4:$C$39,"&lt;&gt;"&amp;$C$4)</f>
        <v>0</v>
      </c>
      <c r="N9" s="7">
        <f t="shared" ref="N9:N19" ca="1" si="6">COUNTIFS($A$4:$A$39,"&gt;"&amp;E9-1,$C$4:$C$39,"&lt;&gt;"&amp;$C$4)</f>
        <v>0</v>
      </c>
      <c r="O9" s="7">
        <f t="shared" ref="O9:O19" ca="1" si="7">IF(N9&gt;0,1-M9/N9,0)</f>
        <v>0</v>
      </c>
      <c r="P9" s="7">
        <f t="shared" ref="P9:P19" ca="1" si="8">P8*O9</f>
        <v>0</v>
      </c>
      <c r="Q9" s="7">
        <f t="shared" ref="Q9:Q19" ca="1" si="9">IF(P9&gt;0,P9*SQRT(M9/(N9*(N9-M9))+(Q8/P8)^2),0)</f>
        <v>0</v>
      </c>
      <c r="R9" s="7" t="str">
        <f t="shared" ref="R9:R19" ca="1" si="10">IF(Q9&gt;0,P9^EXP(NORMSINV($K$3/2)/LN(P9)*Q9/P9),"")</f>
        <v/>
      </c>
      <c r="S9" s="43" t="str">
        <f t="shared" ref="S9:S19" ca="1" si="11">IF(Q9&gt;0,P9^EXP(-NORMSINV($K$3/2)/LN(P9)*Q9/P9),"")</f>
        <v/>
      </c>
      <c r="U9" t="e">
        <f ca="1"/>
        <v>#NAME?</v>
      </c>
      <c r="V9" s="550" t="e">
        <f ca="1"/>
        <v>#NAME?</v>
      </c>
      <c r="W9" s="557" t="e">
        <f ca="1"/>
        <v>#NAME?</v>
      </c>
    </row>
    <row r="10" spans="1:23" x14ac:dyDescent="0.25">
      <c r="A10" s="569">
        <v>8</v>
      </c>
      <c r="B10" s="569">
        <v>1</v>
      </c>
      <c r="C10" s="569">
        <v>0</v>
      </c>
      <c r="E10" s="183" t="e">
        <f ca="1"/>
        <v>#NAME?</v>
      </c>
      <c r="F10" s="183">
        <f t="shared" ca="1" si="0"/>
        <v>0</v>
      </c>
      <c r="G10" s="7">
        <f t="shared" ca="1" si="1"/>
        <v>0</v>
      </c>
      <c r="H10" s="7">
        <f t="shared" ca="1" si="2"/>
        <v>0</v>
      </c>
      <c r="I10" s="7">
        <f t="shared" ca="1" si="3"/>
        <v>0</v>
      </c>
      <c r="J10" s="7">
        <f t="shared" ca="1" si="4"/>
        <v>0</v>
      </c>
      <c r="K10" s="7" t="str">
        <f t="shared" ref="K10:K19" ca="1" si="12">IF(J10&gt;0,I10^EXP(NORMSINV($K$3/2)/LN(I10)*J10/I10),"")</f>
        <v/>
      </c>
      <c r="L10" s="43" t="str">
        <f t="shared" ref="L10:L19" ca="1" si="13">IF(J10&gt;0,I10^EXP(-NORMSINV($K$3/2)/LN(I10)*J10/I10),"")</f>
        <v/>
      </c>
      <c r="M10" s="7">
        <f t="shared" ca="1" si="5"/>
        <v>0</v>
      </c>
      <c r="N10" s="7">
        <f t="shared" ca="1" si="6"/>
        <v>0</v>
      </c>
      <c r="O10" s="7">
        <f t="shared" ca="1" si="7"/>
        <v>0</v>
      </c>
      <c r="P10" s="7">
        <f t="shared" ca="1" si="8"/>
        <v>0</v>
      </c>
      <c r="Q10" s="7">
        <f t="shared" ca="1" si="9"/>
        <v>0</v>
      </c>
      <c r="R10" s="7" t="str">
        <f t="shared" ca="1" si="10"/>
        <v/>
      </c>
      <c r="S10" s="43" t="str">
        <f t="shared" ca="1" si="11"/>
        <v/>
      </c>
      <c r="U10" t="e">
        <f ca="1"/>
        <v>#NAME?</v>
      </c>
      <c r="V10" s="183" t="e">
        <f ca="1"/>
        <v>#NAME?</v>
      </c>
      <c r="W10" s="43" t="e">
        <f ca="1"/>
        <v>#NAME?</v>
      </c>
    </row>
    <row r="11" spans="1:23" x14ac:dyDescent="0.25">
      <c r="A11" s="569">
        <v>12</v>
      </c>
      <c r="B11" s="569">
        <v>1</v>
      </c>
      <c r="C11" s="569">
        <v>0</v>
      </c>
      <c r="E11" s="183" t="e">
        <f ca="1"/>
        <v>#NAME?</v>
      </c>
      <c r="F11" s="183">
        <f t="shared" ca="1" si="0"/>
        <v>0</v>
      </c>
      <c r="G11" s="7">
        <f t="shared" ca="1" si="1"/>
        <v>0</v>
      </c>
      <c r="H11" s="7">
        <f t="shared" ca="1" si="2"/>
        <v>0</v>
      </c>
      <c r="I11" s="7">
        <f t="shared" ca="1" si="3"/>
        <v>0</v>
      </c>
      <c r="J11" s="7">
        <f t="shared" ca="1" si="4"/>
        <v>0</v>
      </c>
      <c r="K11" s="7" t="str">
        <f t="shared" ca="1" si="12"/>
        <v/>
      </c>
      <c r="L11" s="43" t="str">
        <f t="shared" ca="1" si="13"/>
        <v/>
      </c>
      <c r="M11" s="7">
        <f t="shared" ca="1" si="5"/>
        <v>0</v>
      </c>
      <c r="N11" s="7">
        <f t="shared" ca="1" si="6"/>
        <v>0</v>
      </c>
      <c r="O11" s="7">
        <f t="shared" ca="1" si="7"/>
        <v>0</v>
      </c>
      <c r="P11" s="7">
        <f t="shared" ca="1" si="8"/>
        <v>0</v>
      </c>
      <c r="Q11" s="7">
        <f t="shared" ca="1" si="9"/>
        <v>0</v>
      </c>
      <c r="R11" s="7" t="str">
        <f t="shared" ca="1" si="10"/>
        <v/>
      </c>
      <c r="S11" s="43" t="str">
        <f t="shared" ca="1" si="11"/>
        <v/>
      </c>
      <c r="U11" t="e">
        <f ca="1"/>
        <v>#NAME?</v>
      </c>
      <c r="V11" s="183" t="e">
        <f ca="1"/>
        <v>#NAME?</v>
      </c>
      <c r="W11" s="43" t="e">
        <f ca="1"/>
        <v>#NAME?</v>
      </c>
    </row>
    <row r="12" spans="1:23" x14ac:dyDescent="0.25">
      <c r="A12" s="569">
        <v>15</v>
      </c>
      <c r="B12" s="569">
        <v>0</v>
      </c>
      <c r="C12" s="569">
        <v>0</v>
      </c>
      <c r="E12" s="183" t="e">
        <f ca="1"/>
        <v>#NAME?</v>
      </c>
      <c r="F12" s="183">
        <f t="shared" ca="1" si="0"/>
        <v>0</v>
      </c>
      <c r="G12" s="7">
        <f t="shared" ca="1" si="1"/>
        <v>0</v>
      </c>
      <c r="H12" s="7">
        <f t="shared" ca="1" si="2"/>
        <v>0</v>
      </c>
      <c r="I12" s="7">
        <f t="shared" ca="1" si="3"/>
        <v>0</v>
      </c>
      <c r="J12" s="7">
        <f t="shared" ca="1" si="4"/>
        <v>0</v>
      </c>
      <c r="K12" s="7" t="str">
        <f t="shared" ca="1" si="12"/>
        <v/>
      </c>
      <c r="L12" s="43" t="str">
        <f t="shared" ca="1" si="13"/>
        <v/>
      </c>
      <c r="M12" s="7">
        <f t="shared" ca="1" si="5"/>
        <v>0</v>
      </c>
      <c r="N12" s="7">
        <f t="shared" ca="1" si="6"/>
        <v>0</v>
      </c>
      <c r="O12" s="7">
        <f t="shared" ca="1" si="7"/>
        <v>0</v>
      </c>
      <c r="P12" s="7">
        <f t="shared" ca="1" si="8"/>
        <v>0</v>
      </c>
      <c r="Q12" s="7">
        <f t="shared" ca="1" si="9"/>
        <v>0</v>
      </c>
      <c r="R12" s="7" t="str">
        <f t="shared" ca="1" si="10"/>
        <v/>
      </c>
      <c r="S12" s="43" t="str">
        <f t="shared" ca="1" si="11"/>
        <v/>
      </c>
      <c r="U12" t="e">
        <f ca="1"/>
        <v>#NAME?</v>
      </c>
      <c r="V12" s="351" t="e">
        <f ca="1"/>
        <v>#NAME?</v>
      </c>
      <c r="W12" s="353" t="e">
        <f ca="1"/>
        <v>#NAME?</v>
      </c>
    </row>
    <row r="13" spans="1:23" x14ac:dyDescent="0.25">
      <c r="A13" s="569">
        <v>14</v>
      </c>
      <c r="B13" s="569">
        <v>0</v>
      </c>
      <c r="C13" s="569">
        <v>0</v>
      </c>
      <c r="E13" s="183" t="e">
        <f ca="1"/>
        <v>#NAME?</v>
      </c>
      <c r="F13" s="183">
        <f t="shared" ca="1" si="0"/>
        <v>0</v>
      </c>
      <c r="G13" s="7">
        <f t="shared" ca="1" si="1"/>
        <v>0</v>
      </c>
      <c r="H13" s="7">
        <f t="shared" ca="1" si="2"/>
        <v>0</v>
      </c>
      <c r="I13" s="7">
        <f t="shared" ca="1" si="3"/>
        <v>0</v>
      </c>
      <c r="J13" s="7">
        <f t="shared" ca="1" si="4"/>
        <v>0</v>
      </c>
      <c r="K13" s="7" t="str">
        <f t="shared" ca="1" si="12"/>
        <v/>
      </c>
      <c r="L13" s="43" t="str">
        <f t="shared" ca="1" si="13"/>
        <v/>
      </c>
      <c r="M13" s="7">
        <f t="shared" ca="1" si="5"/>
        <v>0</v>
      </c>
      <c r="N13" s="7">
        <f t="shared" ca="1" si="6"/>
        <v>0</v>
      </c>
      <c r="O13" s="7">
        <f t="shared" ca="1" si="7"/>
        <v>0</v>
      </c>
      <c r="P13" s="7">
        <f t="shared" ca="1" si="8"/>
        <v>0</v>
      </c>
      <c r="Q13" s="7">
        <f t="shared" ca="1" si="9"/>
        <v>0</v>
      </c>
      <c r="R13" s="7" t="str">
        <f t="shared" ca="1" si="10"/>
        <v/>
      </c>
      <c r="S13" s="43" t="str">
        <f t="shared" ca="1" si="11"/>
        <v/>
      </c>
    </row>
    <row r="14" spans="1:23" x14ac:dyDescent="0.25">
      <c r="A14" s="569">
        <v>2</v>
      </c>
      <c r="B14" s="569">
        <v>1</v>
      </c>
      <c r="C14" s="569">
        <v>0</v>
      </c>
      <c r="E14" s="183" t="e">
        <f ca="1"/>
        <v>#NAME?</v>
      </c>
      <c r="F14" s="183">
        <f t="shared" ca="1" si="0"/>
        <v>0</v>
      </c>
      <c r="G14" s="7">
        <f t="shared" ca="1" si="1"/>
        <v>0</v>
      </c>
      <c r="H14" s="7">
        <f t="shared" ca="1" si="2"/>
        <v>0</v>
      </c>
      <c r="I14" s="7">
        <f t="shared" ca="1" si="3"/>
        <v>0</v>
      </c>
      <c r="J14" s="7">
        <f t="shared" ca="1" si="4"/>
        <v>0</v>
      </c>
      <c r="K14" s="7" t="str">
        <f t="shared" ca="1" si="12"/>
        <v/>
      </c>
      <c r="L14" s="43" t="str">
        <f t="shared" ca="1" si="13"/>
        <v/>
      </c>
      <c r="M14" s="7">
        <f t="shared" ca="1" si="5"/>
        <v>0</v>
      </c>
      <c r="N14" s="7">
        <f t="shared" ca="1" si="6"/>
        <v>0</v>
      </c>
      <c r="O14" s="7">
        <f t="shared" ca="1" si="7"/>
        <v>0</v>
      </c>
      <c r="P14" s="7">
        <f t="shared" ca="1" si="8"/>
        <v>0</v>
      </c>
      <c r="Q14" s="7">
        <f t="shared" ca="1" si="9"/>
        <v>0</v>
      </c>
      <c r="R14" s="7" t="str">
        <f t="shared" ca="1" si="10"/>
        <v/>
      </c>
      <c r="S14" s="43" t="str">
        <f t="shared" ca="1" si="11"/>
        <v/>
      </c>
    </row>
    <row r="15" spans="1:23" x14ac:dyDescent="0.25">
      <c r="A15" s="569">
        <v>11</v>
      </c>
      <c r="B15" s="569">
        <v>1</v>
      </c>
      <c r="C15" s="569">
        <v>0</v>
      </c>
      <c r="E15" s="183" t="e">
        <f ca="1"/>
        <v>#NAME?</v>
      </c>
      <c r="F15" s="183">
        <f t="shared" ca="1" si="0"/>
        <v>0</v>
      </c>
      <c r="G15" s="7">
        <f t="shared" ca="1" si="1"/>
        <v>0</v>
      </c>
      <c r="H15" s="7">
        <f t="shared" ca="1" si="2"/>
        <v>0</v>
      </c>
      <c r="I15" s="7">
        <f t="shared" ca="1" si="3"/>
        <v>0</v>
      </c>
      <c r="J15" s="7">
        <f t="shared" ca="1" si="4"/>
        <v>0</v>
      </c>
      <c r="K15" s="7" t="str">
        <f t="shared" ca="1" si="12"/>
        <v/>
      </c>
      <c r="L15" s="43" t="str">
        <f t="shared" ca="1" si="13"/>
        <v/>
      </c>
      <c r="M15" s="7">
        <f t="shared" ca="1" si="5"/>
        <v>0</v>
      </c>
      <c r="N15" s="7">
        <f t="shared" ca="1" si="6"/>
        <v>0</v>
      </c>
      <c r="O15" s="7">
        <f t="shared" ca="1" si="7"/>
        <v>0</v>
      </c>
      <c r="P15" s="7">
        <f t="shared" ca="1" si="8"/>
        <v>0</v>
      </c>
      <c r="Q15" s="7">
        <f t="shared" ca="1" si="9"/>
        <v>0</v>
      </c>
      <c r="R15" s="7" t="str">
        <f t="shared" ca="1" si="10"/>
        <v/>
      </c>
      <c r="S15" s="43" t="str">
        <f t="shared" ca="1" si="11"/>
        <v/>
      </c>
    </row>
    <row r="16" spans="1:23" x14ac:dyDescent="0.25">
      <c r="A16" s="569">
        <v>10</v>
      </c>
      <c r="B16" s="569">
        <v>0</v>
      </c>
      <c r="C16" s="569">
        <v>0</v>
      </c>
      <c r="E16" s="183" t="e">
        <f ca="1"/>
        <v>#NAME?</v>
      </c>
      <c r="F16" s="183">
        <f t="shared" ca="1" si="0"/>
        <v>0</v>
      </c>
      <c r="G16" s="7">
        <f t="shared" ca="1" si="1"/>
        <v>0</v>
      </c>
      <c r="H16" s="7">
        <f t="shared" ca="1" si="2"/>
        <v>0</v>
      </c>
      <c r="I16" s="7">
        <f t="shared" ca="1" si="3"/>
        <v>0</v>
      </c>
      <c r="J16" s="7">
        <f t="shared" ca="1" si="4"/>
        <v>0</v>
      </c>
      <c r="K16" s="7" t="str">
        <f t="shared" ca="1" si="12"/>
        <v/>
      </c>
      <c r="L16" s="43" t="str">
        <f t="shared" ca="1" si="13"/>
        <v/>
      </c>
      <c r="M16" s="7">
        <f t="shared" ca="1" si="5"/>
        <v>0</v>
      </c>
      <c r="N16" s="7">
        <f t="shared" ca="1" si="6"/>
        <v>0</v>
      </c>
      <c r="O16" s="7">
        <f t="shared" ca="1" si="7"/>
        <v>0</v>
      </c>
      <c r="P16" s="7">
        <f t="shared" ca="1" si="8"/>
        <v>0</v>
      </c>
      <c r="Q16" s="7">
        <f t="shared" ca="1" si="9"/>
        <v>0</v>
      </c>
      <c r="R16" s="7" t="str">
        <f t="shared" ca="1" si="10"/>
        <v/>
      </c>
      <c r="S16" s="43" t="str">
        <f t="shared" ca="1" si="11"/>
        <v/>
      </c>
    </row>
    <row r="17" spans="1:19" x14ac:dyDescent="0.25">
      <c r="A17" s="569">
        <v>9</v>
      </c>
      <c r="B17" s="569">
        <v>0</v>
      </c>
      <c r="C17" s="569">
        <v>0</v>
      </c>
      <c r="E17" s="183" t="e">
        <f ca="1"/>
        <v>#NAME?</v>
      </c>
      <c r="F17" s="183">
        <f t="shared" ca="1" si="0"/>
        <v>0</v>
      </c>
      <c r="G17" s="7">
        <f t="shared" ca="1" si="1"/>
        <v>0</v>
      </c>
      <c r="H17" s="7">
        <f t="shared" ca="1" si="2"/>
        <v>0</v>
      </c>
      <c r="I17" s="7">
        <f t="shared" ca="1" si="3"/>
        <v>0</v>
      </c>
      <c r="J17" s="7">
        <f t="shared" ca="1" si="4"/>
        <v>0</v>
      </c>
      <c r="K17" s="7" t="str">
        <f t="shared" ca="1" si="12"/>
        <v/>
      </c>
      <c r="L17" s="43" t="str">
        <f t="shared" ca="1" si="13"/>
        <v/>
      </c>
      <c r="M17" s="7">
        <f t="shared" ca="1" si="5"/>
        <v>0</v>
      </c>
      <c r="N17" s="7">
        <f t="shared" ca="1" si="6"/>
        <v>0</v>
      </c>
      <c r="O17" s="7">
        <f t="shared" ca="1" si="7"/>
        <v>0</v>
      </c>
      <c r="P17" s="7">
        <f t="shared" ca="1" si="8"/>
        <v>0</v>
      </c>
      <c r="Q17" s="7">
        <f t="shared" ca="1" si="9"/>
        <v>0</v>
      </c>
      <c r="R17" s="7" t="str">
        <f t="shared" ca="1" si="10"/>
        <v/>
      </c>
      <c r="S17" s="43" t="str">
        <f t="shared" ca="1" si="11"/>
        <v/>
      </c>
    </row>
    <row r="18" spans="1:19" x14ac:dyDescent="0.25">
      <c r="A18" s="569">
        <v>12</v>
      </c>
      <c r="B18" s="569">
        <v>1</v>
      </c>
      <c r="C18" s="569">
        <v>0</v>
      </c>
      <c r="E18" s="183" t="e">
        <f ca="1"/>
        <v>#NAME?</v>
      </c>
      <c r="F18" s="183">
        <f t="shared" ca="1" si="0"/>
        <v>0</v>
      </c>
      <c r="G18" s="7">
        <f t="shared" ca="1" si="1"/>
        <v>0</v>
      </c>
      <c r="H18" s="7">
        <f t="shared" ca="1" si="2"/>
        <v>0</v>
      </c>
      <c r="I18" s="7">
        <f t="shared" ca="1" si="3"/>
        <v>0</v>
      </c>
      <c r="J18" s="7">
        <f t="shared" ca="1" si="4"/>
        <v>0</v>
      </c>
      <c r="K18" s="7" t="str">
        <f t="shared" ca="1" si="12"/>
        <v/>
      </c>
      <c r="L18" s="43" t="str">
        <f t="shared" ca="1" si="13"/>
        <v/>
      </c>
      <c r="M18" s="7">
        <f t="shared" ca="1" si="5"/>
        <v>0</v>
      </c>
      <c r="N18" s="7">
        <f t="shared" ca="1" si="6"/>
        <v>0</v>
      </c>
      <c r="O18" s="7">
        <f t="shared" ca="1" si="7"/>
        <v>0</v>
      </c>
      <c r="P18" s="7">
        <f t="shared" ca="1" si="8"/>
        <v>0</v>
      </c>
      <c r="Q18" s="7">
        <f t="shared" ca="1" si="9"/>
        <v>0</v>
      </c>
      <c r="R18" s="7" t="str">
        <f t="shared" ca="1" si="10"/>
        <v/>
      </c>
      <c r="S18" s="43" t="str">
        <f t="shared" ca="1" si="11"/>
        <v/>
      </c>
    </row>
    <row r="19" spans="1:19" x14ac:dyDescent="0.25">
      <c r="A19" s="569">
        <v>5</v>
      </c>
      <c r="B19" s="569">
        <v>1</v>
      </c>
      <c r="C19" s="569">
        <v>0</v>
      </c>
      <c r="E19" s="351" t="e">
        <f ca="1"/>
        <v>#NAME?</v>
      </c>
      <c r="F19" s="351">
        <f t="shared" ca="1" si="0"/>
        <v>0</v>
      </c>
      <c r="G19" s="352">
        <f t="shared" ca="1" si="1"/>
        <v>0</v>
      </c>
      <c r="H19" s="352">
        <f t="shared" ca="1" si="2"/>
        <v>0</v>
      </c>
      <c r="I19" s="352">
        <f t="shared" ca="1" si="3"/>
        <v>0</v>
      </c>
      <c r="J19" s="354">
        <f t="shared" ca="1" si="4"/>
        <v>0</v>
      </c>
      <c r="K19" s="354" t="str">
        <f t="shared" ca="1" si="12"/>
        <v/>
      </c>
      <c r="L19" s="699" t="str">
        <f t="shared" ca="1" si="13"/>
        <v/>
      </c>
      <c r="M19" s="352">
        <f t="shared" ca="1" si="5"/>
        <v>0</v>
      </c>
      <c r="N19" s="352">
        <f t="shared" ca="1" si="6"/>
        <v>0</v>
      </c>
      <c r="O19" s="352">
        <f t="shared" ca="1" si="7"/>
        <v>0</v>
      </c>
      <c r="P19" s="352">
        <f t="shared" ca="1" si="8"/>
        <v>0</v>
      </c>
      <c r="Q19" s="354">
        <f t="shared" ca="1" si="9"/>
        <v>0</v>
      </c>
      <c r="R19" s="354" t="str">
        <f t="shared" ca="1" si="10"/>
        <v/>
      </c>
      <c r="S19" s="699" t="str">
        <f t="shared" ca="1" si="11"/>
        <v/>
      </c>
    </row>
    <row r="20" spans="1:19" x14ac:dyDescent="0.25">
      <c r="A20" s="569">
        <v>8</v>
      </c>
      <c r="B20" s="569">
        <v>1</v>
      </c>
      <c r="C20" s="569">
        <v>0</v>
      </c>
    </row>
    <row r="21" spans="1:19" x14ac:dyDescent="0.25">
      <c r="A21" s="570">
        <v>11</v>
      </c>
      <c r="B21" s="570">
        <v>1</v>
      </c>
      <c r="C21" s="570">
        <v>0</v>
      </c>
    </row>
    <row r="22" spans="1:19" x14ac:dyDescent="0.25">
      <c r="A22" s="569">
        <v>1</v>
      </c>
      <c r="B22" s="569">
        <v>1</v>
      </c>
      <c r="C22" s="569">
        <v>1</v>
      </c>
    </row>
    <row r="23" spans="1:19" x14ac:dyDescent="0.25">
      <c r="A23" s="569">
        <v>4</v>
      </c>
      <c r="B23" s="569">
        <v>1</v>
      </c>
      <c r="C23" s="569">
        <v>1</v>
      </c>
    </row>
    <row r="24" spans="1:19" x14ac:dyDescent="0.25">
      <c r="A24" s="569">
        <v>9</v>
      </c>
      <c r="B24" s="569">
        <v>0</v>
      </c>
      <c r="C24" s="569">
        <v>1</v>
      </c>
    </row>
    <row r="25" spans="1:19" x14ac:dyDescent="0.25">
      <c r="A25" s="569">
        <v>10</v>
      </c>
      <c r="B25" s="569">
        <v>0</v>
      </c>
      <c r="C25" s="569">
        <v>1</v>
      </c>
    </row>
    <row r="26" spans="1:19" x14ac:dyDescent="0.25">
      <c r="A26" s="569">
        <v>6</v>
      </c>
      <c r="B26" s="569">
        <v>1</v>
      </c>
      <c r="C26" s="569">
        <v>1</v>
      </c>
    </row>
    <row r="27" spans="1:19" x14ac:dyDescent="0.25">
      <c r="A27" s="569">
        <v>6</v>
      </c>
      <c r="B27" s="569">
        <v>0</v>
      </c>
      <c r="C27" s="569">
        <v>1</v>
      </c>
    </row>
    <row r="28" spans="1:19" x14ac:dyDescent="0.25">
      <c r="A28" s="569">
        <v>10</v>
      </c>
      <c r="B28" s="569">
        <v>1</v>
      </c>
      <c r="C28" s="569">
        <v>1</v>
      </c>
    </row>
    <row r="29" spans="1:19" x14ac:dyDescent="0.25">
      <c r="A29" s="569">
        <v>10</v>
      </c>
      <c r="B29" s="569">
        <v>1</v>
      </c>
      <c r="C29" s="569">
        <v>1</v>
      </c>
    </row>
    <row r="30" spans="1:19" x14ac:dyDescent="0.25">
      <c r="A30" s="569">
        <v>12</v>
      </c>
      <c r="B30" s="569">
        <v>0</v>
      </c>
      <c r="C30" s="569">
        <v>1</v>
      </c>
    </row>
    <row r="31" spans="1:19" x14ac:dyDescent="0.25">
      <c r="A31" s="569">
        <v>13</v>
      </c>
      <c r="B31" s="569">
        <v>0</v>
      </c>
      <c r="C31" s="569">
        <v>1</v>
      </c>
    </row>
    <row r="32" spans="1:19" x14ac:dyDescent="0.25">
      <c r="A32" s="569">
        <v>3</v>
      </c>
      <c r="B32" s="569">
        <v>1</v>
      </c>
      <c r="C32" s="569">
        <v>1</v>
      </c>
    </row>
    <row r="33" spans="1:3" x14ac:dyDescent="0.25">
      <c r="A33" s="569">
        <v>13</v>
      </c>
      <c r="B33" s="569">
        <v>0</v>
      </c>
      <c r="C33" s="569">
        <v>1</v>
      </c>
    </row>
    <row r="34" spans="1:3" x14ac:dyDescent="0.25">
      <c r="A34" s="569">
        <v>8</v>
      </c>
      <c r="B34" s="569">
        <v>0</v>
      </c>
      <c r="C34" s="569">
        <v>1</v>
      </c>
    </row>
    <row r="35" spans="1:3" x14ac:dyDescent="0.25">
      <c r="A35" s="569">
        <v>10</v>
      </c>
      <c r="B35" s="569">
        <v>0</v>
      </c>
      <c r="C35" s="569">
        <v>1</v>
      </c>
    </row>
    <row r="36" spans="1:3" x14ac:dyDescent="0.25">
      <c r="A36" s="569">
        <v>13</v>
      </c>
      <c r="B36" s="569">
        <v>1</v>
      </c>
      <c r="C36" s="569">
        <v>1</v>
      </c>
    </row>
    <row r="37" spans="1:3" x14ac:dyDescent="0.25">
      <c r="A37" s="569">
        <v>6</v>
      </c>
      <c r="B37" s="569">
        <v>0</v>
      </c>
      <c r="C37" s="569">
        <v>1</v>
      </c>
    </row>
    <row r="38" spans="1:3" x14ac:dyDescent="0.25">
      <c r="A38" s="569">
        <v>8</v>
      </c>
      <c r="B38" s="569">
        <v>1</v>
      </c>
      <c r="C38" s="569">
        <v>1</v>
      </c>
    </row>
    <row r="39" spans="1:3" x14ac:dyDescent="0.25">
      <c r="A39" s="570">
        <v>12</v>
      </c>
      <c r="B39" s="570">
        <v>0</v>
      </c>
      <c r="C39" s="570">
        <v>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T34"/>
  <sheetViews>
    <sheetView topLeftCell="A8" workbookViewId="0"/>
  </sheetViews>
  <sheetFormatPr defaultRowHeight="15" x14ac:dyDescent="0.25"/>
  <cols>
    <col min="1" max="1" width="10.42578125" customWidth="1"/>
    <col min="2" max="2" width="6.7109375" customWidth="1"/>
    <col min="3" max="3" width="4.28515625" customWidth="1"/>
    <col min="4" max="4" width="10.42578125" customWidth="1"/>
    <col min="5" max="5" width="6.7109375" customWidth="1"/>
    <col min="7" max="8" width="5.7109375" customWidth="1"/>
    <col min="11" max="12" width="5.7109375" customWidth="1"/>
    <col min="33" max="33" width="5.85546875" customWidth="1"/>
    <col min="34" max="35" width="9.140625" customWidth="1"/>
    <col min="37" max="38" width="9.140625" customWidth="1"/>
    <col min="40" max="41" width="9.140625" customWidth="1"/>
    <col min="42" max="42" width="6.7109375" customWidth="1"/>
    <col min="45" max="45" width="4" customWidth="1"/>
    <col min="46" max="46" width="40.140625" customWidth="1"/>
  </cols>
  <sheetData>
    <row r="1" spans="1:46" x14ac:dyDescent="0.25">
      <c r="A1" s="1" t="s">
        <v>1259</v>
      </c>
    </row>
    <row r="3" spans="1:46" x14ac:dyDescent="0.25">
      <c r="A3" s="773" t="s">
        <v>1260</v>
      </c>
      <c r="B3" s="773"/>
      <c r="D3" s="773" t="s">
        <v>1261</v>
      </c>
      <c r="E3" s="773"/>
    </row>
    <row r="4" spans="1:46" x14ac:dyDescent="0.25">
      <c r="G4" s="773" t="s">
        <v>1260</v>
      </c>
      <c r="H4" s="773"/>
      <c r="I4" s="773"/>
      <c r="J4" s="773"/>
      <c r="K4" s="773" t="s">
        <v>1261</v>
      </c>
      <c r="L4" s="773"/>
      <c r="M4" s="773"/>
      <c r="N4" s="773"/>
    </row>
    <row r="5" spans="1:46" x14ac:dyDescent="0.25">
      <c r="A5" s="563" t="s">
        <v>1256</v>
      </c>
      <c r="B5" s="563" t="s">
        <v>620</v>
      </c>
      <c r="C5" s="565"/>
      <c r="D5" s="563" t="s">
        <v>1256</v>
      </c>
      <c r="E5" s="563" t="s">
        <v>620</v>
      </c>
      <c r="F5" s="21" t="s">
        <v>44</v>
      </c>
      <c r="G5" s="572" t="s">
        <v>28</v>
      </c>
      <c r="H5" s="571" t="s">
        <v>17</v>
      </c>
      <c r="I5" s="571" t="s">
        <v>1257</v>
      </c>
      <c r="J5" s="571" t="s">
        <v>1258</v>
      </c>
      <c r="K5" s="572" t="s">
        <v>28</v>
      </c>
      <c r="L5" s="571" t="s">
        <v>17</v>
      </c>
      <c r="M5" s="571" t="s">
        <v>1257</v>
      </c>
      <c r="N5" s="573" t="s">
        <v>1258</v>
      </c>
      <c r="P5" s="12" t="s">
        <v>44</v>
      </c>
      <c r="Q5" s="12" t="s">
        <v>109</v>
      </c>
      <c r="R5" s="12" t="s">
        <v>95</v>
      </c>
      <c r="U5" s="12" t="s">
        <v>44</v>
      </c>
      <c r="V5" s="12" t="s">
        <v>109</v>
      </c>
      <c r="W5" s="12" t="s">
        <v>95</v>
      </c>
      <c r="AH5" s="773" t="s">
        <v>1260</v>
      </c>
      <c r="AI5" s="773"/>
      <c r="AJ5" s="773"/>
      <c r="AK5" s="773" t="s">
        <v>1261</v>
      </c>
      <c r="AL5" s="773"/>
      <c r="AM5" s="773"/>
      <c r="AN5" s="773" t="s">
        <v>1262</v>
      </c>
      <c r="AO5" s="773"/>
    </row>
    <row r="6" spans="1:46" x14ac:dyDescent="0.25">
      <c r="A6" s="565">
        <v>3</v>
      </c>
      <c r="B6" s="565">
        <v>1</v>
      </c>
      <c r="C6" s="565"/>
      <c r="D6" s="565">
        <v>1</v>
      </c>
      <c r="E6" s="565">
        <v>1</v>
      </c>
      <c r="F6">
        <v>0</v>
      </c>
      <c r="G6" s="554"/>
      <c r="H6" s="387">
        <f t="shared" ref="H6:H17" si="0">COUNTIF($A$6:$A$23, "&gt;"&amp;F6-1)</f>
        <v>18</v>
      </c>
      <c r="I6" s="387"/>
      <c r="J6" s="387">
        <v>1</v>
      </c>
      <c r="K6" s="554"/>
      <c r="L6" s="387">
        <f t="shared" ref="L6:L18" si="1">COUNTIF($D$6:$D$23, "&gt;"&amp;F6-1)</f>
        <v>18</v>
      </c>
      <c r="M6" s="387"/>
      <c r="N6" s="555">
        <v>1</v>
      </c>
      <c r="P6">
        <v>0</v>
      </c>
      <c r="Q6">
        <v>1</v>
      </c>
      <c r="R6">
        <v>1</v>
      </c>
      <c r="S6">
        <v>1</v>
      </c>
      <c r="U6">
        <v>0</v>
      </c>
      <c r="V6" s="554">
        <v>1</v>
      </c>
      <c r="W6" s="555">
        <v>1</v>
      </c>
      <c r="AG6" s="21" t="s">
        <v>44</v>
      </c>
      <c r="AH6" s="562" t="s">
        <v>28</v>
      </c>
      <c r="AI6" s="563" t="s">
        <v>17</v>
      </c>
      <c r="AJ6" s="563" t="s">
        <v>1274</v>
      </c>
      <c r="AK6" s="562" t="s">
        <v>28</v>
      </c>
      <c r="AL6" s="563" t="s">
        <v>17</v>
      </c>
      <c r="AM6" s="564" t="s">
        <v>1274</v>
      </c>
      <c r="AN6" s="563" t="s">
        <v>28</v>
      </c>
      <c r="AO6" s="564" t="s">
        <v>17</v>
      </c>
      <c r="AQ6" s="52" t="s">
        <v>71</v>
      </c>
      <c r="AR6" s="574">
        <f>(AH20-AJ20)^2/AJ20+(AK20-AM20)^2/AM20</f>
        <v>0.94371601891821699</v>
      </c>
      <c r="AT6" t="e">
        <f ca="1">FTEXT(AR6)</f>
        <v>#NAME?</v>
      </c>
    </row>
    <row r="7" spans="1:46" x14ac:dyDescent="0.25">
      <c r="A7" s="565">
        <v>5</v>
      </c>
      <c r="B7" s="565">
        <v>1</v>
      </c>
      <c r="C7" s="565"/>
      <c r="D7" s="565">
        <v>4</v>
      </c>
      <c r="E7" s="565">
        <v>1</v>
      </c>
      <c r="F7">
        <v>1</v>
      </c>
      <c r="G7" s="214">
        <f t="shared" ref="G7:G17" si="2">COUNTIFS($A$6:$A$23,F7,$B$6:$B$23,1)</f>
        <v>0</v>
      </c>
      <c r="H7" s="7">
        <f t="shared" si="0"/>
        <v>18</v>
      </c>
      <c r="I7" s="7">
        <f t="shared" ref="I7:I17" si="3">1-G7/H7</f>
        <v>1</v>
      </c>
      <c r="J7" s="7">
        <f t="shared" ref="J7:J17" si="4">J6*I7</f>
        <v>1</v>
      </c>
      <c r="K7" s="214">
        <f t="shared" ref="K7:K18" si="5">COUNTIFS($D$6:$D$23,F7,$E$6:$E$23,1)</f>
        <v>1</v>
      </c>
      <c r="L7" s="7">
        <f t="shared" si="1"/>
        <v>18</v>
      </c>
      <c r="M7" s="7">
        <f t="shared" ref="M7:M18" si="6">1-K7/L7</f>
        <v>0.94444444444444442</v>
      </c>
      <c r="N7" s="215">
        <f t="shared" ref="N7:N18" si="7">N6*M7</f>
        <v>0.94444444444444442</v>
      </c>
      <c r="P7">
        <v>1</v>
      </c>
      <c r="Q7">
        <v>1</v>
      </c>
      <c r="R7">
        <v>0.94444444444444442</v>
      </c>
      <c r="S7">
        <v>2</v>
      </c>
      <c r="U7">
        <v>1</v>
      </c>
      <c r="V7" s="214">
        <v>1</v>
      </c>
      <c r="W7" s="215">
        <v>1</v>
      </c>
      <c r="AG7">
        <v>0</v>
      </c>
      <c r="AH7" s="575"/>
      <c r="AI7" s="413">
        <f t="shared" ref="AI7:AI18" si="8">COUNTIF($A$6:$A$23, "&gt;"&amp;AG7-1)</f>
        <v>18</v>
      </c>
      <c r="AJ7" s="555">
        <f>AI7/AO7*AN7</f>
        <v>0</v>
      </c>
      <c r="AK7" s="575"/>
      <c r="AL7" s="413">
        <f t="shared" ref="AL7:AL19" si="9">COUNTIF($D$6:$D$23, "&gt;"&amp;AG7-1)</f>
        <v>18</v>
      </c>
      <c r="AM7" s="555">
        <f>AN7-AJ7</f>
        <v>0</v>
      </c>
      <c r="AN7" s="575">
        <f>AH7+AK7</f>
        <v>0</v>
      </c>
      <c r="AO7" s="576">
        <f>AI7+AL7</f>
        <v>36</v>
      </c>
      <c r="AQ7" t="s">
        <v>41</v>
      </c>
      <c r="AR7" s="185">
        <v>1</v>
      </c>
      <c r="AT7" t="e">
        <f ca="1">FTEXT(AR7)</f>
        <v>#NAME?</v>
      </c>
    </row>
    <row r="8" spans="1:46" x14ac:dyDescent="0.25">
      <c r="A8" s="565">
        <v>8</v>
      </c>
      <c r="B8" s="565">
        <v>1</v>
      </c>
      <c r="C8" s="565"/>
      <c r="D8" s="565">
        <v>9</v>
      </c>
      <c r="E8" s="565">
        <v>0</v>
      </c>
      <c r="F8">
        <v>2</v>
      </c>
      <c r="G8" s="214">
        <f t="shared" si="2"/>
        <v>1</v>
      </c>
      <c r="H8" s="7">
        <f t="shared" si="0"/>
        <v>18</v>
      </c>
      <c r="I8" s="7">
        <f t="shared" si="3"/>
        <v>0.94444444444444442</v>
      </c>
      <c r="J8" s="7">
        <f t="shared" si="4"/>
        <v>0.94444444444444442</v>
      </c>
      <c r="K8" s="214">
        <f t="shared" si="5"/>
        <v>0</v>
      </c>
      <c r="L8" s="7">
        <f t="shared" si="1"/>
        <v>17</v>
      </c>
      <c r="M8" s="7">
        <f t="shared" si="6"/>
        <v>1</v>
      </c>
      <c r="N8" s="215">
        <f t="shared" si="7"/>
        <v>0.94444444444444442</v>
      </c>
      <c r="P8">
        <v>2</v>
      </c>
      <c r="Q8">
        <v>0.94444444444444442</v>
      </c>
      <c r="R8">
        <v>0.94444444444444442</v>
      </c>
      <c r="S8">
        <v>3</v>
      </c>
      <c r="U8">
        <v>1</v>
      </c>
      <c r="V8" s="214">
        <v>1</v>
      </c>
      <c r="W8" s="215">
        <v>0.94444444444444442</v>
      </c>
      <c r="AG8">
        <v>1</v>
      </c>
      <c r="AH8" s="222">
        <f t="shared" ref="AH8:AH18" si="10">COUNTIFS($A$6:$A$23,AG8,$B$6:$B$23,1)</f>
        <v>0</v>
      </c>
      <c r="AI8" s="566">
        <f t="shared" si="8"/>
        <v>18</v>
      </c>
      <c r="AJ8" s="215">
        <f t="shared" ref="AJ8:AJ19" si="11">AI8/AO8*AN8</f>
        <v>0.5</v>
      </c>
      <c r="AK8" s="222">
        <f t="shared" ref="AK8:AK19" si="12">COUNTIFS($D$6:$D$23,AG8,$E$6:$E$23,1)</f>
        <v>1</v>
      </c>
      <c r="AL8" s="566">
        <f t="shared" si="9"/>
        <v>18</v>
      </c>
      <c r="AM8" s="215">
        <f t="shared" ref="AM8:AM19" si="13">AN8-AJ8</f>
        <v>0.5</v>
      </c>
      <c r="AN8" s="222">
        <f t="shared" ref="AN8:AO19" si="14">AH8+AK8</f>
        <v>1</v>
      </c>
      <c r="AO8" s="176">
        <f t="shared" si="14"/>
        <v>36</v>
      </c>
      <c r="AQ8" t="s">
        <v>48</v>
      </c>
      <c r="AR8" s="123">
        <f>CHIDIST(AR6,AR7)</f>
        <v>0.33132400545242796</v>
      </c>
      <c r="AT8" t="e">
        <f ca="1">FTEXT(AR8)</f>
        <v>#NAME?</v>
      </c>
    </row>
    <row r="9" spans="1:46" x14ac:dyDescent="0.25">
      <c r="A9" s="565">
        <v>10</v>
      </c>
      <c r="B9" s="565">
        <v>0</v>
      </c>
      <c r="C9" s="565"/>
      <c r="D9" s="565">
        <v>10</v>
      </c>
      <c r="E9" s="565">
        <v>0</v>
      </c>
      <c r="F9">
        <v>3</v>
      </c>
      <c r="G9" s="214">
        <f t="shared" si="2"/>
        <v>1</v>
      </c>
      <c r="H9" s="7">
        <f t="shared" si="0"/>
        <v>17</v>
      </c>
      <c r="I9" s="7">
        <f t="shared" si="3"/>
        <v>0.94117647058823528</v>
      </c>
      <c r="J9" s="7">
        <f t="shared" si="4"/>
        <v>0.88888888888888884</v>
      </c>
      <c r="K9" s="214">
        <f t="shared" si="5"/>
        <v>1</v>
      </c>
      <c r="L9" s="7">
        <f t="shared" si="1"/>
        <v>17</v>
      </c>
      <c r="M9" s="7">
        <f t="shared" si="6"/>
        <v>0.94117647058823528</v>
      </c>
      <c r="N9" s="215">
        <f t="shared" si="7"/>
        <v>0.88888888888888884</v>
      </c>
      <c r="P9">
        <v>3</v>
      </c>
      <c r="Q9">
        <v>0.88888888888888884</v>
      </c>
      <c r="R9">
        <v>0.88888888888888884</v>
      </c>
      <c r="S9">
        <v>4</v>
      </c>
      <c r="U9">
        <v>2</v>
      </c>
      <c r="V9" s="214">
        <v>1</v>
      </c>
      <c r="W9" s="215">
        <v>0.94444444444444442</v>
      </c>
      <c r="AG9">
        <v>2</v>
      </c>
      <c r="AH9" s="222">
        <f t="shared" si="10"/>
        <v>1</v>
      </c>
      <c r="AI9" s="566">
        <f t="shared" si="8"/>
        <v>18</v>
      </c>
      <c r="AJ9" s="215">
        <f>AI9/AO9*AN9</f>
        <v>0.51428571428571423</v>
      </c>
      <c r="AK9" s="222">
        <f t="shared" si="12"/>
        <v>0</v>
      </c>
      <c r="AL9" s="566">
        <f t="shared" si="9"/>
        <v>17</v>
      </c>
      <c r="AM9" s="215">
        <f t="shared" si="13"/>
        <v>0.48571428571428577</v>
      </c>
      <c r="AN9" s="222">
        <f t="shared" si="14"/>
        <v>1</v>
      </c>
      <c r="AO9" s="176">
        <f t="shared" si="14"/>
        <v>35</v>
      </c>
    </row>
    <row r="10" spans="1:46" x14ac:dyDescent="0.25">
      <c r="A10" s="565">
        <v>5</v>
      </c>
      <c r="B10" s="565">
        <v>1</v>
      </c>
      <c r="C10" s="565"/>
      <c r="D10" s="565">
        <v>6</v>
      </c>
      <c r="E10" s="565">
        <v>1</v>
      </c>
      <c r="F10">
        <v>4</v>
      </c>
      <c r="G10" s="214">
        <f t="shared" si="2"/>
        <v>0</v>
      </c>
      <c r="H10" s="7">
        <f t="shared" si="0"/>
        <v>16</v>
      </c>
      <c r="I10" s="7">
        <f t="shared" si="3"/>
        <v>1</v>
      </c>
      <c r="J10" s="7">
        <f t="shared" si="4"/>
        <v>0.88888888888888884</v>
      </c>
      <c r="K10" s="214">
        <f t="shared" si="5"/>
        <v>1</v>
      </c>
      <c r="L10" s="7">
        <f t="shared" si="1"/>
        <v>16</v>
      </c>
      <c r="M10" s="7">
        <f t="shared" si="6"/>
        <v>0.9375</v>
      </c>
      <c r="N10" s="215">
        <f t="shared" si="7"/>
        <v>0.83333333333333326</v>
      </c>
      <c r="P10">
        <v>4</v>
      </c>
      <c r="Q10">
        <v>0.88888888888888884</v>
      </c>
      <c r="R10">
        <v>0.83333333333333326</v>
      </c>
      <c r="S10">
        <v>5</v>
      </c>
      <c r="U10">
        <v>2</v>
      </c>
      <c r="V10" s="214">
        <v>0.94444444444444442</v>
      </c>
      <c r="W10" s="215">
        <v>0.94444444444444442</v>
      </c>
      <c r="AG10">
        <v>3</v>
      </c>
      <c r="AH10" s="222">
        <f t="shared" si="10"/>
        <v>1</v>
      </c>
      <c r="AI10" s="566">
        <f t="shared" si="8"/>
        <v>17</v>
      </c>
      <c r="AJ10" s="215">
        <f t="shared" si="11"/>
        <v>1</v>
      </c>
      <c r="AK10" s="222">
        <f t="shared" si="12"/>
        <v>1</v>
      </c>
      <c r="AL10" s="566">
        <f t="shared" si="9"/>
        <v>17</v>
      </c>
      <c r="AM10" s="215">
        <f t="shared" si="13"/>
        <v>1</v>
      </c>
      <c r="AN10" s="222">
        <f t="shared" si="14"/>
        <v>2</v>
      </c>
      <c r="AO10" s="176">
        <f t="shared" si="14"/>
        <v>34</v>
      </c>
    </row>
    <row r="11" spans="1:46" x14ac:dyDescent="0.25">
      <c r="A11" s="565">
        <v>5</v>
      </c>
      <c r="B11" s="565">
        <v>0</v>
      </c>
      <c r="C11" s="565"/>
      <c r="D11" s="565">
        <v>6</v>
      </c>
      <c r="E11" s="565">
        <v>0</v>
      </c>
      <c r="F11">
        <v>5</v>
      </c>
      <c r="G11" s="214">
        <f t="shared" si="2"/>
        <v>3</v>
      </c>
      <c r="H11" s="7">
        <f t="shared" si="0"/>
        <v>16</v>
      </c>
      <c r="I11" s="7">
        <f t="shared" si="3"/>
        <v>0.8125</v>
      </c>
      <c r="J11" s="7">
        <f t="shared" si="4"/>
        <v>0.72222222222222221</v>
      </c>
      <c r="K11" s="214">
        <f t="shared" si="5"/>
        <v>0</v>
      </c>
      <c r="L11" s="7">
        <f t="shared" si="1"/>
        <v>15</v>
      </c>
      <c r="M11" s="7">
        <f t="shared" si="6"/>
        <v>1</v>
      </c>
      <c r="N11" s="215">
        <f t="shared" si="7"/>
        <v>0.83333333333333326</v>
      </c>
      <c r="P11">
        <v>5</v>
      </c>
      <c r="Q11">
        <v>0.72222222222222221</v>
      </c>
      <c r="R11">
        <v>0.83333333333333326</v>
      </c>
      <c r="S11">
        <v>6</v>
      </c>
      <c r="U11">
        <v>3</v>
      </c>
      <c r="V11" s="214">
        <v>0.94444444444444442</v>
      </c>
      <c r="W11" s="215">
        <v>0.94444444444444442</v>
      </c>
      <c r="AG11">
        <v>4</v>
      </c>
      <c r="AH11" s="222">
        <f t="shared" si="10"/>
        <v>0</v>
      </c>
      <c r="AI11" s="566">
        <f t="shared" si="8"/>
        <v>16</v>
      </c>
      <c r="AJ11" s="215">
        <f t="shared" si="11"/>
        <v>0.5</v>
      </c>
      <c r="AK11" s="222">
        <f t="shared" si="12"/>
        <v>1</v>
      </c>
      <c r="AL11" s="566">
        <f t="shared" si="9"/>
        <v>16</v>
      </c>
      <c r="AM11" s="215">
        <f t="shared" si="13"/>
        <v>0.5</v>
      </c>
      <c r="AN11" s="222">
        <f t="shared" si="14"/>
        <v>1</v>
      </c>
      <c r="AO11" s="176">
        <f t="shared" si="14"/>
        <v>32</v>
      </c>
    </row>
    <row r="12" spans="1:46" x14ac:dyDescent="0.25">
      <c r="A12" s="565">
        <v>8</v>
      </c>
      <c r="B12" s="565">
        <v>1</v>
      </c>
      <c r="C12" s="565"/>
      <c r="D12" s="565">
        <v>10</v>
      </c>
      <c r="E12" s="565">
        <v>1</v>
      </c>
      <c r="F12">
        <v>6</v>
      </c>
      <c r="G12" s="214">
        <f t="shared" si="2"/>
        <v>0</v>
      </c>
      <c r="H12" s="7">
        <f t="shared" si="0"/>
        <v>12</v>
      </c>
      <c r="I12" s="7">
        <f t="shared" si="3"/>
        <v>1</v>
      </c>
      <c r="J12" s="7">
        <f t="shared" si="4"/>
        <v>0.72222222222222221</v>
      </c>
      <c r="K12" s="214">
        <f t="shared" si="5"/>
        <v>1</v>
      </c>
      <c r="L12" s="7">
        <f t="shared" si="1"/>
        <v>15</v>
      </c>
      <c r="M12" s="7">
        <f t="shared" si="6"/>
        <v>0.93333333333333335</v>
      </c>
      <c r="N12" s="215">
        <f t="shared" si="7"/>
        <v>0.77777777777777768</v>
      </c>
      <c r="P12">
        <v>6</v>
      </c>
      <c r="Q12">
        <v>0.72222222222222221</v>
      </c>
      <c r="R12">
        <v>0.77777777777777768</v>
      </c>
      <c r="S12">
        <v>7</v>
      </c>
      <c r="U12">
        <v>3</v>
      </c>
      <c r="V12" s="214">
        <v>0.88888888888888884</v>
      </c>
      <c r="W12" s="215">
        <v>0.88888888888888884</v>
      </c>
      <c r="AG12">
        <v>5</v>
      </c>
      <c r="AH12" s="222">
        <f t="shared" si="10"/>
        <v>3</v>
      </c>
      <c r="AI12" s="566">
        <f t="shared" si="8"/>
        <v>16</v>
      </c>
      <c r="AJ12" s="215">
        <f t="shared" si="11"/>
        <v>1.5483870967741935</v>
      </c>
      <c r="AK12" s="222">
        <f t="shared" si="12"/>
        <v>0</v>
      </c>
      <c r="AL12" s="566">
        <f t="shared" si="9"/>
        <v>15</v>
      </c>
      <c r="AM12" s="215">
        <f t="shared" si="13"/>
        <v>1.4516129032258065</v>
      </c>
      <c r="AN12" s="222">
        <f t="shared" si="14"/>
        <v>3</v>
      </c>
      <c r="AO12" s="176">
        <f t="shared" si="14"/>
        <v>31</v>
      </c>
    </row>
    <row r="13" spans="1:46" x14ac:dyDescent="0.25">
      <c r="A13" s="565">
        <v>12</v>
      </c>
      <c r="B13" s="565">
        <v>1</v>
      </c>
      <c r="C13" s="565"/>
      <c r="D13" s="565">
        <v>10</v>
      </c>
      <c r="E13" s="565">
        <v>1</v>
      </c>
      <c r="F13">
        <v>8</v>
      </c>
      <c r="G13" s="214">
        <f t="shared" si="2"/>
        <v>3</v>
      </c>
      <c r="H13" s="7">
        <f t="shared" si="0"/>
        <v>12</v>
      </c>
      <c r="I13" s="7">
        <f t="shared" si="3"/>
        <v>0.75</v>
      </c>
      <c r="J13" s="7">
        <f t="shared" si="4"/>
        <v>0.54166666666666663</v>
      </c>
      <c r="K13" s="214">
        <f t="shared" si="5"/>
        <v>1</v>
      </c>
      <c r="L13" s="7">
        <f t="shared" si="1"/>
        <v>12</v>
      </c>
      <c r="M13" s="7">
        <f t="shared" si="6"/>
        <v>0.91666666666666663</v>
      </c>
      <c r="N13" s="215">
        <f t="shared" si="7"/>
        <v>0.7129629629629628</v>
      </c>
      <c r="P13">
        <v>8</v>
      </c>
      <c r="Q13">
        <v>0.54166666666666663</v>
      </c>
      <c r="R13">
        <v>0.7129629629629628</v>
      </c>
      <c r="S13">
        <v>8</v>
      </c>
      <c r="U13">
        <v>4</v>
      </c>
      <c r="V13" s="214">
        <v>0.88888888888888884</v>
      </c>
      <c r="W13" s="215">
        <v>0.88888888888888884</v>
      </c>
      <c r="AG13">
        <v>6</v>
      </c>
      <c r="AH13" s="222">
        <f t="shared" si="10"/>
        <v>0</v>
      </c>
      <c r="AI13" s="566">
        <f t="shared" si="8"/>
        <v>12</v>
      </c>
      <c r="AJ13" s="215">
        <f t="shared" si="11"/>
        <v>0.44444444444444442</v>
      </c>
      <c r="AK13" s="222">
        <f t="shared" si="12"/>
        <v>1</v>
      </c>
      <c r="AL13" s="566">
        <f t="shared" si="9"/>
        <v>15</v>
      </c>
      <c r="AM13" s="215">
        <f t="shared" si="13"/>
        <v>0.55555555555555558</v>
      </c>
      <c r="AN13" s="222">
        <f t="shared" si="14"/>
        <v>1</v>
      </c>
      <c r="AO13" s="176">
        <f t="shared" si="14"/>
        <v>27</v>
      </c>
    </row>
    <row r="14" spans="1:46" x14ac:dyDescent="0.25">
      <c r="A14" s="565">
        <v>15</v>
      </c>
      <c r="B14" s="565">
        <v>0</v>
      </c>
      <c r="C14" s="565"/>
      <c r="D14" s="565">
        <v>12</v>
      </c>
      <c r="E14" s="565">
        <v>0</v>
      </c>
      <c r="F14">
        <v>9</v>
      </c>
      <c r="G14" s="214">
        <f t="shared" si="2"/>
        <v>0</v>
      </c>
      <c r="H14" s="7">
        <f t="shared" si="0"/>
        <v>9</v>
      </c>
      <c r="I14" s="7">
        <f t="shared" si="3"/>
        <v>1</v>
      </c>
      <c r="J14" s="7">
        <f t="shared" si="4"/>
        <v>0.54166666666666663</v>
      </c>
      <c r="K14" s="214">
        <f t="shared" si="5"/>
        <v>0</v>
      </c>
      <c r="L14" s="7">
        <f t="shared" si="1"/>
        <v>10</v>
      </c>
      <c r="M14" s="7">
        <f t="shared" si="6"/>
        <v>1</v>
      </c>
      <c r="N14" s="215">
        <f t="shared" si="7"/>
        <v>0.7129629629629628</v>
      </c>
      <c r="P14">
        <v>9</v>
      </c>
      <c r="Q14">
        <v>0.54166666666666663</v>
      </c>
      <c r="R14">
        <v>0.7129629629629628</v>
      </c>
      <c r="S14">
        <v>9</v>
      </c>
      <c r="U14">
        <v>4</v>
      </c>
      <c r="V14" s="214">
        <v>0.88888888888888884</v>
      </c>
      <c r="W14" s="215">
        <v>0.83333333333333326</v>
      </c>
      <c r="AG14">
        <v>8</v>
      </c>
      <c r="AH14" s="222">
        <f t="shared" si="10"/>
        <v>3</v>
      </c>
      <c r="AI14" s="566">
        <f t="shared" si="8"/>
        <v>12</v>
      </c>
      <c r="AJ14" s="215">
        <f t="shared" si="11"/>
        <v>2</v>
      </c>
      <c r="AK14" s="222">
        <f t="shared" si="12"/>
        <v>1</v>
      </c>
      <c r="AL14" s="566">
        <f t="shared" si="9"/>
        <v>12</v>
      </c>
      <c r="AM14" s="215">
        <f t="shared" si="13"/>
        <v>2</v>
      </c>
      <c r="AN14" s="222">
        <f t="shared" si="14"/>
        <v>4</v>
      </c>
      <c r="AO14" s="176">
        <f t="shared" si="14"/>
        <v>24</v>
      </c>
    </row>
    <row r="15" spans="1:46" x14ac:dyDescent="0.25">
      <c r="A15" s="565">
        <v>14</v>
      </c>
      <c r="B15" s="565">
        <v>0</v>
      </c>
      <c r="C15" s="565"/>
      <c r="D15" s="565">
        <v>13</v>
      </c>
      <c r="E15" s="565">
        <v>0</v>
      </c>
      <c r="F15">
        <v>10</v>
      </c>
      <c r="G15" s="214">
        <f t="shared" si="2"/>
        <v>0</v>
      </c>
      <c r="H15" s="7">
        <f t="shared" si="0"/>
        <v>8</v>
      </c>
      <c r="I15" s="7">
        <f t="shared" si="3"/>
        <v>1</v>
      </c>
      <c r="J15" s="7">
        <f t="shared" si="4"/>
        <v>0.54166666666666663</v>
      </c>
      <c r="K15" s="214">
        <f t="shared" si="5"/>
        <v>2</v>
      </c>
      <c r="L15" s="7">
        <f t="shared" si="1"/>
        <v>9</v>
      </c>
      <c r="M15" s="7">
        <f t="shared" si="6"/>
        <v>0.77777777777777779</v>
      </c>
      <c r="N15" s="215">
        <f t="shared" si="7"/>
        <v>0.55452674897119325</v>
      </c>
      <c r="P15">
        <v>10</v>
      </c>
      <c r="Q15">
        <v>0.54166666666666663</v>
      </c>
      <c r="R15">
        <v>0.55452674897119325</v>
      </c>
      <c r="S15">
        <v>10</v>
      </c>
      <c r="U15">
        <v>5</v>
      </c>
      <c r="V15" s="214">
        <v>0.88888888888888884</v>
      </c>
      <c r="W15" s="215">
        <v>0.83333333333333326</v>
      </c>
      <c r="AG15">
        <v>9</v>
      </c>
      <c r="AH15" s="222">
        <f t="shared" si="10"/>
        <v>0</v>
      </c>
      <c r="AI15" s="566">
        <f t="shared" si="8"/>
        <v>9</v>
      </c>
      <c r="AJ15" s="215">
        <f t="shared" si="11"/>
        <v>0</v>
      </c>
      <c r="AK15" s="222">
        <f t="shared" si="12"/>
        <v>0</v>
      </c>
      <c r="AL15" s="566">
        <f t="shared" si="9"/>
        <v>10</v>
      </c>
      <c r="AM15" s="215">
        <f t="shared" si="13"/>
        <v>0</v>
      </c>
      <c r="AN15" s="222">
        <f t="shared" si="14"/>
        <v>0</v>
      </c>
      <c r="AO15" s="176">
        <f t="shared" si="14"/>
        <v>19</v>
      </c>
    </row>
    <row r="16" spans="1:46" x14ac:dyDescent="0.25">
      <c r="A16" s="565">
        <v>2</v>
      </c>
      <c r="B16" s="565">
        <v>1</v>
      </c>
      <c r="C16" s="565"/>
      <c r="D16" s="565">
        <v>3</v>
      </c>
      <c r="E16" s="565">
        <v>1</v>
      </c>
      <c r="F16">
        <v>11</v>
      </c>
      <c r="G16" s="214">
        <f t="shared" si="2"/>
        <v>2</v>
      </c>
      <c r="H16" s="7">
        <f t="shared" si="0"/>
        <v>6</v>
      </c>
      <c r="I16" s="7">
        <f t="shared" si="3"/>
        <v>0.66666666666666674</v>
      </c>
      <c r="J16" s="7">
        <f t="shared" si="4"/>
        <v>0.3611111111111111</v>
      </c>
      <c r="K16" s="214">
        <f t="shared" si="5"/>
        <v>0</v>
      </c>
      <c r="L16" s="7">
        <f t="shared" si="1"/>
        <v>5</v>
      </c>
      <c r="M16" s="7">
        <f t="shared" si="6"/>
        <v>1</v>
      </c>
      <c r="N16" s="215">
        <f t="shared" si="7"/>
        <v>0.55452674897119325</v>
      </c>
      <c r="P16">
        <v>11</v>
      </c>
      <c r="Q16">
        <v>0.3611111111111111</v>
      </c>
      <c r="R16">
        <v>0.55452674897119325</v>
      </c>
      <c r="S16">
        <v>11</v>
      </c>
      <c r="U16">
        <v>5</v>
      </c>
      <c r="V16" s="214">
        <v>0.72222222222222221</v>
      </c>
      <c r="W16" s="215">
        <v>0.83333333333333326</v>
      </c>
      <c r="AG16">
        <v>10</v>
      </c>
      <c r="AH16" s="222">
        <f t="shared" si="10"/>
        <v>0</v>
      </c>
      <c r="AI16" s="566">
        <f t="shared" si="8"/>
        <v>8</v>
      </c>
      <c r="AJ16" s="215">
        <f t="shared" si="11"/>
        <v>0.94117647058823528</v>
      </c>
      <c r="AK16" s="222">
        <f t="shared" si="12"/>
        <v>2</v>
      </c>
      <c r="AL16" s="566">
        <f t="shared" si="9"/>
        <v>9</v>
      </c>
      <c r="AM16" s="215">
        <f t="shared" si="13"/>
        <v>1.0588235294117647</v>
      </c>
      <c r="AN16" s="222">
        <f t="shared" si="14"/>
        <v>2</v>
      </c>
      <c r="AO16" s="176">
        <f t="shared" si="14"/>
        <v>17</v>
      </c>
    </row>
    <row r="17" spans="1:41" x14ac:dyDescent="0.25">
      <c r="A17" s="565">
        <v>11</v>
      </c>
      <c r="B17" s="565">
        <v>1</v>
      </c>
      <c r="C17" s="565"/>
      <c r="D17" s="565">
        <v>13</v>
      </c>
      <c r="E17" s="565">
        <v>0</v>
      </c>
      <c r="F17">
        <v>12</v>
      </c>
      <c r="G17" s="214">
        <f t="shared" si="2"/>
        <v>2</v>
      </c>
      <c r="H17" s="7">
        <f t="shared" si="0"/>
        <v>4</v>
      </c>
      <c r="I17" s="7">
        <f t="shared" si="3"/>
        <v>0.5</v>
      </c>
      <c r="J17" s="7">
        <f t="shared" si="4"/>
        <v>0.18055555555555555</v>
      </c>
      <c r="K17" s="214">
        <f t="shared" si="5"/>
        <v>0</v>
      </c>
      <c r="L17" s="7">
        <f t="shared" si="1"/>
        <v>5</v>
      </c>
      <c r="M17" s="7">
        <f t="shared" si="6"/>
        <v>1</v>
      </c>
      <c r="N17" s="215">
        <f t="shared" si="7"/>
        <v>0.55452674897119325</v>
      </c>
      <c r="P17">
        <v>12</v>
      </c>
      <c r="Q17">
        <v>0.18055555555555555</v>
      </c>
      <c r="R17">
        <v>0.55452674897119325</v>
      </c>
      <c r="S17">
        <v>12</v>
      </c>
      <c r="U17">
        <v>6</v>
      </c>
      <c r="V17" s="214">
        <v>0.72222222222222221</v>
      </c>
      <c r="W17" s="215">
        <v>0.83333333333333326</v>
      </c>
      <c r="AG17">
        <v>11</v>
      </c>
      <c r="AH17" s="222">
        <f t="shared" si="10"/>
        <v>2</v>
      </c>
      <c r="AI17" s="566">
        <f t="shared" si="8"/>
        <v>6</v>
      </c>
      <c r="AJ17" s="215">
        <f t="shared" si="11"/>
        <v>1.0909090909090908</v>
      </c>
      <c r="AK17" s="222">
        <f t="shared" si="12"/>
        <v>0</v>
      </c>
      <c r="AL17" s="566">
        <f t="shared" si="9"/>
        <v>5</v>
      </c>
      <c r="AM17" s="215">
        <f t="shared" si="13"/>
        <v>0.90909090909090917</v>
      </c>
      <c r="AN17" s="222">
        <f t="shared" si="14"/>
        <v>2</v>
      </c>
      <c r="AO17" s="176">
        <f t="shared" si="14"/>
        <v>11</v>
      </c>
    </row>
    <row r="18" spans="1:41" x14ac:dyDescent="0.25">
      <c r="A18" s="565">
        <v>10</v>
      </c>
      <c r="B18" s="565">
        <v>0</v>
      </c>
      <c r="C18" s="565"/>
      <c r="D18" s="565">
        <v>8</v>
      </c>
      <c r="E18" s="565">
        <v>0</v>
      </c>
      <c r="F18">
        <v>13</v>
      </c>
      <c r="G18" s="112"/>
      <c r="H18" s="354"/>
      <c r="I18" s="354"/>
      <c r="J18" s="354"/>
      <c r="K18" s="112">
        <f t="shared" si="5"/>
        <v>1</v>
      </c>
      <c r="L18" s="354">
        <f t="shared" si="1"/>
        <v>3</v>
      </c>
      <c r="M18" s="354">
        <f t="shared" si="6"/>
        <v>0.66666666666666674</v>
      </c>
      <c r="N18" s="120">
        <f t="shared" si="7"/>
        <v>0.36968449931412889</v>
      </c>
      <c r="P18">
        <v>13</v>
      </c>
      <c r="R18">
        <v>0.36968449931412889</v>
      </c>
      <c r="S18">
        <v>13</v>
      </c>
      <c r="U18">
        <v>6</v>
      </c>
      <c r="V18" s="214">
        <v>0.72222222222222221</v>
      </c>
      <c r="W18" s="215">
        <v>0.77777777777777768</v>
      </c>
      <c r="AG18">
        <v>12</v>
      </c>
      <c r="AH18" s="222">
        <f t="shared" si="10"/>
        <v>2</v>
      </c>
      <c r="AI18" s="566">
        <f t="shared" si="8"/>
        <v>4</v>
      </c>
      <c r="AJ18" s="215">
        <f t="shared" si="11"/>
        <v>0.88888888888888884</v>
      </c>
      <c r="AK18" s="222">
        <f t="shared" si="12"/>
        <v>0</v>
      </c>
      <c r="AL18" s="566">
        <f t="shared" si="9"/>
        <v>5</v>
      </c>
      <c r="AM18" s="215">
        <f t="shared" si="13"/>
        <v>1.1111111111111112</v>
      </c>
      <c r="AN18" s="222">
        <f t="shared" si="14"/>
        <v>2</v>
      </c>
      <c r="AO18" s="176">
        <f t="shared" si="14"/>
        <v>9</v>
      </c>
    </row>
    <row r="19" spans="1:41" x14ac:dyDescent="0.25">
      <c r="A19" s="565">
        <v>9</v>
      </c>
      <c r="B19" s="565">
        <v>0</v>
      </c>
      <c r="C19" s="565"/>
      <c r="D19" s="565">
        <v>10</v>
      </c>
      <c r="E19" s="565">
        <v>0</v>
      </c>
      <c r="P19">
        <v>1</v>
      </c>
      <c r="Q19">
        <v>1</v>
      </c>
      <c r="R19">
        <v>1</v>
      </c>
      <c r="S19">
        <v>1</v>
      </c>
      <c r="U19">
        <v>8</v>
      </c>
      <c r="V19" s="214">
        <v>0.72222222222222221</v>
      </c>
      <c r="W19" s="215">
        <v>0.77777777777777768</v>
      </c>
      <c r="AG19">
        <v>13</v>
      </c>
      <c r="AH19" s="222">
        <f>COUNTIFS($A$6:$A$23,AG19,$B$6:$B$23,1)</f>
        <v>0</v>
      </c>
      <c r="AI19" s="566">
        <f>COUNTIF($A$6:$A$23, "&gt;"&amp;AG19-1)</f>
        <v>2</v>
      </c>
      <c r="AJ19" s="120">
        <f t="shared" si="11"/>
        <v>0.4</v>
      </c>
      <c r="AK19" s="139">
        <f t="shared" si="12"/>
        <v>1</v>
      </c>
      <c r="AL19" s="567">
        <f t="shared" si="9"/>
        <v>3</v>
      </c>
      <c r="AM19" s="120">
        <f t="shared" si="13"/>
        <v>0.6</v>
      </c>
      <c r="AN19" s="139">
        <f t="shared" si="14"/>
        <v>1</v>
      </c>
      <c r="AO19" s="115">
        <f t="shared" si="14"/>
        <v>5</v>
      </c>
    </row>
    <row r="20" spans="1:41" x14ac:dyDescent="0.25">
      <c r="A20" s="565">
        <v>12</v>
      </c>
      <c r="B20" s="565">
        <v>1</v>
      </c>
      <c r="C20" s="565"/>
      <c r="D20" s="565">
        <v>13</v>
      </c>
      <c r="E20" s="565">
        <v>1</v>
      </c>
      <c r="P20">
        <v>2</v>
      </c>
      <c r="Q20">
        <v>1</v>
      </c>
      <c r="R20">
        <v>0.94444444444444442</v>
      </c>
      <c r="S20">
        <v>2</v>
      </c>
      <c r="U20">
        <v>8</v>
      </c>
      <c r="V20" s="214">
        <v>0.54166666666666663</v>
      </c>
      <c r="W20" s="215">
        <v>0.7129629629629628</v>
      </c>
      <c r="AH20" s="577">
        <f>SUM(AH7:AH19)</f>
        <v>12</v>
      </c>
      <c r="AI20" s="387"/>
      <c r="AJ20" s="475">
        <f>SUM(AJ7:AJ19)</f>
        <v>9.8280917058905697</v>
      </c>
      <c r="AK20" s="577">
        <f>SUM(AK7:AK19)</f>
        <v>8</v>
      </c>
      <c r="AL20" s="387"/>
      <c r="AM20" s="475">
        <f>SUM(AM7:AM19)</f>
        <v>10.171908294109432</v>
      </c>
    </row>
    <row r="21" spans="1:41" x14ac:dyDescent="0.25">
      <c r="A21" s="565">
        <v>5</v>
      </c>
      <c r="B21" s="565">
        <v>1</v>
      </c>
      <c r="C21" s="565"/>
      <c r="D21" s="565">
        <v>6</v>
      </c>
      <c r="E21" s="565">
        <v>0</v>
      </c>
      <c r="P21">
        <v>3</v>
      </c>
      <c r="Q21">
        <v>0.94444444444444442</v>
      </c>
      <c r="R21">
        <v>0.94444444444444442</v>
      </c>
      <c r="S21">
        <v>3</v>
      </c>
      <c r="U21">
        <v>9</v>
      </c>
      <c r="V21" s="214">
        <v>0.54166666666666663</v>
      </c>
      <c r="W21" s="215">
        <v>0.7129629629629628</v>
      </c>
    </row>
    <row r="22" spans="1:41" x14ac:dyDescent="0.25">
      <c r="A22" s="565">
        <v>8</v>
      </c>
      <c r="B22" s="565">
        <v>1</v>
      </c>
      <c r="C22" s="565"/>
      <c r="D22" s="565">
        <v>8</v>
      </c>
      <c r="E22" s="565">
        <v>1</v>
      </c>
      <c r="P22">
        <v>4</v>
      </c>
      <c r="Q22">
        <v>0.88888888888888884</v>
      </c>
      <c r="R22">
        <v>0.88888888888888884</v>
      </c>
      <c r="S22">
        <v>4</v>
      </c>
      <c r="U22">
        <v>9</v>
      </c>
      <c r="V22" s="214">
        <v>0.54166666666666663</v>
      </c>
      <c r="W22" s="215">
        <v>0.7129629629629628</v>
      </c>
      <c r="AH22" t="s">
        <v>1263</v>
      </c>
      <c r="AJ22" s="258">
        <f>AH20/AJ20</f>
        <v>1.2209898278429447</v>
      </c>
      <c r="AM22" s="258">
        <f>AK20/AM20</f>
        <v>0.78647976060035973</v>
      </c>
    </row>
    <row r="23" spans="1:41" x14ac:dyDescent="0.25">
      <c r="A23" s="567">
        <v>11</v>
      </c>
      <c r="B23" s="567">
        <v>1</v>
      </c>
      <c r="C23" s="565"/>
      <c r="D23" s="567">
        <v>12</v>
      </c>
      <c r="E23" s="567">
        <v>0</v>
      </c>
      <c r="P23">
        <v>5</v>
      </c>
      <c r="Q23">
        <v>0.88888888888888884</v>
      </c>
      <c r="R23">
        <v>0.83333333333333326</v>
      </c>
      <c r="S23">
        <v>5</v>
      </c>
      <c r="U23">
        <v>10</v>
      </c>
      <c r="V23" s="214">
        <v>0.54166666666666663</v>
      </c>
      <c r="W23" s="215">
        <v>0.7129629629629628</v>
      </c>
    </row>
    <row r="24" spans="1:41" x14ac:dyDescent="0.25">
      <c r="P24">
        <v>6</v>
      </c>
      <c r="Q24">
        <v>0.72222222222222221</v>
      </c>
      <c r="R24">
        <v>0.83333333333333326</v>
      </c>
      <c r="S24">
        <v>6</v>
      </c>
      <c r="U24">
        <v>10</v>
      </c>
      <c r="V24" s="214">
        <v>0.54166666666666663</v>
      </c>
      <c r="W24" s="215">
        <v>0.55452674897119325</v>
      </c>
      <c r="AH24" t="s">
        <v>1264</v>
      </c>
      <c r="AJ24" s="258">
        <f>AJ22/AM22</f>
        <v>1.5524745696073623</v>
      </c>
      <c r="AL24" s="14" t="s">
        <v>1265</v>
      </c>
    </row>
    <row r="25" spans="1:41" x14ac:dyDescent="0.25">
      <c r="P25">
        <v>8</v>
      </c>
      <c r="Q25">
        <v>0.72222222222222221</v>
      </c>
      <c r="R25">
        <v>0.77777777777777768</v>
      </c>
      <c r="S25">
        <v>7</v>
      </c>
      <c r="U25">
        <v>11</v>
      </c>
      <c r="V25" s="214">
        <v>0.54166666666666663</v>
      </c>
      <c r="W25" s="215">
        <v>0.55452674897119325</v>
      </c>
    </row>
    <row r="26" spans="1:41" x14ac:dyDescent="0.25">
      <c r="P26">
        <v>9</v>
      </c>
      <c r="Q26">
        <v>0.54166666666666663</v>
      </c>
      <c r="R26">
        <v>0.7129629629629628</v>
      </c>
      <c r="S26">
        <v>8</v>
      </c>
      <c r="U26">
        <v>11</v>
      </c>
      <c r="V26" s="214">
        <v>0.3611111111111111</v>
      </c>
      <c r="W26" s="215">
        <v>0.55452674897119325</v>
      </c>
      <c r="AH26" t="s">
        <v>1266</v>
      </c>
      <c r="AJ26" s="574">
        <f>LN(AJ24)</f>
        <v>0.4398501544062256</v>
      </c>
      <c r="AL26" t="e">
        <f ca="1">FTEXT(AJ26)</f>
        <v>#NAME?</v>
      </c>
    </row>
    <row r="27" spans="1:41" x14ac:dyDescent="0.25">
      <c r="P27">
        <v>10</v>
      </c>
      <c r="Q27">
        <v>0.54166666666666663</v>
      </c>
      <c r="R27">
        <v>0.7129629629629628</v>
      </c>
      <c r="S27">
        <v>9</v>
      </c>
      <c r="U27">
        <v>12</v>
      </c>
      <c r="V27" s="214">
        <v>0.3611111111111111</v>
      </c>
      <c r="W27" s="215">
        <v>0.55452674897119325</v>
      </c>
      <c r="AH27" t="s">
        <v>1267</v>
      </c>
      <c r="AJ27" s="185">
        <f>SQRT(1/AJ20+1/AM20)</f>
        <v>0.44727969146306024</v>
      </c>
      <c r="AL27" t="e">
        <f ca="1">FTEXT(AJ27)</f>
        <v>#NAME?</v>
      </c>
    </row>
    <row r="28" spans="1:41" x14ac:dyDescent="0.25">
      <c r="P28">
        <v>11</v>
      </c>
      <c r="Q28">
        <v>0.54166666666666663</v>
      </c>
      <c r="R28">
        <v>0.55452674897119325</v>
      </c>
      <c r="S28">
        <v>10</v>
      </c>
      <c r="U28">
        <v>12</v>
      </c>
      <c r="V28" s="214">
        <v>0.18055555555555555</v>
      </c>
      <c r="W28" s="215">
        <v>0.55452674897119325</v>
      </c>
      <c r="AH28" t="s">
        <v>107</v>
      </c>
      <c r="AJ28" s="123">
        <f>NORMSINV(0.975)</f>
        <v>1.9599639845400536</v>
      </c>
      <c r="AL28" t="e">
        <f ca="1">FTEXT(AJ28)</f>
        <v>#NAME?</v>
      </c>
    </row>
    <row r="29" spans="1:41" x14ac:dyDescent="0.25">
      <c r="P29">
        <v>12</v>
      </c>
      <c r="Q29">
        <v>0.3611111111111111</v>
      </c>
      <c r="R29">
        <v>0.55452674897119325</v>
      </c>
      <c r="S29">
        <v>11</v>
      </c>
      <c r="U29">
        <v>13</v>
      </c>
      <c r="V29" s="214">
        <v>0.18055555555555555</v>
      </c>
      <c r="W29" s="215">
        <v>0.55452674897119325</v>
      </c>
    </row>
    <row r="30" spans="1:41" x14ac:dyDescent="0.25">
      <c r="P30">
        <v>13</v>
      </c>
      <c r="Q30">
        <v>0.18055555555555555</v>
      </c>
      <c r="R30">
        <v>0.55452674897119325</v>
      </c>
      <c r="S30">
        <v>12</v>
      </c>
      <c r="U30">
        <v>13</v>
      </c>
      <c r="V30" s="112"/>
      <c r="W30" s="120">
        <v>0.36968449931412889</v>
      </c>
      <c r="AH30" t="s">
        <v>1268</v>
      </c>
      <c r="AJ30" s="574">
        <f>AJ26-AJ27*AJ28</f>
        <v>-0.43680193187755972</v>
      </c>
      <c r="AL30" t="e">
        <f ca="1">FTEXT(AJ30)</f>
        <v>#NAME?</v>
      </c>
    </row>
    <row r="31" spans="1:41" x14ac:dyDescent="0.25">
      <c r="AH31" t="s">
        <v>1269</v>
      </c>
      <c r="AJ31" s="123">
        <f>AJ26+AJ27*AJ28</f>
        <v>1.3165022406900109</v>
      </c>
      <c r="AL31" t="e">
        <f ca="1">FTEXT(AJ31)</f>
        <v>#NAME?</v>
      </c>
    </row>
    <row r="33" spans="34:38" x14ac:dyDescent="0.25">
      <c r="AH33" t="s">
        <v>1270</v>
      </c>
      <c r="AJ33" s="574">
        <f>EXP(AJ30)</f>
        <v>0.64609939043107723</v>
      </c>
      <c r="AL33" t="e">
        <f ca="1">FTEXT(AJ33)</f>
        <v>#NAME?</v>
      </c>
    </row>
    <row r="34" spans="34:38" x14ac:dyDescent="0.25">
      <c r="AH34" t="s">
        <v>1271</v>
      </c>
      <c r="AJ34" s="123">
        <f>EXP(AJ31)</f>
        <v>3.7303506627200123</v>
      </c>
      <c r="AL34" t="e">
        <f ca="1">FTEXT(AJ34)</f>
        <v>#NAME?</v>
      </c>
    </row>
  </sheetData>
  <mergeCells count="7">
    <mergeCell ref="AN5:AO5"/>
    <mergeCell ref="A3:B3"/>
    <mergeCell ref="D3:E3"/>
    <mergeCell ref="G4:J4"/>
    <mergeCell ref="K4:N4"/>
    <mergeCell ref="AH5:AJ5"/>
    <mergeCell ref="AK5:AM5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18"/>
  <sheetViews>
    <sheetView workbookViewId="0"/>
  </sheetViews>
  <sheetFormatPr defaultRowHeight="15" x14ac:dyDescent="0.25"/>
  <cols>
    <col min="1" max="1" width="5.42578125" customWidth="1"/>
    <col min="2" max="3" width="7" customWidth="1"/>
    <col min="5" max="6" width="7" customWidth="1"/>
    <col min="7" max="7" width="3.28515625" customWidth="1"/>
    <col min="10" max="10" width="3.28515625" customWidth="1"/>
    <col min="13" max="13" width="3.28515625" customWidth="1"/>
    <col min="16" max="16" width="6.85546875" customWidth="1"/>
    <col min="17" max="17" width="12.7109375" customWidth="1"/>
    <col min="19" max="19" width="3.7109375" customWidth="1"/>
    <col min="20" max="20" width="17.140625" customWidth="1"/>
  </cols>
  <sheetData>
    <row r="1" spans="1:20" x14ac:dyDescent="0.25">
      <c r="A1" s="1" t="s">
        <v>1275</v>
      </c>
    </row>
    <row r="3" spans="1:20" x14ac:dyDescent="0.25">
      <c r="B3" s="773" t="s">
        <v>1260</v>
      </c>
      <c r="C3" s="773"/>
      <c r="D3" s="773"/>
      <c r="E3" s="773" t="s">
        <v>1262</v>
      </c>
      <c r="F3" s="773"/>
      <c r="H3" s="781" t="s">
        <v>1276</v>
      </c>
      <c r="I3" s="781"/>
      <c r="J3" s="566"/>
      <c r="K3" s="781" t="s">
        <v>1277</v>
      </c>
      <c r="L3" s="781"/>
      <c r="M3" s="566"/>
      <c r="N3" s="781" t="s">
        <v>1278</v>
      </c>
      <c r="O3" s="781"/>
      <c r="P3" s="566"/>
    </row>
    <row r="4" spans="1:20" x14ac:dyDescent="0.25">
      <c r="A4" s="21" t="s">
        <v>44</v>
      </c>
      <c r="B4" s="562" t="s">
        <v>28</v>
      </c>
      <c r="C4" s="563" t="s">
        <v>17</v>
      </c>
      <c r="D4" s="563" t="s">
        <v>1274</v>
      </c>
      <c r="E4" s="562" t="s">
        <v>28</v>
      </c>
      <c r="F4" s="564" t="s">
        <v>17</v>
      </c>
      <c r="H4" s="578" t="s">
        <v>788</v>
      </c>
      <c r="I4" s="579" t="s">
        <v>955</v>
      </c>
      <c r="J4" s="49"/>
      <c r="K4" s="578" t="s">
        <v>788</v>
      </c>
      <c r="L4" s="579" t="s">
        <v>955</v>
      </c>
      <c r="M4" s="49"/>
      <c r="N4" s="578" t="s">
        <v>788</v>
      </c>
      <c r="O4" s="579" t="s">
        <v>955</v>
      </c>
      <c r="P4" s="49"/>
      <c r="Q4" s="52" t="s">
        <v>1276</v>
      </c>
      <c r="R4" s="574">
        <f>H18^2/I18</f>
        <v>1.0175333840309242</v>
      </c>
      <c r="T4" t="e">
        <f ca="1">FTEXT(R4)</f>
        <v>#NAME?</v>
      </c>
    </row>
    <row r="5" spans="1:20" x14ac:dyDescent="0.25">
      <c r="A5">
        <v>0</v>
      </c>
      <c r="B5" s="575"/>
      <c r="C5" s="413">
        <f>'Log-Rank'!AI7</f>
        <v>18</v>
      </c>
      <c r="D5" s="269">
        <f>C5/F5*E5</f>
        <v>0</v>
      </c>
      <c r="E5" s="575">
        <f>'Log-Rank'!AN7</f>
        <v>0</v>
      </c>
      <c r="F5" s="576">
        <f>'Log-Rank'!AO7</f>
        <v>36</v>
      </c>
      <c r="H5" s="554">
        <f>B5-D5</f>
        <v>0</v>
      </c>
      <c r="I5" s="555">
        <f>C5*(F5-C5)*E5*(F5-E5)/(F5^2*(F5-1))</f>
        <v>0</v>
      </c>
      <c r="J5" s="7"/>
      <c r="K5" s="554">
        <f>F5*(B5-D5)</f>
        <v>0</v>
      </c>
      <c r="L5" s="555">
        <f>C5*(F5-C5)*E5*(F5-E5)/(F5-1)</f>
        <v>0</v>
      </c>
      <c r="M5" s="7"/>
      <c r="N5" s="554">
        <f>SQRT(F5)*(B5-D5)</f>
        <v>0</v>
      </c>
      <c r="O5" s="555">
        <f>C5*(F5-C5)*E5*(F5-E5)/(F5*(F5-1))</f>
        <v>0</v>
      </c>
      <c r="P5" s="7"/>
      <c r="Q5" t="s">
        <v>41</v>
      </c>
      <c r="R5" s="185">
        <v>1</v>
      </c>
    </row>
    <row r="6" spans="1:20" x14ac:dyDescent="0.25">
      <c r="A6">
        <v>1</v>
      </c>
      <c r="B6" s="222">
        <f>'Log-Rank'!AH8</f>
        <v>0</v>
      </c>
      <c r="C6" s="566">
        <f>'Log-Rank'!AI8</f>
        <v>18</v>
      </c>
      <c r="D6" s="269">
        <f>C6/F6*E6</f>
        <v>0.5</v>
      </c>
      <c r="E6" s="222">
        <f>'Log-Rank'!AN8</f>
        <v>1</v>
      </c>
      <c r="F6" s="176">
        <f>'Log-Rank'!AO8</f>
        <v>36</v>
      </c>
      <c r="H6" s="214">
        <f t="shared" ref="H6:H17" si="0">B6-D6</f>
        <v>-0.5</v>
      </c>
      <c r="I6" s="215">
        <f t="shared" ref="I6:I17" si="1">C6*(F6-C6)*E6*(F6-E6)/(F6^2*(F6-1))</f>
        <v>0.25</v>
      </c>
      <c r="J6" s="7"/>
      <c r="K6" s="214">
        <f t="shared" ref="K6:K17" si="2">F6*(B6-D6)</f>
        <v>-18</v>
      </c>
      <c r="L6" s="215">
        <f t="shared" ref="L6:L17" si="3">C6*(F6-C6)*E6*(F6-E6)/(F6-1)</f>
        <v>324</v>
      </c>
      <c r="M6" s="7"/>
      <c r="N6" s="214">
        <f t="shared" ref="N6:N17" si="4">SQRT(F6)*(B6-D6)</f>
        <v>-3</v>
      </c>
      <c r="O6" s="215">
        <f t="shared" ref="O6:O17" si="5">C6*(F6-C6)*E6*(F6-E6)/(F6*(F6-1))</f>
        <v>9</v>
      </c>
      <c r="P6" s="7"/>
      <c r="Q6" t="s">
        <v>48</v>
      </c>
      <c r="R6" s="123">
        <f>CHIDIST(R4,R5)</f>
        <v>0.31310481272620255</v>
      </c>
      <c r="T6" t="e">
        <f ca="1">FTEXT(R6)</f>
        <v>#NAME?</v>
      </c>
    </row>
    <row r="7" spans="1:20" x14ac:dyDescent="0.25">
      <c r="A7">
        <v>2</v>
      </c>
      <c r="B7" s="222">
        <f>'Log-Rank'!AH9</f>
        <v>1</v>
      </c>
      <c r="C7" s="566">
        <f>'Log-Rank'!AI9</f>
        <v>18</v>
      </c>
      <c r="D7" s="269">
        <f>C7/F7*E7</f>
        <v>0.51428571428571423</v>
      </c>
      <c r="E7" s="222">
        <f>'Log-Rank'!AN9</f>
        <v>1</v>
      </c>
      <c r="F7" s="176">
        <f>'Log-Rank'!AO9</f>
        <v>35</v>
      </c>
      <c r="H7" s="214">
        <f t="shared" si="0"/>
        <v>0.48571428571428577</v>
      </c>
      <c r="I7" s="215">
        <f t="shared" si="1"/>
        <v>0.24979591836734694</v>
      </c>
      <c r="J7" s="7"/>
      <c r="K7" s="214">
        <f t="shared" si="2"/>
        <v>17</v>
      </c>
      <c r="L7" s="215">
        <f t="shared" si="3"/>
        <v>306</v>
      </c>
      <c r="M7" s="7"/>
      <c r="N7" s="214">
        <f t="shared" si="4"/>
        <v>2.8735244660769568</v>
      </c>
      <c r="O7" s="215">
        <f t="shared" si="5"/>
        <v>8.742857142857142</v>
      </c>
      <c r="P7" s="7"/>
    </row>
    <row r="8" spans="1:20" x14ac:dyDescent="0.25">
      <c r="A8">
        <v>3</v>
      </c>
      <c r="B8" s="222">
        <f>'Log-Rank'!AH10</f>
        <v>1</v>
      </c>
      <c r="C8" s="566">
        <f>'Log-Rank'!AI10</f>
        <v>17</v>
      </c>
      <c r="D8" s="269">
        <f t="shared" ref="D8:D16" si="6">C8/F8*E8</f>
        <v>1</v>
      </c>
      <c r="E8" s="222">
        <f>'Log-Rank'!AN10</f>
        <v>2</v>
      </c>
      <c r="F8" s="176">
        <f>'Log-Rank'!AO10</f>
        <v>34</v>
      </c>
      <c r="H8" s="214">
        <f t="shared" si="0"/>
        <v>0</v>
      </c>
      <c r="I8" s="215">
        <f t="shared" si="1"/>
        <v>0.48484848484848486</v>
      </c>
      <c r="J8" s="7"/>
      <c r="K8" s="214">
        <f t="shared" si="2"/>
        <v>0</v>
      </c>
      <c r="L8" s="215">
        <f t="shared" si="3"/>
        <v>560.4848484848485</v>
      </c>
      <c r="M8" s="7"/>
      <c r="N8" s="214">
        <f t="shared" si="4"/>
        <v>0</v>
      </c>
      <c r="O8" s="215">
        <f t="shared" si="5"/>
        <v>16.484848484848484</v>
      </c>
      <c r="P8" s="7"/>
      <c r="Q8" s="52" t="s">
        <v>1277</v>
      </c>
      <c r="R8" s="574">
        <f>K18^2/L18</f>
        <v>0.58230228593298772</v>
      </c>
      <c r="T8" t="e">
        <f ca="1">FTEXT(R8)</f>
        <v>#NAME?</v>
      </c>
    </row>
    <row r="9" spans="1:20" x14ac:dyDescent="0.25">
      <c r="A9">
        <v>4</v>
      </c>
      <c r="B9" s="222">
        <f>'Log-Rank'!AH11</f>
        <v>0</v>
      </c>
      <c r="C9" s="566">
        <f>'Log-Rank'!AI11</f>
        <v>16</v>
      </c>
      <c r="D9" s="269">
        <f t="shared" si="6"/>
        <v>0.5</v>
      </c>
      <c r="E9" s="222">
        <f>'Log-Rank'!AN11</f>
        <v>1</v>
      </c>
      <c r="F9" s="176">
        <f>'Log-Rank'!AO11</f>
        <v>32</v>
      </c>
      <c r="H9" s="214">
        <f t="shared" si="0"/>
        <v>-0.5</v>
      </c>
      <c r="I9" s="215">
        <f t="shared" si="1"/>
        <v>0.25</v>
      </c>
      <c r="J9" s="7"/>
      <c r="K9" s="214">
        <f t="shared" si="2"/>
        <v>-16</v>
      </c>
      <c r="L9" s="215">
        <f t="shared" si="3"/>
        <v>256</v>
      </c>
      <c r="M9" s="7"/>
      <c r="N9" s="214">
        <f t="shared" si="4"/>
        <v>-2.8284271247461903</v>
      </c>
      <c r="O9" s="215">
        <f t="shared" si="5"/>
        <v>8</v>
      </c>
      <c r="P9" s="7"/>
      <c r="Q9" t="s">
        <v>41</v>
      </c>
      <c r="R9" s="185">
        <v>1</v>
      </c>
    </row>
    <row r="10" spans="1:20" x14ac:dyDescent="0.25">
      <c r="A10">
        <v>5</v>
      </c>
      <c r="B10" s="222">
        <f>'Log-Rank'!AH12</f>
        <v>3</v>
      </c>
      <c r="C10" s="566">
        <f>'Log-Rank'!AI12</f>
        <v>16</v>
      </c>
      <c r="D10" s="269">
        <f t="shared" si="6"/>
        <v>1.5483870967741935</v>
      </c>
      <c r="E10" s="222">
        <f>'Log-Rank'!AN12</f>
        <v>3</v>
      </c>
      <c r="F10" s="176">
        <f>'Log-Rank'!AO12</f>
        <v>31</v>
      </c>
      <c r="H10" s="214">
        <f t="shared" si="0"/>
        <v>1.4516129032258065</v>
      </c>
      <c r="I10" s="215">
        <f t="shared" si="1"/>
        <v>0.6992715920915713</v>
      </c>
      <c r="J10" s="7"/>
      <c r="K10" s="214">
        <f t="shared" si="2"/>
        <v>45</v>
      </c>
      <c r="L10" s="215">
        <f t="shared" si="3"/>
        <v>672</v>
      </c>
      <c r="M10" s="7"/>
      <c r="N10" s="214">
        <f t="shared" si="4"/>
        <v>8.0822385912048702</v>
      </c>
      <c r="O10" s="215">
        <f t="shared" si="5"/>
        <v>21.677419354838708</v>
      </c>
      <c r="P10" s="7"/>
      <c r="Q10" t="s">
        <v>48</v>
      </c>
      <c r="R10" s="123">
        <f>CHIDIST(R8,R9)</f>
        <v>0.4454113106855242</v>
      </c>
      <c r="T10" t="e">
        <f ca="1">FTEXT(R10)</f>
        <v>#NAME?</v>
      </c>
    </row>
    <row r="11" spans="1:20" x14ac:dyDescent="0.25">
      <c r="A11">
        <v>6</v>
      </c>
      <c r="B11" s="222">
        <f>'Log-Rank'!AH13</f>
        <v>0</v>
      </c>
      <c r="C11" s="566">
        <f>'Log-Rank'!AI13</f>
        <v>12</v>
      </c>
      <c r="D11" s="269">
        <f t="shared" si="6"/>
        <v>0.44444444444444442</v>
      </c>
      <c r="E11" s="222">
        <f>'Log-Rank'!AN13</f>
        <v>1</v>
      </c>
      <c r="F11" s="176">
        <f>'Log-Rank'!AO13</f>
        <v>27</v>
      </c>
      <c r="H11" s="214">
        <f t="shared" si="0"/>
        <v>-0.44444444444444442</v>
      </c>
      <c r="I11" s="215">
        <f t="shared" si="1"/>
        <v>0.24691358024691357</v>
      </c>
      <c r="J11" s="7"/>
      <c r="K11" s="214">
        <f t="shared" si="2"/>
        <v>-12</v>
      </c>
      <c r="L11" s="215">
        <f t="shared" si="3"/>
        <v>180</v>
      </c>
      <c r="M11" s="7"/>
      <c r="N11" s="214">
        <f t="shared" si="4"/>
        <v>-2.3094010767585029</v>
      </c>
      <c r="O11" s="215">
        <f t="shared" si="5"/>
        <v>6.666666666666667</v>
      </c>
      <c r="P11" s="7"/>
    </row>
    <row r="12" spans="1:20" x14ac:dyDescent="0.25">
      <c r="A12">
        <v>8</v>
      </c>
      <c r="B12" s="222">
        <f>'Log-Rank'!AH14</f>
        <v>3</v>
      </c>
      <c r="C12" s="566">
        <f>'Log-Rank'!AI14</f>
        <v>12</v>
      </c>
      <c r="D12" s="269">
        <f t="shared" si="6"/>
        <v>2</v>
      </c>
      <c r="E12" s="222">
        <f>'Log-Rank'!AN14</f>
        <v>4</v>
      </c>
      <c r="F12" s="176">
        <f>'Log-Rank'!AO14</f>
        <v>24</v>
      </c>
      <c r="H12" s="214">
        <f t="shared" si="0"/>
        <v>1</v>
      </c>
      <c r="I12" s="215">
        <f t="shared" si="1"/>
        <v>0.86956521739130432</v>
      </c>
      <c r="J12" s="7"/>
      <c r="K12" s="214">
        <f t="shared" si="2"/>
        <v>24</v>
      </c>
      <c r="L12" s="215">
        <f t="shared" si="3"/>
        <v>500.86956521739131</v>
      </c>
      <c r="M12" s="7"/>
      <c r="N12" s="214">
        <f t="shared" si="4"/>
        <v>4.8989794855663558</v>
      </c>
      <c r="O12" s="215">
        <f t="shared" si="5"/>
        <v>20.869565217391305</v>
      </c>
      <c r="P12" s="7"/>
      <c r="Q12" s="52" t="s">
        <v>1279</v>
      </c>
      <c r="R12" s="574">
        <f>N18^2/O18</f>
        <v>0.78908810588817824</v>
      </c>
      <c r="T12" t="e">
        <f ca="1">FTEXT(R12)</f>
        <v>#NAME?</v>
      </c>
    </row>
    <row r="13" spans="1:20" x14ac:dyDescent="0.25">
      <c r="A13">
        <v>9</v>
      </c>
      <c r="B13" s="222">
        <f>'Log-Rank'!AH15</f>
        <v>0</v>
      </c>
      <c r="C13" s="566">
        <f>'Log-Rank'!AI15</f>
        <v>9</v>
      </c>
      <c r="D13" s="269">
        <f t="shared" si="6"/>
        <v>0</v>
      </c>
      <c r="E13" s="222">
        <f>'Log-Rank'!AN15</f>
        <v>0</v>
      </c>
      <c r="F13" s="176">
        <f>'Log-Rank'!AO15</f>
        <v>19</v>
      </c>
      <c r="H13" s="214">
        <f t="shared" si="0"/>
        <v>0</v>
      </c>
      <c r="I13" s="215">
        <f t="shared" si="1"/>
        <v>0</v>
      </c>
      <c r="J13" s="7"/>
      <c r="K13" s="214">
        <f t="shared" si="2"/>
        <v>0</v>
      </c>
      <c r="L13" s="215">
        <f t="shared" si="3"/>
        <v>0</v>
      </c>
      <c r="M13" s="7"/>
      <c r="N13" s="214">
        <f t="shared" si="4"/>
        <v>0</v>
      </c>
      <c r="O13" s="215">
        <f t="shared" si="5"/>
        <v>0</v>
      </c>
      <c r="P13" s="7"/>
      <c r="Q13" t="s">
        <v>41</v>
      </c>
      <c r="R13" s="185">
        <v>1</v>
      </c>
    </row>
    <row r="14" spans="1:20" x14ac:dyDescent="0.25">
      <c r="A14">
        <v>10</v>
      </c>
      <c r="B14" s="222">
        <f>'Log-Rank'!AH16</f>
        <v>0</v>
      </c>
      <c r="C14" s="566">
        <f>'Log-Rank'!AI16</f>
        <v>8</v>
      </c>
      <c r="D14" s="269">
        <f t="shared" si="6"/>
        <v>0.94117647058823528</v>
      </c>
      <c r="E14" s="222">
        <f>'Log-Rank'!AN16</f>
        <v>2</v>
      </c>
      <c r="F14" s="176">
        <f>'Log-Rank'!AO16</f>
        <v>17</v>
      </c>
      <c r="H14" s="214">
        <f t="shared" si="0"/>
        <v>-0.94117647058823528</v>
      </c>
      <c r="I14" s="215">
        <f t="shared" si="1"/>
        <v>0.4671280276816609</v>
      </c>
      <c r="J14" s="7"/>
      <c r="K14" s="214">
        <f t="shared" si="2"/>
        <v>-16</v>
      </c>
      <c r="L14" s="215">
        <f t="shared" si="3"/>
        <v>135</v>
      </c>
      <c r="M14" s="7"/>
      <c r="N14" s="214">
        <f t="shared" si="4"/>
        <v>-3.8805700005813275</v>
      </c>
      <c r="O14" s="215">
        <f t="shared" si="5"/>
        <v>7.9411764705882355</v>
      </c>
      <c r="P14" s="7"/>
      <c r="Q14" t="s">
        <v>48</v>
      </c>
      <c r="R14" s="123">
        <f>CHIDIST(R12,R13)</f>
        <v>0.37437600473328969</v>
      </c>
      <c r="T14" t="e">
        <f ca="1">FTEXT(R14)</f>
        <v>#NAME?</v>
      </c>
    </row>
    <row r="15" spans="1:20" x14ac:dyDescent="0.25">
      <c r="A15">
        <v>11</v>
      </c>
      <c r="B15" s="222">
        <f>'Log-Rank'!AH17</f>
        <v>2</v>
      </c>
      <c r="C15" s="566">
        <f>'Log-Rank'!AI17</f>
        <v>6</v>
      </c>
      <c r="D15" s="269">
        <f t="shared" si="6"/>
        <v>1.0909090909090908</v>
      </c>
      <c r="E15" s="222">
        <f>'Log-Rank'!AN17</f>
        <v>2</v>
      </c>
      <c r="F15" s="176">
        <f>'Log-Rank'!AO17</f>
        <v>11</v>
      </c>
      <c r="H15" s="214">
        <f t="shared" si="0"/>
        <v>0.90909090909090917</v>
      </c>
      <c r="I15" s="215">
        <f t="shared" si="1"/>
        <v>0.4462809917355372</v>
      </c>
      <c r="J15" s="7"/>
      <c r="K15" s="214">
        <f t="shared" si="2"/>
        <v>10</v>
      </c>
      <c r="L15" s="215">
        <f t="shared" si="3"/>
        <v>54</v>
      </c>
      <c r="M15" s="7"/>
      <c r="N15" s="214">
        <f t="shared" si="4"/>
        <v>3.0151134457776365</v>
      </c>
      <c r="O15" s="215">
        <f t="shared" si="5"/>
        <v>4.9090909090909092</v>
      </c>
      <c r="P15" s="7"/>
    </row>
    <row r="16" spans="1:20" x14ac:dyDescent="0.25">
      <c r="A16">
        <v>12</v>
      </c>
      <c r="B16" s="222">
        <f>'Log-Rank'!AH18</f>
        <v>2</v>
      </c>
      <c r="C16" s="566">
        <f>'Log-Rank'!AI18</f>
        <v>4</v>
      </c>
      <c r="D16" s="269">
        <f t="shared" si="6"/>
        <v>0.88888888888888884</v>
      </c>
      <c r="E16" s="222">
        <f>'Log-Rank'!AN18</f>
        <v>2</v>
      </c>
      <c r="F16" s="176">
        <f>'Log-Rank'!AO18</f>
        <v>9</v>
      </c>
      <c r="H16" s="214">
        <f t="shared" si="0"/>
        <v>1.1111111111111112</v>
      </c>
      <c r="I16" s="215">
        <f t="shared" si="1"/>
        <v>0.43209876543209874</v>
      </c>
      <c r="J16" s="7"/>
      <c r="K16" s="214">
        <f t="shared" si="2"/>
        <v>10</v>
      </c>
      <c r="L16" s="215">
        <f t="shared" si="3"/>
        <v>35</v>
      </c>
      <c r="M16" s="7"/>
      <c r="N16" s="214">
        <f t="shared" si="4"/>
        <v>3.3333333333333335</v>
      </c>
      <c r="O16" s="215">
        <f t="shared" si="5"/>
        <v>3.8888888888888888</v>
      </c>
      <c r="P16" s="7"/>
    </row>
    <row r="17" spans="1:16" x14ac:dyDescent="0.25">
      <c r="A17">
        <v>13</v>
      </c>
      <c r="B17" s="139">
        <f>'Log-Rank'!AH19</f>
        <v>0</v>
      </c>
      <c r="C17" s="567">
        <f>'Log-Rank'!AI19</f>
        <v>2</v>
      </c>
      <c r="D17" s="269">
        <f>C17/F17*E17</f>
        <v>0.4</v>
      </c>
      <c r="E17" s="139">
        <f>'Log-Rank'!AN19</f>
        <v>1</v>
      </c>
      <c r="F17" s="115">
        <f>'Log-Rank'!AO19</f>
        <v>5</v>
      </c>
      <c r="H17" s="112">
        <f t="shared" si="0"/>
        <v>-0.4</v>
      </c>
      <c r="I17" s="120">
        <f t="shared" si="1"/>
        <v>0.24</v>
      </c>
      <c r="J17" s="7"/>
      <c r="K17" s="112">
        <f t="shared" si="2"/>
        <v>-2</v>
      </c>
      <c r="L17" s="120">
        <f t="shared" si="3"/>
        <v>6</v>
      </c>
      <c r="M17" s="7"/>
      <c r="N17" s="112">
        <f t="shared" si="4"/>
        <v>-0.89442719099991597</v>
      </c>
      <c r="O17" s="120">
        <f t="shared" si="5"/>
        <v>1.2</v>
      </c>
      <c r="P17" s="7"/>
    </row>
    <row r="18" spans="1:16" x14ac:dyDescent="0.25">
      <c r="B18" s="577"/>
      <c r="C18" s="387"/>
      <c r="D18" s="475"/>
      <c r="H18">
        <f>SUM(H5:H17)</f>
        <v>2.171908294109433</v>
      </c>
      <c r="I18">
        <f>SUM(I5:I17)</f>
        <v>4.6359025777949174</v>
      </c>
      <c r="K18">
        <f>SUM(K5:K17)</f>
        <v>42</v>
      </c>
      <c r="L18">
        <f>SUM(L5:L17)</f>
        <v>3029.35441370224</v>
      </c>
      <c r="N18">
        <f>SUM(N5:N17)</f>
        <v>9.2903639288732158</v>
      </c>
      <c r="O18">
        <f>SUM(O5:O17)</f>
        <v>109.38051313517035</v>
      </c>
    </row>
  </sheetData>
  <mergeCells count="5">
    <mergeCell ref="H3:I3"/>
    <mergeCell ref="K3:L3"/>
    <mergeCell ref="N3:O3"/>
    <mergeCell ref="B3:D3"/>
    <mergeCell ref="E3:F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D28"/>
  <sheetViews>
    <sheetView workbookViewId="0"/>
  </sheetViews>
  <sheetFormatPr defaultRowHeight="15" x14ac:dyDescent="0.25"/>
  <cols>
    <col min="1" max="1" width="3" customWidth="1"/>
    <col min="5" max="5" width="9.140625" customWidth="1"/>
    <col min="10" max="10" width="9.140625" customWidth="1"/>
    <col min="14" max="14" width="9.140625" customWidth="1"/>
    <col min="16" max="16" width="9.140625" customWidth="1"/>
    <col min="18" max="18" width="10" bestFit="1" customWidth="1"/>
    <col min="22" max="24" width="9.140625" customWidth="1"/>
  </cols>
  <sheetData>
    <row r="1" spans="1:30" x14ac:dyDescent="0.25">
      <c r="A1" s="1" t="s">
        <v>1280</v>
      </c>
      <c r="B1" s="1"/>
      <c r="C1" s="1"/>
    </row>
    <row r="3" spans="1:30" x14ac:dyDescent="0.25">
      <c r="B3" s="12" t="s">
        <v>1281</v>
      </c>
      <c r="C3" s="12" t="s">
        <v>1282</v>
      </c>
      <c r="D3" s="12" t="s">
        <v>933</v>
      </c>
      <c r="E3" s="12" t="s">
        <v>1283</v>
      </c>
      <c r="G3" s="12" t="s">
        <v>1281</v>
      </c>
      <c r="H3" s="12" t="s">
        <v>1282</v>
      </c>
      <c r="I3" s="12" t="s">
        <v>933</v>
      </c>
      <c r="J3" s="12" t="s">
        <v>1283</v>
      </c>
      <c r="K3" s="12" t="s">
        <v>1284</v>
      </c>
      <c r="L3" s="12" t="s">
        <v>1285</v>
      </c>
      <c r="M3" s="12" t="s">
        <v>626</v>
      </c>
      <c r="O3" s="12" t="s">
        <v>95</v>
      </c>
      <c r="Q3" s="12" t="s">
        <v>255</v>
      </c>
      <c r="R3" s="12" t="s">
        <v>1286</v>
      </c>
      <c r="S3" s="12" t="s">
        <v>1287</v>
      </c>
      <c r="T3" s="12" t="s">
        <v>1299</v>
      </c>
      <c r="U3" s="12" t="s">
        <v>1300</v>
      </c>
      <c r="V3" s="12" t="s">
        <v>1288</v>
      </c>
      <c r="W3" s="12" t="s">
        <v>1289</v>
      </c>
      <c r="X3" s="12" t="s">
        <v>1290</v>
      </c>
      <c r="Y3" s="12" t="s">
        <v>1301</v>
      </c>
      <c r="Z3" s="12" t="s">
        <v>1302</v>
      </c>
      <c r="AA3" s="12" t="s">
        <v>1303</v>
      </c>
      <c r="AC3" s="39" t="s">
        <v>1292</v>
      </c>
    </row>
    <row r="4" spans="1:30" x14ac:dyDescent="0.25">
      <c r="B4" s="554">
        <v>64</v>
      </c>
      <c r="C4" s="387">
        <v>0</v>
      </c>
      <c r="D4" s="387">
        <v>67</v>
      </c>
      <c r="E4" s="555">
        <v>34</v>
      </c>
      <c r="G4" s="554" t="e">
        <f t="array" aca="1" ref="G4:J21" ca="1">QSORTRows(B4:E21)</f>
        <v>#NAME?</v>
      </c>
      <c r="H4" s="387" t="e">
        <f ca="1"/>
        <v>#NAME?</v>
      </c>
      <c r="I4" s="387" t="e">
        <f ca="1"/>
        <v>#NAME?</v>
      </c>
      <c r="J4" s="555" t="e">
        <f ca="1"/>
        <v>#NAME?</v>
      </c>
      <c r="K4" s="554" t="e">
        <f t="shared" ref="K4:K21" ca="1" si="0">MMULT(I4:J4,$O$4:$O$5)</f>
        <v>#NAME?</v>
      </c>
      <c r="L4" s="387" t="e">
        <f ca="1">EXP(K4)</f>
        <v>#NAME?</v>
      </c>
      <c r="M4" s="555" t="e">
        <f ca="1">IF(H4=1,K4-LN(SUM(L4:L$21)),0)</f>
        <v>#NAME?</v>
      </c>
      <c r="O4" s="574">
        <v>0</v>
      </c>
      <c r="Q4" s="554" t="e">
        <f t="shared" ref="Q4:Q19" ca="1" si="1">L4+Q5</f>
        <v>#NAME?</v>
      </c>
      <c r="R4" s="554" t="e">
        <f ca="1">I4*L4+R5</f>
        <v>#NAME?</v>
      </c>
      <c r="S4" s="387" t="e">
        <f ca="1">J4*L4+S5</f>
        <v>#NAME?</v>
      </c>
      <c r="T4" s="387" t="e">
        <f ca="1">IF(H4=1,I4-R4/Q4,0)</f>
        <v>#NAME?</v>
      </c>
      <c r="U4" s="555" t="e">
        <f ca="1">IF(H4=1,J4-S4/Q4,0)</f>
        <v>#NAME?</v>
      </c>
      <c r="V4" s="387" t="e">
        <f ca="1">I4*I4*L4+V5</f>
        <v>#NAME?</v>
      </c>
      <c r="W4" s="387" t="e">
        <f ca="1">I4*J4*L4+W5</f>
        <v>#NAME?</v>
      </c>
      <c r="X4" s="387" t="e">
        <f ca="1">J4*J4*L4+X5</f>
        <v>#NAME?</v>
      </c>
      <c r="Y4" s="387" t="e">
        <f ca="1">IF(H4=1,(V4-R4*R4/Q4)/Q4,0)</f>
        <v>#NAME?</v>
      </c>
      <c r="Z4" s="387" t="e">
        <f ca="1">IF(H4=1,(W4-R4*S4/Q4)/Q4,0)</f>
        <v>#NAME?</v>
      </c>
      <c r="AA4" s="555" t="e">
        <f ca="1">IF(H4=1,(X4-S4*S4/Q4)/Q4,0)</f>
        <v>#NAME?</v>
      </c>
      <c r="AC4" s="554" t="e">
        <f ca="1">Y22</f>
        <v>#NAME?</v>
      </c>
      <c r="AD4" s="555" t="e">
        <f ca="1">Z22</f>
        <v>#NAME?</v>
      </c>
    </row>
    <row r="5" spans="1:30" x14ac:dyDescent="0.25">
      <c r="B5" s="214">
        <v>59</v>
      </c>
      <c r="C5" s="7">
        <v>0</v>
      </c>
      <c r="D5" s="7">
        <v>63</v>
      </c>
      <c r="E5" s="215">
        <v>6</v>
      </c>
      <c r="G5" s="214" t="e">
        <f ca="1"/>
        <v>#NAME?</v>
      </c>
      <c r="H5" s="7" t="e">
        <f ca="1"/>
        <v>#NAME?</v>
      </c>
      <c r="I5" s="7" t="e">
        <f ca="1"/>
        <v>#NAME?</v>
      </c>
      <c r="J5" s="215" t="e">
        <f ca="1"/>
        <v>#NAME?</v>
      </c>
      <c r="K5" s="214" t="e">
        <f t="shared" ca="1" si="0"/>
        <v>#NAME?</v>
      </c>
      <c r="L5" s="7" t="e">
        <f t="shared" ref="L5:L21" ca="1" si="2">EXP(K5)</f>
        <v>#NAME?</v>
      </c>
      <c r="M5" s="215" t="e">
        <f ca="1">IF(H5=1,K5-LN(SUM(L5:L$21)),0)</f>
        <v>#NAME?</v>
      </c>
      <c r="O5" s="123">
        <v>0</v>
      </c>
      <c r="Q5" s="214" t="e">
        <f t="shared" ca="1" si="1"/>
        <v>#NAME?</v>
      </c>
      <c r="R5" s="214" t="e">
        <f t="shared" ref="R5:R19" ca="1" si="3">I5*L5+R6</f>
        <v>#NAME?</v>
      </c>
      <c r="S5" s="7" t="e">
        <f t="shared" ref="S5:S19" ca="1" si="4">J5*L5+S6</f>
        <v>#NAME?</v>
      </c>
      <c r="T5" s="7" t="e">
        <f t="shared" ref="T5:T21" ca="1" si="5">IF(H5=1,I5-R5/Q5,0)</f>
        <v>#NAME?</v>
      </c>
      <c r="U5" s="215" t="e">
        <f t="shared" ref="U5:U21" ca="1" si="6">IF(H5=1,J5-S5/Q5,0)</f>
        <v>#NAME?</v>
      </c>
      <c r="V5" s="7" t="e">
        <f t="shared" ref="V5:V19" ca="1" si="7">I5*I5*L5+V6</f>
        <v>#NAME?</v>
      </c>
      <c r="W5" s="7" t="e">
        <f t="shared" ref="W5:W19" ca="1" si="8">I5*J5*L5+W6</f>
        <v>#NAME?</v>
      </c>
      <c r="X5" s="7" t="e">
        <f t="shared" ref="X5:X19" ca="1" si="9">J5*J5*L5+X6</f>
        <v>#NAME?</v>
      </c>
      <c r="Y5" s="7" t="e">
        <f t="shared" ref="Y5:Y21" ca="1" si="10">IF(H5=1,(V5-R5*R5/Q5)/Q5,0)</f>
        <v>#NAME?</v>
      </c>
      <c r="Z5" s="7" t="e">
        <f t="shared" ref="Z5:Z21" ca="1" si="11">IF(H5=1,(W5-R5*S5/Q5)/Q5,0)</f>
        <v>#NAME?</v>
      </c>
      <c r="AA5" s="215" t="e">
        <f t="shared" ref="AA5:AA21" ca="1" si="12">IF(H5=1,(X5-S5*S5/Q5)/Q5,0)</f>
        <v>#NAME?</v>
      </c>
      <c r="AC5" s="112" t="e">
        <f ca="1">Z22</f>
        <v>#NAME?</v>
      </c>
      <c r="AD5" s="120" t="e">
        <f ca="1">AA22</f>
        <v>#NAME?</v>
      </c>
    </row>
    <row r="6" spans="1:30" x14ac:dyDescent="0.25">
      <c r="B6" s="214">
        <v>51</v>
      </c>
      <c r="C6" s="7">
        <v>0</v>
      </c>
      <c r="D6" s="7">
        <v>60</v>
      </c>
      <c r="E6" s="215">
        <v>8</v>
      </c>
      <c r="G6" s="214" t="e">
        <f ca="1"/>
        <v>#NAME?</v>
      </c>
      <c r="H6" s="7" t="e">
        <f ca="1"/>
        <v>#NAME?</v>
      </c>
      <c r="I6" s="7" t="e">
        <f ca="1"/>
        <v>#NAME?</v>
      </c>
      <c r="J6" s="215" t="e">
        <f ca="1"/>
        <v>#NAME?</v>
      </c>
      <c r="K6" s="214" t="e">
        <f t="shared" ca="1" si="0"/>
        <v>#NAME?</v>
      </c>
      <c r="L6" s="7" t="e">
        <f t="shared" ca="1" si="2"/>
        <v>#NAME?</v>
      </c>
      <c r="M6" s="215" t="e">
        <f ca="1">IF(H6=1,K6-LN(SUM(L6:L$21)),0)</f>
        <v>#NAME?</v>
      </c>
      <c r="Q6" s="214" t="e">
        <f t="shared" ca="1" si="1"/>
        <v>#NAME?</v>
      </c>
      <c r="R6" s="214" t="e">
        <f t="shared" ca="1" si="3"/>
        <v>#NAME?</v>
      </c>
      <c r="S6" s="7" t="e">
        <f t="shared" ca="1" si="4"/>
        <v>#NAME?</v>
      </c>
      <c r="T6" s="7" t="e">
        <f t="shared" ca="1" si="5"/>
        <v>#NAME?</v>
      </c>
      <c r="U6" s="215" t="e">
        <f t="shared" ca="1" si="6"/>
        <v>#NAME?</v>
      </c>
      <c r="V6" s="7" t="e">
        <f t="shared" ca="1" si="7"/>
        <v>#NAME?</v>
      </c>
      <c r="W6" s="7" t="e">
        <f t="shared" ca="1" si="8"/>
        <v>#NAME?</v>
      </c>
      <c r="X6" s="7" t="e">
        <f t="shared" ca="1" si="9"/>
        <v>#NAME?</v>
      </c>
      <c r="Y6" s="7" t="e">
        <f t="shared" ca="1" si="10"/>
        <v>#NAME?</v>
      </c>
      <c r="Z6" s="7" t="e">
        <f t="shared" ca="1" si="11"/>
        <v>#NAME?</v>
      </c>
      <c r="AA6" s="215" t="e">
        <f t="shared" ca="1" si="12"/>
        <v>#NAME?</v>
      </c>
    </row>
    <row r="7" spans="1:30" x14ac:dyDescent="0.25">
      <c r="B7" s="214">
        <v>14</v>
      </c>
      <c r="C7" s="7">
        <v>1</v>
      </c>
      <c r="D7" s="7">
        <v>72</v>
      </c>
      <c r="E7" s="215">
        <v>27</v>
      </c>
      <c r="G7" s="214" t="e">
        <f ca="1"/>
        <v>#NAME?</v>
      </c>
      <c r="H7" s="7" t="e">
        <f ca="1"/>
        <v>#NAME?</v>
      </c>
      <c r="I7" s="7" t="e">
        <f ca="1"/>
        <v>#NAME?</v>
      </c>
      <c r="J7" s="215" t="e">
        <f ca="1"/>
        <v>#NAME?</v>
      </c>
      <c r="K7" s="214" t="e">
        <f t="shared" ca="1" si="0"/>
        <v>#NAME?</v>
      </c>
      <c r="L7" s="7" t="e">
        <f t="shared" ca="1" si="2"/>
        <v>#NAME?</v>
      </c>
      <c r="M7" s="215" t="e">
        <f ca="1">IF(H7=1,K7-LN(SUM(L7:L$21)),0)</f>
        <v>#NAME?</v>
      </c>
      <c r="Q7" s="214" t="e">
        <f t="shared" ca="1" si="1"/>
        <v>#NAME?</v>
      </c>
      <c r="R7" s="214" t="e">
        <f t="shared" ca="1" si="3"/>
        <v>#NAME?</v>
      </c>
      <c r="S7" s="7" t="e">
        <f t="shared" ca="1" si="4"/>
        <v>#NAME?</v>
      </c>
      <c r="T7" s="7" t="e">
        <f t="shared" ca="1" si="5"/>
        <v>#NAME?</v>
      </c>
      <c r="U7" s="215" t="e">
        <f t="shared" ca="1" si="6"/>
        <v>#NAME?</v>
      </c>
      <c r="V7" s="7" t="e">
        <f t="shared" ca="1" si="7"/>
        <v>#NAME?</v>
      </c>
      <c r="W7" s="7" t="e">
        <f t="shared" ca="1" si="8"/>
        <v>#NAME?</v>
      </c>
      <c r="X7" s="7" t="e">
        <f t="shared" ca="1" si="9"/>
        <v>#NAME?</v>
      </c>
      <c r="Y7" s="7" t="e">
        <f t="shared" ca="1" si="10"/>
        <v>#NAME?</v>
      </c>
      <c r="Z7" s="7" t="e">
        <f t="shared" ca="1" si="11"/>
        <v>#NAME?</v>
      </c>
      <c r="AA7" s="215" t="e">
        <f t="shared" ca="1" si="12"/>
        <v>#NAME?</v>
      </c>
      <c r="AC7" t="s">
        <v>1293</v>
      </c>
    </row>
    <row r="8" spans="1:30" x14ac:dyDescent="0.25">
      <c r="B8" s="214">
        <v>43</v>
      </c>
      <c r="C8" s="7">
        <v>0</v>
      </c>
      <c r="D8" s="7">
        <v>59</v>
      </c>
      <c r="E8" s="215">
        <v>6</v>
      </c>
      <c r="G8" s="214" t="e">
        <f ca="1"/>
        <v>#NAME?</v>
      </c>
      <c r="H8" s="7" t="e">
        <f ca="1"/>
        <v>#NAME?</v>
      </c>
      <c r="I8" s="7" t="e">
        <f ca="1"/>
        <v>#NAME?</v>
      </c>
      <c r="J8" s="215" t="e">
        <f ca="1"/>
        <v>#NAME?</v>
      </c>
      <c r="K8" s="214" t="e">
        <f t="shared" ca="1" si="0"/>
        <v>#NAME?</v>
      </c>
      <c r="L8" s="7" t="e">
        <f t="shared" ca="1" si="2"/>
        <v>#NAME?</v>
      </c>
      <c r="M8" s="215" t="e">
        <f ca="1">IF(H8=1,K8-LN(SUM(L8:L$21)),0)</f>
        <v>#NAME?</v>
      </c>
      <c r="Q8" s="214" t="e">
        <f t="shared" ca="1" si="1"/>
        <v>#NAME?</v>
      </c>
      <c r="R8" s="214" t="e">
        <f t="shared" ca="1" si="3"/>
        <v>#NAME?</v>
      </c>
      <c r="S8" s="7" t="e">
        <f t="shared" ca="1" si="4"/>
        <v>#NAME?</v>
      </c>
      <c r="T8" s="7" t="e">
        <f t="shared" ca="1" si="5"/>
        <v>#NAME?</v>
      </c>
      <c r="U8" s="215" t="e">
        <f t="shared" ca="1" si="6"/>
        <v>#NAME?</v>
      </c>
      <c r="V8" s="7" t="e">
        <f t="shared" ca="1" si="7"/>
        <v>#NAME?</v>
      </c>
      <c r="W8" s="7" t="e">
        <f t="shared" ca="1" si="8"/>
        <v>#NAME?</v>
      </c>
      <c r="X8" s="7" t="e">
        <f t="shared" ca="1" si="9"/>
        <v>#NAME?</v>
      </c>
      <c r="Y8" s="7" t="e">
        <f t="shared" ca="1" si="10"/>
        <v>#NAME?</v>
      </c>
      <c r="Z8" s="7" t="e">
        <f t="shared" ca="1" si="11"/>
        <v>#NAME?</v>
      </c>
      <c r="AA8" s="215" t="e">
        <f t="shared" ca="1" si="12"/>
        <v>#NAME?</v>
      </c>
      <c r="AC8" s="554" t="e">
        <f t="array" aca="1" ref="AC8:AD9" ca="1">MINVERSE(AC4:AD5)</f>
        <v>#NAME?</v>
      </c>
      <c r="AD8" s="555" t="e">
        <f ca="1"/>
        <v>#NAME?</v>
      </c>
    </row>
    <row r="9" spans="1:30" x14ac:dyDescent="0.25">
      <c r="B9" s="214">
        <v>52</v>
      </c>
      <c r="C9" s="7">
        <v>0</v>
      </c>
      <c r="D9" s="7">
        <v>74</v>
      </c>
      <c r="E9" s="215">
        <v>4</v>
      </c>
      <c r="G9" s="214" t="e">
        <f ca="1"/>
        <v>#NAME?</v>
      </c>
      <c r="H9" s="7" t="e">
        <f ca="1"/>
        <v>#NAME?</v>
      </c>
      <c r="I9" s="7" t="e">
        <f ca="1"/>
        <v>#NAME?</v>
      </c>
      <c r="J9" s="215" t="e">
        <f ca="1"/>
        <v>#NAME?</v>
      </c>
      <c r="K9" s="214" t="e">
        <f t="shared" ca="1" si="0"/>
        <v>#NAME?</v>
      </c>
      <c r="L9" s="7" t="e">
        <f t="shared" ca="1" si="2"/>
        <v>#NAME?</v>
      </c>
      <c r="M9" s="215" t="e">
        <f ca="1">IF(H9=1,K9-LN(SUM(L9:L$21)),0)</f>
        <v>#NAME?</v>
      </c>
      <c r="Q9" s="214" t="e">
        <f t="shared" ca="1" si="1"/>
        <v>#NAME?</v>
      </c>
      <c r="R9" s="214" t="e">
        <f t="shared" ca="1" si="3"/>
        <v>#NAME?</v>
      </c>
      <c r="S9" s="7" t="e">
        <f t="shared" ca="1" si="4"/>
        <v>#NAME?</v>
      </c>
      <c r="T9" s="7" t="e">
        <f t="shared" ca="1" si="5"/>
        <v>#NAME?</v>
      </c>
      <c r="U9" s="215" t="e">
        <f t="shared" ca="1" si="6"/>
        <v>#NAME?</v>
      </c>
      <c r="V9" s="7" t="e">
        <f t="shared" ca="1" si="7"/>
        <v>#NAME?</v>
      </c>
      <c r="W9" s="7" t="e">
        <f t="shared" ca="1" si="8"/>
        <v>#NAME?</v>
      </c>
      <c r="X9" s="7" t="e">
        <f t="shared" ca="1" si="9"/>
        <v>#NAME?</v>
      </c>
      <c r="Y9" s="7" t="e">
        <f t="shared" ca="1" si="10"/>
        <v>#NAME?</v>
      </c>
      <c r="Z9" s="7" t="e">
        <f t="shared" ca="1" si="11"/>
        <v>#NAME?</v>
      </c>
      <c r="AA9" s="215" t="e">
        <f t="shared" ca="1" si="12"/>
        <v>#NAME?</v>
      </c>
      <c r="AC9" s="112" t="e">
        <f ca="1"/>
        <v>#NAME?</v>
      </c>
      <c r="AD9" s="120" t="e">
        <f ca="1"/>
        <v>#NAME?</v>
      </c>
    </row>
    <row r="10" spans="1:30" x14ac:dyDescent="0.25">
      <c r="B10" s="214">
        <v>59</v>
      </c>
      <c r="C10" s="7">
        <v>0</v>
      </c>
      <c r="D10" s="7">
        <v>77</v>
      </c>
      <c r="E10" s="215">
        <v>6</v>
      </c>
      <c r="G10" s="214" t="e">
        <f ca="1"/>
        <v>#NAME?</v>
      </c>
      <c r="H10" s="7" t="e">
        <f ca="1"/>
        <v>#NAME?</v>
      </c>
      <c r="I10" s="7" t="e">
        <f ca="1"/>
        <v>#NAME?</v>
      </c>
      <c r="J10" s="215" t="e">
        <f ca="1"/>
        <v>#NAME?</v>
      </c>
      <c r="K10" s="214" t="e">
        <f t="shared" ca="1" si="0"/>
        <v>#NAME?</v>
      </c>
      <c r="L10" s="7" t="e">
        <f t="shared" ca="1" si="2"/>
        <v>#NAME?</v>
      </c>
      <c r="M10" s="215" t="e">
        <f ca="1">IF(H10=1,K10-LN(SUM(L10:L$21)),0)</f>
        <v>#NAME?</v>
      </c>
      <c r="Q10" s="214" t="e">
        <f t="shared" ca="1" si="1"/>
        <v>#NAME?</v>
      </c>
      <c r="R10" s="214" t="e">
        <f t="shared" ca="1" si="3"/>
        <v>#NAME?</v>
      </c>
      <c r="S10" s="7" t="e">
        <f t="shared" ca="1" si="4"/>
        <v>#NAME?</v>
      </c>
      <c r="T10" s="7" t="e">
        <f t="shared" ca="1" si="5"/>
        <v>#NAME?</v>
      </c>
      <c r="U10" s="215" t="e">
        <f t="shared" ca="1" si="6"/>
        <v>#NAME?</v>
      </c>
      <c r="V10" s="7" t="e">
        <f t="shared" ca="1" si="7"/>
        <v>#NAME?</v>
      </c>
      <c r="W10" s="7" t="e">
        <f t="shared" ca="1" si="8"/>
        <v>#NAME?</v>
      </c>
      <c r="X10" s="7" t="e">
        <f t="shared" ca="1" si="9"/>
        <v>#NAME?</v>
      </c>
      <c r="Y10" s="7" t="e">
        <f t="shared" ca="1" si="10"/>
        <v>#NAME?</v>
      </c>
      <c r="Z10" s="7" t="e">
        <f t="shared" ca="1" si="11"/>
        <v>#NAME?</v>
      </c>
      <c r="AA10" s="215" t="e">
        <f t="shared" ca="1" si="12"/>
        <v>#NAME?</v>
      </c>
    </row>
    <row r="11" spans="1:30" x14ac:dyDescent="0.25">
      <c r="B11" s="214">
        <v>5</v>
      </c>
      <c r="C11" s="7">
        <v>1</v>
      </c>
      <c r="D11" s="7">
        <v>77</v>
      </c>
      <c r="E11" s="215">
        <v>15</v>
      </c>
      <c r="G11" s="214" t="e">
        <f ca="1"/>
        <v>#NAME?</v>
      </c>
      <c r="H11" s="7" t="e">
        <f ca="1"/>
        <v>#NAME?</v>
      </c>
      <c r="I11" s="7" t="e">
        <f ca="1"/>
        <v>#NAME?</v>
      </c>
      <c r="J11" s="215" t="e">
        <f ca="1"/>
        <v>#NAME?</v>
      </c>
      <c r="K11" s="214" t="e">
        <f t="shared" ca="1" si="0"/>
        <v>#NAME?</v>
      </c>
      <c r="L11" s="7" t="e">
        <f t="shared" ca="1" si="2"/>
        <v>#NAME?</v>
      </c>
      <c r="M11" s="215" t="e">
        <f ca="1">IF(H11=1,K11-LN(SUM(L11:L$21)),0)</f>
        <v>#NAME?</v>
      </c>
      <c r="Q11" s="214" t="e">
        <f t="shared" ca="1" si="1"/>
        <v>#NAME?</v>
      </c>
      <c r="R11" s="214" t="e">
        <f t="shared" ca="1" si="3"/>
        <v>#NAME?</v>
      </c>
      <c r="S11" s="7" t="e">
        <f t="shared" ca="1" si="4"/>
        <v>#NAME?</v>
      </c>
      <c r="T11" s="7" t="e">
        <f t="shared" ca="1" si="5"/>
        <v>#NAME?</v>
      </c>
      <c r="U11" s="215" t="e">
        <f t="shared" ca="1" si="6"/>
        <v>#NAME?</v>
      </c>
      <c r="V11" s="7" t="e">
        <f t="shared" ca="1" si="7"/>
        <v>#NAME?</v>
      </c>
      <c r="W11" s="7" t="e">
        <f t="shared" ca="1" si="8"/>
        <v>#NAME?</v>
      </c>
      <c r="X11" s="7" t="e">
        <f t="shared" ca="1" si="9"/>
        <v>#NAME?</v>
      </c>
      <c r="Y11" s="7" t="e">
        <f t="shared" ca="1" si="10"/>
        <v>#NAME?</v>
      </c>
      <c r="Z11" s="7" t="e">
        <f t="shared" ca="1" si="11"/>
        <v>#NAME?</v>
      </c>
      <c r="AA11" s="215" t="e">
        <f t="shared" ca="1" si="12"/>
        <v>#NAME?</v>
      </c>
      <c r="AC11" s="39" t="s">
        <v>1294</v>
      </c>
    </row>
    <row r="12" spans="1:30" x14ac:dyDescent="0.25">
      <c r="B12" s="214">
        <v>67</v>
      </c>
      <c r="C12" s="7">
        <v>0</v>
      </c>
      <c r="D12" s="7">
        <v>70</v>
      </c>
      <c r="E12" s="215">
        <v>8</v>
      </c>
      <c r="G12" s="214" t="e">
        <f ca="1"/>
        <v>#NAME?</v>
      </c>
      <c r="H12" s="7" t="e">
        <f ca="1"/>
        <v>#NAME?</v>
      </c>
      <c r="I12" s="7" t="e">
        <f ca="1"/>
        <v>#NAME?</v>
      </c>
      <c r="J12" s="215" t="e">
        <f ca="1"/>
        <v>#NAME?</v>
      </c>
      <c r="K12" s="214" t="e">
        <f t="shared" ca="1" si="0"/>
        <v>#NAME?</v>
      </c>
      <c r="L12" s="7" t="e">
        <f t="shared" ca="1" si="2"/>
        <v>#NAME?</v>
      </c>
      <c r="M12" s="215" t="e">
        <f ca="1">IF(H12=1,K12-LN(SUM(L12:L$21)),0)</f>
        <v>#NAME?</v>
      </c>
      <c r="Q12" s="214" t="e">
        <f t="shared" ca="1" si="1"/>
        <v>#NAME?</v>
      </c>
      <c r="R12" s="214" t="e">
        <f t="shared" ca="1" si="3"/>
        <v>#NAME?</v>
      </c>
      <c r="S12" s="7" t="e">
        <f t="shared" ca="1" si="4"/>
        <v>#NAME?</v>
      </c>
      <c r="T12" s="7" t="e">
        <f t="shared" ca="1" si="5"/>
        <v>#NAME?</v>
      </c>
      <c r="U12" s="215" t="e">
        <f t="shared" ca="1" si="6"/>
        <v>#NAME?</v>
      </c>
      <c r="V12" s="7" t="e">
        <f t="shared" ca="1" si="7"/>
        <v>#NAME?</v>
      </c>
      <c r="W12" s="7" t="e">
        <f t="shared" ca="1" si="8"/>
        <v>#NAME?</v>
      </c>
      <c r="X12" s="7" t="e">
        <f t="shared" ca="1" si="9"/>
        <v>#NAME?</v>
      </c>
      <c r="Y12" s="7" t="e">
        <f t="shared" ca="1" si="10"/>
        <v>#NAME?</v>
      </c>
      <c r="Z12" s="7" t="e">
        <f t="shared" ca="1" si="11"/>
        <v>#NAME?</v>
      </c>
      <c r="AA12" s="215" t="e">
        <f t="shared" ca="1" si="12"/>
        <v>#NAME?</v>
      </c>
      <c r="AC12" s="574" t="e">
        <f ca="1">T22</f>
        <v>#NAME?</v>
      </c>
    </row>
    <row r="13" spans="1:30" x14ac:dyDescent="0.25">
      <c r="B13" s="214">
        <v>70</v>
      </c>
      <c r="C13" s="7">
        <v>1</v>
      </c>
      <c r="D13" s="7">
        <v>61</v>
      </c>
      <c r="E13" s="215">
        <v>16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215" t="e">
        <f ca="1"/>
        <v>#NAME?</v>
      </c>
      <c r="K13" s="214" t="e">
        <f t="shared" ca="1" si="0"/>
        <v>#NAME?</v>
      </c>
      <c r="L13" s="7" t="e">
        <f t="shared" ca="1" si="2"/>
        <v>#NAME?</v>
      </c>
      <c r="M13" s="215" t="e">
        <f ca="1">IF(H13=1,K13-LN(SUM(L13:L$21)),0)</f>
        <v>#NAME?</v>
      </c>
      <c r="Q13" s="214" t="e">
        <f t="shared" ca="1" si="1"/>
        <v>#NAME?</v>
      </c>
      <c r="R13" s="214" t="e">
        <f t="shared" ca="1" si="3"/>
        <v>#NAME?</v>
      </c>
      <c r="S13" s="7" t="e">
        <f t="shared" ca="1" si="4"/>
        <v>#NAME?</v>
      </c>
      <c r="T13" s="7" t="e">
        <f t="shared" ca="1" si="5"/>
        <v>#NAME?</v>
      </c>
      <c r="U13" s="215" t="e">
        <f t="shared" ca="1" si="6"/>
        <v>#NAME?</v>
      </c>
      <c r="V13" s="7" t="e">
        <f t="shared" ca="1" si="7"/>
        <v>#NAME?</v>
      </c>
      <c r="W13" s="7" t="e">
        <f t="shared" ca="1" si="8"/>
        <v>#NAME?</v>
      </c>
      <c r="X13" s="7" t="e">
        <f t="shared" ca="1" si="9"/>
        <v>#NAME?</v>
      </c>
      <c r="Y13" s="7" t="e">
        <f t="shared" ca="1" si="10"/>
        <v>#NAME?</v>
      </c>
      <c r="Z13" s="7" t="e">
        <f t="shared" ca="1" si="11"/>
        <v>#NAME?</v>
      </c>
      <c r="AA13" s="215" t="e">
        <f t="shared" ca="1" si="12"/>
        <v>#NAME?</v>
      </c>
      <c r="AC13" s="123" t="e">
        <f ca="1">U22</f>
        <v>#NAME?</v>
      </c>
    </row>
    <row r="14" spans="1:30" x14ac:dyDescent="0.25">
      <c r="B14" s="214">
        <v>67</v>
      </c>
      <c r="C14" s="7">
        <v>0</v>
      </c>
      <c r="D14" s="7">
        <v>71</v>
      </c>
      <c r="E14" s="215">
        <v>9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K14" s="214" t="e">
        <f t="shared" ca="1" si="0"/>
        <v>#NAME?</v>
      </c>
      <c r="L14" s="7" t="e">
        <f t="shared" ca="1" si="2"/>
        <v>#NAME?</v>
      </c>
      <c r="M14" s="215" t="e">
        <f ca="1">IF(H14=1,K14-LN(SUM(L14:L$21)),0)</f>
        <v>#NAME?</v>
      </c>
      <c r="Q14" s="214" t="e">
        <f t="shared" ca="1" si="1"/>
        <v>#NAME?</v>
      </c>
      <c r="R14" s="214" t="e">
        <f t="shared" ca="1" si="3"/>
        <v>#NAME?</v>
      </c>
      <c r="S14" s="7" t="e">
        <f t="shared" ca="1" si="4"/>
        <v>#NAME?</v>
      </c>
      <c r="T14" s="7" t="e">
        <f t="shared" ca="1" si="5"/>
        <v>#NAME?</v>
      </c>
      <c r="U14" s="215" t="e">
        <f t="shared" ca="1" si="6"/>
        <v>#NAME?</v>
      </c>
      <c r="V14" s="7" t="e">
        <f t="shared" ca="1" si="7"/>
        <v>#NAME?</v>
      </c>
      <c r="W14" s="7" t="e">
        <f t="shared" ca="1" si="8"/>
        <v>#NAME?</v>
      </c>
      <c r="X14" s="7" t="e">
        <f t="shared" ca="1" si="9"/>
        <v>#NAME?</v>
      </c>
      <c r="Y14" s="7" t="e">
        <f t="shared" ca="1" si="10"/>
        <v>#NAME?</v>
      </c>
      <c r="Z14" s="7" t="e">
        <f t="shared" ca="1" si="11"/>
        <v>#NAME?</v>
      </c>
      <c r="AA14" s="215" t="e">
        <f t="shared" ca="1" si="12"/>
        <v>#NAME?</v>
      </c>
    </row>
    <row r="15" spans="1:30" x14ac:dyDescent="0.25">
      <c r="B15" s="214">
        <v>30</v>
      </c>
      <c r="C15" s="7">
        <v>0</v>
      </c>
      <c r="D15" s="7">
        <v>70</v>
      </c>
      <c r="E15" s="215">
        <v>11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K15" s="214" t="e">
        <f t="shared" ca="1" si="0"/>
        <v>#NAME?</v>
      </c>
      <c r="L15" s="7" t="e">
        <f t="shared" ca="1" si="2"/>
        <v>#NAME?</v>
      </c>
      <c r="M15" s="215" t="e">
        <f ca="1">IF(H15=1,K15-LN(SUM(L15:L$21)),0)</f>
        <v>#NAME?</v>
      </c>
      <c r="Q15" s="214" t="e">
        <f t="shared" ca="1" si="1"/>
        <v>#NAME?</v>
      </c>
      <c r="R15" s="214" t="e">
        <f t="shared" ca="1" si="3"/>
        <v>#NAME?</v>
      </c>
      <c r="S15" s="7" t="e">
        <f t="shared" ca="1" si="4"/>
        <v>#NAME?</v>
      </c>
      <c r="T15" s="7" t="e">
        <f t="shared" ca="1" si="5"/>
        <v>#NAME?</v>
      </c>
      <c r="U15" s="215" t="e">
        <f t="shared" ca="1" si="6"/>
        <v>#NAME?</v>
      </c>
      <c r="V15" s="7" t="e">
        <f t="shared" ca="1" si="7"/>
        <v>#NAME?</v>
      </c>
      <c r="W15" s="7" t="e">
        <f t="shared" ca="1" si="8"/>
        <v>#NAME?</v>
      </c>
      <c r="X15" s="7" t="e">
        <f t="shared" ca="1" si="9"/>
        <v>#NAME?</v>
      </c>
      <c r="Y15" s="7" t="e">
        <f t="shared" ca="1" si="10"/>
        <v>#NAME?</v>
      </c>
      <c r="Z15" s="7" t="e">
        <f t="shared" ca="1" si="11"/>
        <v>#NAME?</v>
      </c>
      <c r="AA15" s="215" t="e">
        <f t="shared" ca="1" si="12"/>
        <v>#NAME?</v>
      </c>
    </row>
    <row r="16" spans="1:30" x14ac:dyDescent="0.25">
      <c r="B16" s="214">
        <v>62</v>
      </c>
      <c r="C16" s="7">
        <v>1</v>
      </c>
      <c r="D16" s="7">
        <v>75</v>
      </c>
      <c r="E16" s="215">
        <v>15</v>
      </c>
      <c r="G16" s="214" t="e">
        <f ca="1"/>
        <v>#NAME?</v>
      </c>
      <c r="H16" s="7" t="e">
        <f ca="1"/>
        <v>#NAME?</v>
      </c>
      <c r="I16" s="7" t="e">
        <f ca="1"/>
        <v>#NAME?</v>
      </c>
      <c r="J16" s="215" t="e">
        <f ca="1"/>
        <v>#NAME?</v>
      </c>
      <c r="K16" s="214" t="e">
        <f t="shared" ca="1" si="0"/>
        <v>#NAME?</v>
      </c>
      <c r="L16" s="7" t="e">
        <f t="shared" ca="1" si="2"/>
        <v>#NAME?</v>
      </c>
      <c r="M16" s="215" t="e">
        <f ca="1">IF(H16=1,K16-LN(SUM(L16:L$21)),0)</f>
        <v>#NAME?</v>
      </c>
      <c r="Q16" s="214" t="e">
        <f t="shared" ca="1" si="1"/>
        <v>#NAME?</v>
      </c>
      <c r="R16" s="214" t="e">
        <f t="shared" ca="1" si="3"/>
        <v>#NAME?</v>
      </c>
      <c r="S16" s="7" t="e">
        <f t="shared" ca="1" si="4"/>
        <v>#NAME?</v>
      </c>
      <c r="T16" s="7" t="e">
        <f t="shared" ca="1" si="5"/>
        <v>#NAME?</v>
      </c>
      <c r="U16" s="215" t="e">
        <f t="shared" ca="1" si="6"/>
        <v>#NAME?</v>
      </c>
      <c r="V16" s="7" t="e">
        <f t="shared" ca="1" si="7"/>
        <v>#NAME?</v>
      </c>
      <c r="W16" s="7" t="e">
        <f t="shared" ca="1" si="8"/>
        <v>#NAME?</v>
      </c>
      <c r="X16" s="7" t="e">
        <f t="shared" ca="1" si="9"/>
        <v>#NAME?</v>
      </c>
      <c r="Y16" s="7" t="e">
        <f t="shared" ca="1" si="10"/>
        <v>#NAME?</v>
      </c>
      <c r="Z16" s="7" t="e">
        <f t="shared" ca="1" si="11"/>
        <v>#NAME?</v>
      </c>
      <c r="AA16" s="215" t="e">
        <f t="shared" ca="1" si="12"/>
        <v>#NAME?</v>
      </c>
    </row>
    <row r="17" spans="2:29" x14ac:dyDescent="0.25">
      <c r="B17" s="214">
        <v>27</v>
      </c>
      <c r="C17" s="7">
        <v>1</v>
      </c>
      <c r="D17" s="7">
        <v>72</v>
      </c>
      <c r="E17" s="215">
        <v>36</v>
      </c>
      <c r="G17" s="214" t="e">
        <f ca="1"/>
        <v>#NAME?</v>
      </c>
      <c r="H17" s="7" t="e">
        <f ca="1"/>
        <v>#NAME?</v>
      </c>
      <c r="I17" s="7" t="e">
        <f ca="1"/>
        <v>#NAME?</v>
      </c>
      <c r="J17" s="215" t="e">
        <f ca="1"/>
        <v>#NAME?</v>
      </c>
      <c r="K17" s="214" t="e">
        <f t="shared" ca="1" si="0"/>
        <v>#NAME?</v>
      </c>
      <c r="L17" s="7" t="e">
        <f t="shared" ca="1" si="2"/>
        <v>#NAME?</v>
      </c>
      <c r="M17" s="215" t="e">
        <f ca="1">IF(H17=1,K17-LN(SUM(L17:L$21)),0)</f>
        <v>#NAME?</v>
      </c>
      <c r="Q17" s="214" t="e">
        <f t="shared" ca="1" si="1"/>
        <v>#NAME?</v>
      </c>
      <c r="R17" s="214" t="e">
        <f t="shared" ca="1" si="3"/>
        <v>#NAME?</v>
      </c>
      <c r="S17" s="7" t="e">
        <f t="shared" ca="1" si="4"/>
        <v>#NAME?</v>
      </c>
      <c r="T17" s="7" t="e">
        <f t="shared" ca="1" si="5"/>
        <v>#NAME?</v>
      </c>
      <c r="U17" s="215" t="e">
        <f t="shared" ca="1" si="6"/>
        <v>#NAME?</v>
      </c>
      <c r="V17" s="7" t="e">
        <f t="shared" ca="1" si="7"/>
        <v>#NAME?</v>
      </c>
      <c r="W17" s="7" t="e">
        <f t="shared" ca="1" si="8"/>
        <v>#NAME?</v>
      </c>
      <c r="X17" s="7" t="e">
        <f t="shared" ca="1" si="9"/>
        <v>#NAME?</v>
      </c>
      <c r="Y17" s="7" t="e">
        <f t="shared" ca="1" si="10"/>
        <v>#NAME?</v>
      </c>
      <c r="Z17" s="7" t="e">
        <f t="shared" ca="1" si="11"/>
        <v>#NAME?</v>
      </c>
      <c r="AA17" s="215" t="e">
        <f t="shared" ca="1" si="12"/>
        <v>#NAME?</v>
      </c>
    </row>
    <row r="18" spans="2:29" x14ac:dyDescent="0.25">
      <c r="B18" s="214">
        <v>41</v>
      </c>
      <c r="C18" s="7">
        <v>1</v>
      </c>
      <c r="D18" s="7">
        <v>58</v>
      </c>
      <c r="E18" s="215">
        <v>25</v>
      </c>
      <c r="G18" s="214" t="e">
        <f ca="1"/>
        <v>#NAME?</v>
      </c>
      <c r="H18" s="7" t="e">
        <f ca="1"/>
        <v>#NAME?</v>
      </c>
      <c r="I18" s="7" t="e">
        <f ca="1"/>
        <v>#NAME?</v>
      </c>
      <c r="J18" s="215" t="e">
        <f ca="1"/>
        <v>#NAME?</v>
      </c>
      <c r="K18" s="214" t="e">
        <f t="shared" ca="1" si="0"/>
        <v>#NAME?</v>
      </c>
      <c r="L18" s="7" t="e">
        <f t="shared" ca="1" si="2"/>
        <v>#NAME?</v>
      </c>
      <c r="M18" s="215" t="e">
        <f ca="1">IF(H18=1,K18-LN(SUM(L18:L$21)),0)</f>
        <v>#NAME?</v>
      </c>
      <c r="Q18" s="214" t="e">
        <f t="shared" ca="1" si="1"/>
        <v>#NAME?</v>
      </c>
      <c r="R18" s="214" t="e">
        <f t="shared" ca="1" si="3"/>
        <v>#NAME?</v>
      </c>
      <c r="S18" s="7" t="e">
        <f t="shared" ca="1" si="4"/>
        <v>#NAME?</v>
      </c>
      <c r="T18" s="7" t="e">
        <f t="shared" ca="1" si="5"/>
        <v>#NAME?</v>
      </c>
      <c r="U18" s="215" t="e">
        <f t="shared" ca="1" si="6"/>
        <v>#NAME?</v>
      </c>
      <c r="V18" s="7" t="e">
        <f t="shared" ca="1" si="7"/>
        <v>#NAME?</v>
      </c>
      <c r="W18" s="7" t="e">
        <f t="shared" ca="1" si="8"/>
        <v>#NAME?</v>
      </c>
      <c r="X18" s="7" t="e">
        <f t="shared" ca="1" si="9"/>
        <v>#NAME?</v>
      </c>
      <c r="Y18" s="7" t="e">
        <f t="shared" ca="1" si="10"/>
        <v>#NAME?</v>
      </c>
      <c r="Z18" s="7" t="e">
        <f t="shared" ca="1" si="11"/>
        <v>#NAME?</v>
      </c>
      <c r="AA18" s="215" t="e">
        <f t="shared" ca="1" si="12"/>
        <v>#NAME?</v>
      </c>
    </row>
    <row r="19" spans="2:29" x14ac:dyDescent="0.25">
      <c r="B19" s="214">
        <v>37</v>
      </c>
      <c r="C19" s="7">
        <v>1</v>
      </c>
      <c r="D19" s="7">
        <v>80</v>
      </c>
      <c r="E19" s="215">
        <v>8</v>
      </c>
      <c r="G19" s="214" t="e">
        <f ca="1"/>
        <v>#NAME?</v>
      </c>
      <c r="H19" s="7" t="e">
        <f ca="1"/>
        <v>#NAME?</v>
      </c>
      <c r="I19" s="7" t="e">
        <f ca="1"/>
        <v>#NAME?</v>
      </c>
      <c r="J19" s="215" t="e">
        <f ca="1"/>
        <v>#NAME?</v>
      </c>
      <c r="K19" s="214" t="e">
        <f t="shared" ca="1" si="0"/>
        <v>#NAME?</v>
      </c>
      <c r="L19" s="7" t="e">
        <f t="shared" ca="1" si="2"/>
        <v>#NAME?</v>
      </c>
      <c r="M19" s="215" t="e">
        <f ca="1">IF(H19=1,K19-LN(SUM(L19:L$21)),0)</f>
        <v>#NAME?</v>
      </c>
      <c r="Q19" s="214" t="e">
        <f t="shared" ca="1" si="1"/>
        <v>#NAME?</v>
      </c>
      <c r="R19" s="214" t="e">
        <f t="shared" ca="1" si="3"/>
        <v>#NAME?</v>
      </c>
      <c r="S19" s="7" t="e">
        <f t="shared" ca="1" si="4"/>
        <v>#NAME?</v>
      </c>
      <c r="T19" s="7" t="e">
        <f t="shared" ca="1" si="5"/>
        <v>#NAME?</v>
      </c>
      <c r="U19" s="215" t="e">
        <f t="shared" ca="1" si="6"/>
        <v>#NAME?</v>
      </c>
      <c r="V19" s="7" t="e">
        <f t="shared" ca="1" si="7"/>
        <v>#NAME?</v>
      </c>
      <c r="W19" s="7" t="e">
        <f t="shared" ca="1" si="8"/>
        <v>#NAME?</v>
      </c>
      <c r="X19" s="7" t="e">
        <f t="shared" ca="1" si="9"/>
        <v>#NAME?</v>
      </c>
      <c r="Y19" s="7" t="e">
        <f t="shared" ca="1" si="10"/>
        <v>#NAME?</v>
      </c>
      <c r="Z19" s="7" t="e">
        <f t="shared" ca="1" si="11"/>
        <v>#NAME?</v>
      </c>
      <c r="AA19" s="215" t="e">
        <f t="shared" ca="1" si="12"/>
        <v>#NAME?</v>
      </c>
    </row>
    <row r="20" spans="2:29" x14ac:dyDescent="0.25">
      <c r="B20" s="214">
        <v>25</v>
      </c>
      <c r="C20" s="7">
        <v>0</v>
      </c>
      <c r="D20" s="7">
        <v>68</v>
      </c>
      <c r="E20" s="215">
        <v>3</v>
      </c>
      <c r="G20" s="214" t="e">
        <f ca="1"/>
        <v>#NAME?</v>
      </c>
      <c r="H20" s="7" t="e">
        <f ca="1"/>
        <v>#NAME?</v>
      </c>
      <c r="I20" s="7" t="e">
        <f ca="1"/>
        <v>#NAME?</v>
      </c>
      <c r="J20" s="215" t="e">
        <f ca="1"/>
        <v>#NAME?</v>
      </c>
      <c r="K20" s="214" t="e">
        <f t="shared" ca="1" si="0"/>
        <v>#NAME?</v>
      </c>
      <c r="L20" s="7" t="e">
        <f t="shared" ca="1" si="2"/>
        <v>#NAME?</v>
      </c>
      <c r="M20" s="215" t="e">
        <f ca="1">IF(H20=1,K20-LN(SUM(L20:L$21)),0)</f>
        <v>#NAME?</v>
      </c>
      <c r="Q20" s="214" t="e">
        <f ca="1">L20+Q21</f>
        <v>#NAME?</v>
      </c>
      <c r="R20" s="214" t="e">
        <f ca="1">I20*L20+R21</f>
        <v>#NAME?</v>
      </c>
      <c r="S20" s="7" t="e">
        <f ca="1">J20*L20+S21</f>
        <v>#NAME?</v>
      </c>
      <c r="T20" s="7" t="e">
        <f t="shared" ca="1" si="5"/>
        <v>#NAME?</v>
      </c>
      <c r="U20" s="215" t="e">
        <f t="shared" ca="1" si="6"/>
        <v>#NAME?</v>
      </c>
      <c r="V20" s="7" t="e">
        <f ca="1">I20*I20*L20+V21</f>
        <v>#NAME?</v>
      </c>
      <c r="W20" s="7" t="e">
        <f ca="1">I20*J20*L20+W21</f>
        <v>#NAME?</v>
      </c>
      <c r="X20" s="7" t="e">
        <f ca="1">J20*J20*L20+X21</f>
        <v>#NAME?</v>
      </c>
      <c r="Y20" s="7" t="e">
        <f t="shared" ca="1" si="10"/>
        <v>#NAME?</v>
      </c>
      <c r="Z20" s="7" t="e">
        <f t="shared" ca="1" si="11"/>
        <v>#NAME?</v>
      </c>
      <c r="AA20" s="215" t="e">
        <f t="shared" ca="1" si="12"/>
        <v>#NAME?</v>
      </c>
    </row>
    <row r="21" spans="2:29" x14ac:dyDescent="0.25">
      <c r="B21" s="112">
        <v>62</v>
      </c>
      <c r="C21" s="354">
        <v>0</v>
      </c>
      <c r="D21" s="354">
        <v>64</v>
      </c>
      <c r="E21" s="120">
        <v>2</v>
      </c>
      <c r="G21" s="112" t="e">
        <f ca="1"/>
        <v>#NAME?</v>
      </c>
      <c r="H21" s="354" t="e">
        <f ca="1"/>
        <v>#NAME?</v>
      </c>
      <c r="I21" s="354" t="e">
        <f ca="1"/>
        <v>#NAME?</v>
      </c>
      <c r="J21" s="120" t="e">
        <f ca="1"/>
        <v>#NAME?</v>
      </c>
      <c r="K21" s="112" t="e">
        <f t="shared" ca="1" si="0"/>
        <v>#NAME?</v>
      </c>
      <c r="L21" s="354" t="e">
        <f t="shared" ca="1" si="2"/>
        <v>#NAME?</v>
      </c>
      <c r="M21" s="120" t="e">
        <f ca="1">IF(H21=1,K21-LN(SUM(L21:L$21)),0)</f>
        <v>#NAME?</v>
      </c>
      <c r="Q21" s="112" t="e">
        <f ca="1">L21</f>
        <v>#NAME?</v>
      </c>
      <c r="R21" s="112" t="e">
        <f ca="1">I21*L21</f>
        <v>#NAME?</v>
      </c>
      <c r="S21" s="354" t="e">
        <f ca="1">J21*L21</f>
        <v>#NAME?</v>
      </c>
      <c r="T21" s="354" t="e">
        <f t="shared" ca="1" si="5"/>
        <v>#NAME?</v>
      </c>
      <c r="U21" s="120" t="e">
        <f t="shared" ca="1" si="6"/>
        <v>#NAME?</v>
      </c>
      <c r="V21" s="354" t="e">
        <f ca="1">I21*I21*L21</f>
        <v>#NAME?</v>
      </c>
      <c r="W21" s="354" t="e">
        <f ca="1">I21*J21*L21</f>
        <v>#NAME?</v>
      </c>
      <c r="X21" s="354" t="e">
        <f ca="1">J21*J21*L21</f>
        <v>#NAME?</v>
      </c>
      <c r="Y21" s="354" t="e">
        <f t="shared" ca="1" si="10"/>
        <v>#NAME?</v>
      </c>
      <c r="Z21" s="354" t="e">
        <f t="shared" ca="1" si="11"/>
        <v>#NAME?</v>
      </c>
      <c r="AA21" s="120" t="e">
        <f t="shared" ca="1" si="12"/>
        <v>#NAME?</v>
      </c>
    </row>
    <row r="22" spans="2:29" x14ac:dyDescent="0.25">
      <c r="M22" s="454" t="e">
        <f ca="1">SUM(M4:M21)</f>
        <v>#NAME?</v>
      </c>
      <c r="T22" s="25" t="e">
        <f ca="1">SUM(T4:T21)</f>
        <v>#NAME?</v>
      </c>
      <c r="U22" s="25" t="e">
        <f ca="1">SUM(U4:U21)</f>
        <v>#NAME?</v>
      </c>
      <c r="Y22" s="25" t="e">
        <f ca="1">SUM(Y4:Y21)</f>
        <v>#NAME?</v>
      </c>
      <c r="Z22" s="25" t="e">
        <f ca="1">SUM(Z4:Z21)</f>
        <v>#NAME?</v>
      </c>
      <c r="AA22" s="25" t="e">
        <f ca="1">SUM(AA4:AA21)</f>
        <v>#NAME?</v>
      </c>
    </row>
    <row r="24" spans="2:29" x14ac:dyDescent="0.25">
      <c r="U24" t="s">
        <v>70</v>
      </c>
      <c r="V24">
        <v>0.05</v>
      </c>
    </row>
    <row r="26" spans="2:29" x14ac:dyDescent="0.25">
      <c r="R26" s="569" t="s">
        <v>26</v>
      </c>
      <c r="S26" s="569" t="s">
        <v>134</v>
      </c>
      <c r="T26" s="569" t="s">
        <v>19</v>
      </c>
      <c r="U26" s="569" t="s">
        <v>48</v>
      </c>
      <c r="V26" s="569" t="s">
        <v>15</v>
      </c>
      <c r="W26" s="569" t="s">
        <v>16</v>
      </c>
      <c r="X26" s="569" t="s">
        <v>757</v>
      </c>
      <c r="Y26" s="569" t="s">
        <v>15</v>
      </c>
      <c r="Z26" s="569" t="s">
        <v>16</v>
      </c>
      <c r="AB26" s="569" t="s">
        <v>1297</v>
      </c>
      <c r="AC26" s="569" t="s">
        <v>48</v>
      </c>
    </row>
    <row r="27" spans="2:29" x14ac:dyDescent="0.25">
      <c r="Q27" t="s">
        <v>933</v>
      </c>
      <c r="R27" s="580">
        <f>O4</f>
        <v>0</v>
      </c>
      <c r="S27" s="581" t="e">
        <f ca="1">SQRT(AC8)</f>
        <v>#NAME?</v>
      </c>
      <c r="T27" s="580" t="e">
        <f ca="1">R27/S27</f>
        <v>#NAME?</v>
      </c>
      <c r="U27" s="582" t="e">
        <f ca="1">2*(1-NORMSDIST(T27))</f>
        <v>#NAME?</v>
      </c>
      <c r="V27" s="581" t="e">
        <f ca="1">R27-S27*NORMSINV(1-V24/2)</f>
        <v>#NAME?</v>
      </c>
      <c r="W27" s="582" t="e">
        <f ca="1">R27+S27*NORMSINV(1-V24/2)</f>
        <v>#NAME?</v>
      </c>
      <c r="X27" s="554">
        <f>EXP(R27)</f>
        <v>1</v>
      </c>
      <c r="Y27" s="387" t="e">
        <f ca="1">EXP(V27)</f>
        <v>#NAME?</v>
      </c>
      <c r="Z27" s="555" t="e">
        <f ca="1">EXP(W27)</f>
        <v>#NAME?</v>
      </c>
      <c r="AB27" s="580" t="e">
        <f ca="1">(R27/S27)^2</f>
        <v>#NAME?</v>
      </c>
      <c r="AC27" s="582" t="e">
        <f ca="1">CHIDIST(AB27,1)</f>
        <v>#NAME?</v>
      </c>
    </row>
    <row r="28" spans="2:29" x14ac:dyDescent="0.25">
      <c r="Q28" t="s">
        <v>1283</v>
      </c>
      <c r="R28" s="468">
        <f>O5</f>
        <v>0</v>
      </c>
      <c r="S28" s="583" t="e">
        <f ca="1">SQRT(AD9)</f>
        <v>#NAME?</v>
      </c>
      <c r="T28" s="468" t="e">
        <f ca="1">R28/S28</f>
        <v>#NAME?</v>
      </c>
      <c r="U28" s="469" t="e">
        <f ca="1">2*(1-NORMSDIST(T28))</f>
        <v>#NAME?</v>
      </c>
      <c r="V28" s="583" t="e">
        <f ca="1">R28-S28*NORMSINV(1-V24/2)</f>
        <v>#NAME?</v>
      </c>
      <c r="W28" s="469" t="e">
        <f ca="1">R28+S28*NORMSINV(1-V24/2)</f>
        <v>#NAME?</v>
      </c>
      <c r="X28" s="112">
        <f>EXP(R28)</f>
        <v>1</v>
      </c>
      <c r="Y28" s="354" t="e">
        <f ca="1">EXP(V28)</f>
        <v>#NAME?</v>
      </c>
      <c r="Z28" s="120" t="e">
        <f ca="1">EXP(W28)</f>
        <v>#NAME?</v>
      </c>
      <c r="AB28" s="468" t="e">
        <f ca="1">(R28/S28)^2</f>
        <v>#NAME?</v>
      </c>
      <c r="AC28" s="469" t="e">
        <f ca="1">CHIDIST(AB28,1)</f>
        <v>#NAME?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R28"/>
  <sheetViews>
    <sheetView workbookViewId="0">
      <selection activeCell="AN3" sqref="AN3"/>
    </sheetView>
  </sheetViews>
  <sheetFormatPr defaultRowHeight="15" x14ac:dyDescent="0.25"/>
  <cols>
    <col min="1" max="1" width="3" customWidth="1"/>
    <col min="6" max="6" width="9.140625" customWidth="1"/>
    <col min="16" max="16" width="3" customWidth="1"/>
    <col min="18" max="18" width="9.140625" customWidth="1"/>
    <col min="22" max="24" width="9.140625" customWidth="1"/>
    <col min="33" max="33" width="3.5703125" customWidth="1"/>
    <col min="39" max="39" width="9.140625" customWidth="1"/>
    <col min="41" max="43" width="9.28515625" bestFit="1" customWidth="1"/>
    <col min="44" max="44" width="9.140625" customWidth="1"/>
  </cols>
  <sheetData>
    <row r="1" spans="1:44" x14ac:dyDescent="0.25">
      <c r="A1" s="1" t="s">
        <v>1298</v>
      </c>
      <c r="B1" s="1"/>
      <c r="C1" s="1"/>
      <c r="AF1" t="s">
        <v>1315</v>
      </c>
    </row>
    <row r="2" spans="1:44" x14ac:dyDescent="0.25">
      <c r="AK2" s="569" t="s">
        <v>1316</v>
      </c>
      <c r="AL2" s="569" t="s">
        <v>1317</v>
      </c>
      <c r="AM2" s="569" t="s">
        <v>639</v>
      </c>
      <c r="AN2" s="569" t="s">
        <v>757</v>
      </c>
      <c r="AO2" s="569" t="s">
        <v>7</v>
      </c>
    </row>
    <row r="3" spans="1:44" x14ac:dyDescent="0.25">
      <c r="B3" s="12" t="s">
        <v>1281</v>
      </c>
      <c r="C3" s="12" t="s">
        <v>1282</v>
      </c>
      <c r="D3" s="12" t="s">
        <v>933</v>
      </c>
      <c r="E3" s="12" t="s">
        <v>1283</v>
      </c>
      <c r="G3" s="12" t="s">
        <v>1281</v>
      </c>
      <c r="H3" s="12" t="s">
        <v>1282</v>
      </c>
      <c r="I3" s="12" t="s">
        <v>933</v>
      </c>
      <c r="J3" s="12" t="s">
        <v>1283</v>
      </c>
      <c r="K3" s="12" t="s">
        <v>1284</v>
      </c>
      <c r="L3" s="12" t="s">
        <v>1285</v>
      </c>
      <c r="M3" s="12" t="s">
        <v>626</v>
      </c>
      <c r="O3" s="12" t="s">
        <v>95</v>
      </c>
      <c r="Q3" s="12" t="s">
        <v>255</v>
      </c>
      <c r="R3" s="12" t="s">
        <v>1286</v>
      </c>
      <c r="S3" s="12" t="s">
        <v>1287</v>
      </c>
      <c r="T3" s="12" t="s">
        <v>1299</v>
      </c>
      <c r="U3" s="12" t="s">
        <v>1300</v>
      </c>
      <c r="V3" s="12" t="s">
        <v>1288</v>
      </c>
      <c r="W3" s="12" t="s">
        <v>1289</v>
      </c>
      <c r="X3" s="12" t="s">
        <v>1290</v>
      </c>
      <c r="Y3" s="12" t="s">
        <v>1301</v>
      </c>
      <c r="Z3" s="12" t="s">
        <v>1302</v>
      </c>
      <c r="AA3" s="12" t="s">
        <v>1303</v>
      </c>
      <c r="AC3" s="39" t="s">
        <v>1292</v>
      </c>
      <c r="AF3" s="590">
        <f>X28^2</f>
        <v>1.207937779270283</v>
      </c>
      <c r="AH3" t="e">
        <f ca="1">FTEXT(AF3)</f>
        <v>#NAME?</v>
      </c>
      <c r="AJ3" t="s">
        <v>2</v>
      </c>
      <c r="AK3" s="554">
        <v>65</v>
      </c>
      <c r="AL3" s="387">
        <v>70</v>
      </c>
      <c r="AM3" s="387">
        <f>AL3-AK3</f>
        <v>5</v>
      </c>
      <c r="AN3" s="387">
        <f>X27</f>
        <v>1.2244176931265995</v>
      </c>
      <c r="AO3" s="387"/>
      <c r="AQ3" s="554">
        <f>AM3*AM3</f>
        <v>25</v>
      </c>
      <c r="AR3" s="555">
        <f>AQ4</f>
        <v>-25</v>
      </c>
    </row>
    <row r="4" spans="1:44" x14ac:dyDescent="0.25">
      <c r="B4" s="554">
        <v>64</v>
      </c>
      <c r="C4" s="387">
        <v>0</v>
      </c>
      <c r="D4" s="387">
        <v>67</v>
      </c>
      <c r="E4" s="555">
        <v>34</v>
      </c>
      <c r="G4" s="554" t="e">
        <f t="array" aca="1" ref="G4:J21" ca="1">QSORTRows(B4:E21)</f>
        <v>#NAME?</v>
      </c>
      <c r="H4" s="387" t="e">
        <f ca="1"/>
        <v>#NAME?</v>
      </c>
      <c r="I4" s="387" t="e">
        <f ca="1"/>
        <v>#NAME?</v>
      </c>
      <c r="J4" s="555" t="e">
        <f ca="1"/>
        <v>#NAME?</v>
      </c>
      <c r="K4" s="554" t="e">
        <f t="shared" ref="K4:K21" ca="1" si="0">MMULT(I4:J4,$O$4:$O$5)</f>
        <v>#NAME?</v>
      </c>
      <c r="L4" s="387" t="e">
        <f ca="1">EXP(K4)</f>
        <v>#NAME?</v>
      </c>
      <c r="M4" s="555" t="e">
        <f ca="1">IF(H4=1,K4-LN(SUM(L4:L$21)),0)</f>
        <v>#NAME?</v>
      </c>
      <c r="O4" s="574">
        <v>0.20246537843113604</v>
      </c>
      <c r="Q4" s="554" t="e">
        <f t="shared" ref="Q4:Q19" ca="1" si="1">L4+Q5</f>
        <v>#NAME?</v>
      </c>
      <c r="R4" s="554" t="e">
        <f ca="1">I4*L4+R5</f>
        <v>#NAME?</v>
      </c>
      <c r="S4" s="387" t="e">
        <f ca="1">J4*L4+S5</f>
        <v>#NAME?</v>
      </c>
      <c r="T4" s="387" t="e">
        <f ca="1">IF(H4=1,I4-R4/Q4,0)</f>
        <v>#NAME?</v>
      </c>
      <c r="U4" s="555" t="e">
        <f ca="1">IF(H4=1,J4-S4/Q4,0)</f>
        <v>#NAME?</v>
      </c>
      <c r="V4" s="387" t="e">
        <f ca="1">I4*I4*L4+V5</f>
        <v>#NAME?</v>
      </c>
      <c r="W4" s="387" t="e">
        <f ca="1">I4*J4*L4+W5</f>
        <v>#NAME?</v>
      </c>
      <c r="X4" s="387" t="e">
        <f ca="1">J4*J4*L4+X5</f>
        <v>#NAME?</v>
      </c>
      <c r="Y4" s="387" t="e">
        <f ca="1">IF(H4=1,(V4-R4*R4/Q4)/Q4,0)</f>
        <v>#NAME?</v>
      </c>
      <c r="Z4" s="387" t="e">
        <f ca="1">IF(H4=1,(W4-R4*S4/Q4)/Q4,0)</f>
        <v>#NAME?</v>
      </c>
      <c r="AA4" s="555" t="e">
        <f ca="1">IF(H4=1,(X4-S4*S4/Q4)/Q4,0)</f>
        <v>#NAME?</v>
      </c>
      <c r="AC4" s="554" t="e">
        <f ca="1">Y22</f>
        <v>#NAME?</v>
      </c>
      <c r="AD4" s="555" t="e">
        <f ca="1">Z22</f>
        <v>#NAME?</v>
      </c>
      <c r="AJ4" t="s">
        <v>1318</v>
      </c>
      <c r="AK4" s="112">
        <v>10</v>
      </c>
      <c r="AL4" s="354">
        <v>5</v>
      </c>
      <c r="AM4" s="354">
        <f>AL4-AK4</f>
        <v>-5</v>
      </c>
      <c r="AN4" s="354">
        <f>X28</f>
        <v>1.0990622272056678</v>
      </c>
      <c r="AO4" s="354"/>
      <c r="AQ4" s="112">
        <f>AM3*AM4</f>
        <v>-25</v>
      </c>
      <c r="AR4" s="120">
        <f>AM4*AM4</f>
        <v>25</v>
      </c>
    </row>
    <row r="5" spans="1:44" x14ac:dyDescent="0.25">
      <c r="B5" s="214">
        <v>59</v>
      </c>
      <c r="C5" s="7">
        <v>0</v>
      </c>
      <c r="D5" s="7">
        <v>63</v>
      </c>
      <c r="E5" s="215">
        <v>6</v>
      </c>
      <c r="G5" s="214" t="e">
        <f ca="1"/>
        <v>#NAME?</v>
      </c>
      <c r="H5" s="7" t="e">
        <f ca="1"/>
        <v>#NAME?</v>
      </c>
      <c r="I5" s="7" t="e">
        <f ca="1"/>
        <v>#NAME?</v>
      </c>
      <c r="J5" s="215" t="e">
        <f ca="1"/>
        <v>#NAME?</v>
      </c>
      <c r="K5" s="214" t="e">
        <f t="shared" ca="1" si="0"/>
        <v>#NAME?</v>
      </c>
      <c r="L5" s="7" t="e">
        <f t="shared" ref="L5:L21" ca="1" si="2">EXP(K5)</f>
        <v>#NAME?</v>
      </c>
      <c r="M5" s="215" t="e">
        <f ca="1">IF(H5=1,K5-LN(SUM(L5:L$21)),0)</f>
        <v>#NAME?</v>
      </c>
      <c r="O5" s="123">
        <v>9.4457295479746781E-2</v>
      </c>
      <c r="Q5" s="214" t="e">
        <f t="shared" ca="1" si="1"/>
        <v>#NAME?</v>
      </c>
      <c r="R5" s="214" t="e">
        <f t="shared" ref="R5:R19" ca="1" si="3">I5*L5+R6</f>
        <v>#NAME?</v>
      </c>
      <c r="S5" s="7" t="e">
        <f t="shared" ref="S5:S19" ca="1" si="4">J5*L5+S6</f>
        <v>#NAME?</v>
      </c>
      <c r="T5" s="7" t="e">
        <f t="shared" ref="T5:T21" ca="1" si="5">IF(H5=1,I5-R5/Q5,0)</f>
        <v>#NAME?</v>
      </c>
      <c r="U5" s="215" t="e">
        <f t="shared" ref="U5:U21" ca="1" si="6">IF(H5=1,J5-S5/Q5,0)</f>
        <v>#NAME?</v>
      </c>
      <c r="V5" s="7" t="e">
        <f t="shared" ref="V5:V19" ca="1" si="7">I5*I5*L5+V6</f>
        <v>#NAME?</v>
      </c>
      <c r="W5" s="7" t="e">
        <f t="shared" ref="W5:W19" ca="1" si="8">I5*J5*L5+W6</f>
        <v>#NAME?</v>
      </c>
      <c r="X5" s="7" t="e">
        <f t="shared" ref="X5:X19" ca="1" si="9">J5*J5*L5+X6</f>
        <v>#NAME?</v>
      </c>
      <c r="Y5" s="7" t="e">
        <f t="shared" ref="Y5:Y21" ca="1" si="10">IF(H5=1,(V5-R5*R5/Q5)/Q5,0)</f>
        <v>#NAME?</v>
      </c>
      <c r="Z5" s="7" t="e">
        <f t="shared" ref="Z5:Z21" ca="1" si="11">IF(H5=1,(W5-R5*S5/Q5)/Q5,0)</f>
        <v>#NAME?</v>
      </c>
      <c r="AA5" s="215" t="e">
        <f t="shared" ref="AA5:AA21" ca="1" si="12">IF(H5=1,(X5-S5*S5/Q5)/Q5,0)</f>
        <v>#NAME?</v>
      </c>
      <c r="AC5" s="112" t="e">
        <f ca="1">Z22</f>
        <v>#NAME?</v>
      </c>
      <c r="AD5" s="120" t="e">
        <f ca="1">AA22</f>
        <v>#NAME?</v>
      </c>
      <c r="AJ5" t="s">
        <v>1319</v>
      </c>
      <c r="AN5">
        <f>AN3^AM3*AN4^AM4</f>
        <v>1.7160762155865534</v>
      </c>
      <c r="AO5" t="e">
        <f ca="1">SUMPRODUCT(AC8:AD9,AQ3:AR4)</f>
        <v>#NAME?</v>
      </c>
    </row>
    <row r="6" spans="1:44" x14ac:dyDescent="0.25">
      <c r="B6" s="214">
        <v>51</v>
      </c>
      <c r="C6" s="7">
        <v>0</v>
      </c>
      <c r="D6" s="7">
        <v>60</v>
      </c>
      <c r="E6" s="215">
        <v>8</v>
      </c>
      <c r="G6" s="214" t="e">
        <f ca="1"/>
        <v>#NAME?</v>
      </c>
      <c r="H6" s="7" t="e">
        <f ca="1"/>
        <v>#NAME?</v>
      </c>
      <c r="I6" s="7" t="e">
        <f ca="1"/>
        <v>#NAME?</v>
      </c>
      <c r="J6" s="215" t="e">
        <f ca="1"/>
        <v>#NAME?</v>
      </c>
      <c r="K6" s="214" t="e">
        <f t="shared" ca="1" si="0"/>
        <v>#NAME?</v>
      </c>
      <c r="L6" s="7" t="e">
        <f t="shared" ca="1" si="2"/>
        <v>#NAME?</v>
      </c>
      <c r="M6" s="215" t="e">
        <f ca="1">IF(H6=1,K6-LN(SUM(L6:L$21)),0)</f>
        <v>#NAME?</v>
      </c>
      <c r="Q6" s="214" t="e">
        <f t="shared" ca="1" si="1"/>
        <v>#NAME?</v>
      </c>
      <c r="R6" s="214" t="e">
        <f t="shared" ca="1" si="3"/>
        <v>#NAME?</v>
      </c>
      <c r="S6" s="7" t="e">
        <f t="shared" ca="1" si="4"/>
        <v>#NAME?</v>
      </c>
      <c r="T6" s="7" t="e">
        <f t="shared" ca="1" si="5"/>
        <v>#NAME?</v>
      </c>
      <c r="U6" s="215" t="e">
        <f t="shared" ca="1" si="6"/>
        <v>#NAME?</v>
      </c>
      <c r="V6" s="7" t="e">
        <f t="shared" ca="1" si="7"/>
        <v>#NAME?</v>
      </c>
      <c r="W6" s="7" t="e">
        <f t="shared" ca="1" si="8"/>
        <v>#NAME?</v>
      </c>
      <c r="X6" s="7" t="e">
        <f t="shared" ca="1" si="9"/>
        <v>#NAME?</v>
      </c>
      <c r="Y6" s="7" t="e">
        <f t="shared" ca="1" si="10"/>
        <v>#NAME?</v>
      </c>
      <c r="Z6" s="7" t="e">
        <f t="shared" ca="1" si="11"/>
        <v>#NAME?</v>
      </c>
      <c r="AA6" s="215" t="e">
        <f t="shared" ca="1" si="12"/>
        <v>#NAME?</v>
      </c>
    </row>
    <row r="7" spans="1:44" ht="15" customHeight="1" x14ac:dyDescent="0.25">
      <c r="B7" s="214">
        <v>14</v>
      </c>
      <c r="C7" s="7">
        <v>1</v>
      </c>
      <c r="D7" s="7">
        <v>72</v>
      </c>
      <c r="E7" s="215">
        <v>27</v>
      </c>
      <c r="G7" s="214" t="e">
        <f ca="1"/>
        <v>#NAME?</v>
      </c>
      <c r="H7" s="7" t="e">
        <f ca="1"/>
        <v>#NAME?</v>
      </c>
      <c r="I7" s="7" t="e">
        <f ca="1"/>
        <v>#NAME?</v>
      </c>
      <c r="J7" s="215" t="e">
        <f ca="1"/>
        <v>#NAME?</v>
      </c>
      <c r="K7" s="214" t="e">
        <f t="shared" ca="1" si="0"/>
        <v>#NAME?</v>
      </c>
      <c r="L7" s="7" t="e">
        <f t="shared" ca="1" si="2"/>
        <v>#NAME?</v>
      </c>
      <c r="M7" s="215" t="e">
        <f ca="1">IF(H7=1,K7-LN(SUM(L7:L$21)),0)</f>
        <v>#NAME?</v>
      </c>
      <c r="Q7" s="214" t="e">
        <f t="shared" ca="1" si="1"/>
        <v>#NAME?</v>
      </c>
      <c r="R7" s="214" t="e">
        <f t="shared" ca="1" si="3"/>
        <v>#NAME?</v>
      </c>
      <c r="S7" s="7" t="e">
        <f t="shared" ca="1" si="4"/>
        <v>#NAME?</v>
      </c>
      <c r="T7" s="7" t="e">
        <f t="shared" ca="1" si="5"/>
        <v>#NAME?</v>
      </c>
      <c r="U7" s="215" t="e">
        <f t="shared" ca="1" si="6"/>
        <v>#NAME?</v>
      </c>
      <c r="V7" s="7" t="e">
        <f t="shared" ca="1" si="7"/>
        <v>#NAME?</v>
      </c>
      <c r="W7" s="7" t="e">
        <f t="shared" ca="1" si="8"/>
        <v>#NAME?</v>
      </c>
      <c r="X7" s="7" t="e">
        <f t="shared" ca="1" si="9"/>
        <v>#NAME?</v>
      </c>
      <c r="Y7" s="7" t="e">
        <f t="shared" ca="1" si="10"/>
        <v>#NAME?</v>
      </c>
      <c r="Z7" s="7" t="e">
        <f t="shared" ca="1" si="11"/>
        <v>#NAME?</v>
      </c>
      <c r="AA7" s="215" t="e">
        <f t="shared" ca="1" si="12"/>
        <v>#NAME?</v>
      </c>
      <c r="AC7" t="s">
        <v>1304</v>
      </c>
      <c r="AK7" s="569" t="s">
        <v>26</v>
      </c>
      <c r="AL7" s="569" t="s">
        <v>148</v>
      </c>
      <c r="AM7" s="569" t="s">
        <v>107</v>
      </c>
      <c r="AN7" s="569" t="s">
        <v>15</v>
      </c>
      <c r="AO7" s="569" t="s">
        <v>16</v>
      </c>
      <c r="AP7" s="569" t="s">
        <v>757</v>
      </c>
      <c r="AQ7" s="569" t="s">
        <v>15</v>
      </c>
      <c r="AR7" s="569" t="s">
        <v>16</v>
      </c>
    </row>
    <row r="8" spans="1:44" ht="15" customHeight="1" x14ac:dyDescent="0.25">
      <c r="B8" s="214">
        <v>43</v>
      </c>
      <c r="C8" s="7">
        <v>0</v>
      </c>
      <c r="D8" s="7">
        <v>59</v>
      </c>
      <c r="E8" s="215">
        <v>6</v>
      </c>
      <c r="G8" s="214" t="e">
        <f ca="1"/>
        <v>#NAME?</v>
      </c>
      <c r="H8" s="7" t="e">
        <f ca="1"/>
        <v>#NAME?</v>
      </c>
      <c r="I8" s="7" t="e">
        <f ca="1"/>
        <v>#NAME?</v>
      </c>
      <c r="J8" s="215" t="e">
        <f ca="1"/>
        <v>#NAME?</v>
      </c>
      <c r="K8" s="214" t="e">
        <f t="shared" ca="1" si="0"/>
        <v>#NAME?</v>
      </c>
      <c r="L8" s="7" t="e">
        <f t="shared" ca="1" si="2"/>
        <v>#NAME?</v>
      </c>
      <c r="M8" s="215" t="e">
        <f ca="1">IF(H8=1,K8-LN(SUM(L8:L$21)),0)</f>
        <v>#NAME?</v>
      </c>
      <c r="Q8" s="214" t="e">
        <f t="shared" ca="1" si="1"/>
        <v>#NAME?</v>
      </c>
      <c r="R8" s="214" t="e">
        <f t="shared" ca="1" si="3"/>
        <v>#NAME?</v>
      </c>
      <c r="S8" s="7" t="e">
        <f t="shared" ca="1" si="4"/>
        <v>#NAME?</v>
      </c>
      <c r="T8" s="7" t="e">
        <f t="shared" ca="1" si="5"/>
        <v>#NAME?</v>
      </c>
      <c r="U8" s="215" t="e">
        <f t="shared" ca="1" si="6"/>
        <v>#NAME?</v>
      </c>
      <c r="V8" s="7" t="e">
        <f t="shared" ca="1" si="7"/>
        <v>#NAME?</v>
      </c>
      <c r="W8" s="7" t="e">
        <f t="shared" ca="1" si="8"/>
        <v>#NAME?</v>
      </c>
      <c r="X8" s="7" t="e">
        <f t="shared" ca="1" si="9"/>
        <v>#NAME?</v>
      </c>
      <c r="Y8" s="7" t="e">
        <f t="shared" ca="1" si="10"/>
        <v>#NAME?</v>
      </c>
      <c r="Z8" s="7" t="e">
        <f t="shared" ca="1" si="11"/>
        <v>#NAME?</v>
      </c>
      <c r="AA8" s="215" t="e">
        <f t="shared" ca="1" si="12"/>
        <v>#NAME?</v>
      </c>
      <c r="AC8" s="554" t="e">
        <f t="array" aca="1" ref="AC8:AD9" ca="1">MINVERSE(AC4:AD5)</f>
        <v>#NAME?</v>
      </c>
      <c r="AD8" s="555" t="e">
        <f ca="1"/>
        <v>#NAME?</v>
      </c>
      <c r="AK8" s="275">
        <f>LN(AN5)</f>
        <v>0.54004041475694664</v>
      </c>
      <c r="AL8" s="589" t="e">
        <f ca="1">SQRT(AO5)</f>
        <v>#NAME?</v>
      </c>
      <c r="AM8" s="589">
        <f>NORMSINV(0.975)</f>
        <v>1.9599639845400536</v>
      </c>
      <c r="AN8" s="589" t="e">
        <f ca="1">AK8-AL8*AM8</f>
        <v>#NAME?</v>
      </c>
      <c r="AO8" s="589" t="e">
        <f ca="1">AK8+AL8*AM8</f>
        <v>#NAME?</v>
      </c>
      <c r="AP8" s="589">
        <f>EXP(AK8)</f>
        <v>1.7160762155865534</v>
      </c>
      <c r="AQ8" s="589" t="e">
        <f ca="1">EXP(AN8)</f>
        <v>#NAME?</v>
      </c>
      <c r="AR8" s="276" t="e">
        <f ca="1">EXP(AO8)</f>
        <v>#NAME?</v>
      </c>
    </row>
    <row r="9" spans="1:44" x14ac:dyDescent="0.25">
      <c r="B9" s="214">
        <v>52</v>
      </c>
      <c r="C9" s="7">
        <v>0</v>
      </c>
      <c r="D9" s="7">
        <v>74</v>
      </c>
      <c r="E9" s="215">
        <v>4</v>
      </c>
      <c r="G9" s="214" t="e">
        <f ca="1"/>
        <v>#NAME?</v>
      </c>
      <c r="H9" s="7" t="e">
        <f ca="1"/>
        <v>#NAME?</v>
      </c>
      <c r="I9" s="7" t="e">
        <f ca="1"/>
        <v>#NAME?</v>
      </c>
      <c r="J9" s="215" t="e">
        <f ca="1"/>
        <v>#NAME?</v>
      </c>
      <c r="K9" s="214" t="e">
        <f t="shared" ca="1" si="0"/>
        <v>#NAME?</v>
      </c>
      <c r="L9" s="7" t="e">
        <f t="shared" ca="1" si="2"/>
        <v>#NAME?</v>
      </c>
      <c r="M9" s="215" t="e">
        <f ca="1">IF(H9=1,K9-LN(SUM(L9:L$21)),0)</f>
        <v>#NAME?</v>
      </c>
      <c r="Q9" s="214" t="e">
        <f t="shared" ca="1" si="1"/>
        <v>#NAME?</v>
      </c>
      <c r="R9" s="214" t="e">
        <f t="shared" ca="1" si="3"/>
        <v>#NAME?</v>
      </c>
      <c r="S9" s="7" t="e">
        <f t="shared" ca="1" si="4"/>
        <v>#NAME?</v>
      </c>
      <c r="T9" s="7" t="e">
        <f t="shared" ca="1" si="5"/>
        <v>#NAME?</v>
      </c>
      <c r="U9" s="215" t="e">
        <f t="shared" ca="1" si="6"/>
        <v>#NAME?</v>
      </c>
      <c r="V9" s="7" t="e">
        <f t="shared" ca="1" si="7"/>
        <v>#NAME?</v>
      </c>
      <c r="W9" s="7" t="e">
        <f t="shared" ca="1" si="8"/>
        <v>#NAME?</v>
      </c>
      <c r="X9" s="7" t="e">
        <f t="shared" ca="1" si="9"/>
        <v>#NAME?</v>
      </c>
      <c r="Y9" s="7" t="e">
        <f t="shared" ca="1" si="10"/>
        <v>#NAME?</v>
      </c>
      <c r="Z9" s="7" t="e">
        <f t="shared" ca="1" si="11"/>
        <v>#NAME?</v>
      </c>
      <c r="AA9" s="215" t="e">
        <f t="shared" ca="1" si="12"/>
        <v>#NAME?</v>
      </c>
      <c r="AC9" s="112" t="e">
        <f ca="1"/>
        <v>#NAME?</v>
      </c>
      <c r="AD9" s="120" t="e">
        <f ca="1"/>
        <v>#NAME?</v>
      </c>
    </row>
    <row r="10" spans="1:44" x14ac:dyDescent="0.25">
      <c r="B10" s="214">
        <v>59</v>
      </c>
      <c r="C10" s="7">
        <v>0</v>
      </c>
      <c r="D10" s="7">
        <v>77</v>
      </c>
      <c r="E10" s="215">
        <v>6</v>
      </c>
      <c r="G10" s="214" t="e">
        <f ca="1"/>
        <v>#NAME?</v>
      </c>
      <c r="H10" s="7" t="e">
        <f ca="1"/>
        <v>#NAME?</v>
      </c>
      <c r="I10" s="7" t="e">
        <f ca="1"/>
        <v>#NAME?</v>
      </c>
      <c r="J10" s="215" t="e">
        <f ca="1"/>
        <v>#NAME?</v>
      </c>
      <c r="K10" s="214" t="e">
        <f t="shared" ca="1" si="0"/>
        <v>#NAME?</v>
      </c>
      <c r="L10" s="7" t="e">
        <f t="shared" ca="1" si="2"/>
        <v>#NAME?</v>
      </c>
      <c r="M10" s="215" t="e">
        <f ca="1">IF(H10=1,K10-LN(SUM(L10:L$21)),0)</f>
        <v>#NAME?</v>
      </c>
      <c r="Q10" s="214" t="e">
        <f t="shared" ca="1" si="1"/>
        <v>#NAME?</v>
      </c>
      <c r="R10" s="214" t="e">
        <f t="shared" ca="1" si="3"/>
        <v>#NAME?</v>
      </c>
      <c r="S10" s="7" t="e">
        <f t="shared" ca="1" si="4"/>
        <v>#NAME?</v>
      </c>
      <c r="T10" s="7" t="e">
        <f t="shared" ca="1" si="5"/>
        <v>#NAME?</v>
      </c>
      <c r="U10" s="215" t="e">
        <f t="shared" ca="1" si="6"/>
        <v>#NAME?</v>
      </c>
      <c r="V10" s="7" t="e">
        <f t="shared" ca="1" si="7"/>
        <v>#NAME?</v>
      </c>
      <c r="W10" s="7" t="e">
        <f t="shared" ca="1" si="8"/>
        <v>#NAME?</v>
      </c>
      <c r="X10" s="7" t="e">
        <f t="shared" ca="1" si="9"/>
        <v>#NAME?</v>
      </c>
      <c r="Y10" s="7" t="e">
        <f t="shared" ca="1" si="10"/>
        <v>#NAME?</v>
      </c>
      <c r="Z10" s="7" t="e">
        <f t="shared" ca="1" si="11"/>
        <v>#NAME?</v>
      </c>
      <c r="AA10" s="215" t="e">
        <f t="shared" ca="1" si="12"/>
        <v>#NAME?</v>
      </c>
      <c r="AJ10" t="s">
        <v>1217</v>
      </c>
    </row>
    <row r="11" spans="1:44" x14ac:dyDescent="0.25">
      <c r="B11" s="214">
        <v>5</v>
      </c>
      <c r="C11" s="7">
        <v>1</v>
      </c>
      <c r="D11" s="7">
        <v>77</v>
      </c>
      <c r="E11" s="215">
        <v>15</v>
      </c>
      <c r="G11" s="214" t="e">
        <f ca="1"/>
        <v>#NAME?</v>
      </c>
      <c r="H11" s="7" t="e">
        <f ca="1"/>
        <v>#NAME?</v>
      </c>
      <c r="I11" s="7" t="e">
        <f ca="1"/>
        <v>#NAME?</v>
      </c>
      <c r="J11" s="215" t="e">
        <f ca="1"/>
        <v>#NAME?</v>
      </c>
      <c r="K11" s="214" t="e">
        <f t="shared" ca="1" si="0"/>
        <v>#NAME?</v>
      </c>
      <c r="L11" s="7" t="e">
        <f t="shared" ca="1" si="2"/>
        <v>#NAME?</v>
      </c>
      <c r="M11" s="215" t="e">
        <f ca="1">IF(H11=1,K11-LN(SUM(L11:L$21)),0)</f>
        <v>#NAME?</v>
      </c>
      <c r="Q11" s="214" t="e">
        <f t="shared" ca="1" si="1"/>
        <v>#NAME?</v>
      </c>
      <c r="R11" s="214" t="e">
        <f t="shared" ca="1" si="3"/>
        <v>#NAME?</v>
      </c>
      <c r="S11" s="7" t="e">
        <f t="shared" ca="1" si="4"/>
        <v>#NAME?</v>
      </c>
      <c r="T11" s="7" t="e">
        <f t="shared" ca="1" si="5"/>
        <v>#NAME?</v>
      </c>
      <c r="U11" s="215" t="e">
        <f t="shared" ca="1" si="6"/>
        <v>#NAME?</v>
      </c>
      <c r="V11" s="7" t="e">
        <f t="shared" ca="1" si="7"/>
        <v>#NAME?</v>
      </c>
      <c r="W11" s="7" t="e">
        <f t="shared" ca="1" si="8"/>
        <v>#NAME?</v>
      </c>
      <c r="X11" s="7" t="e">
        <f t="shared" ca="1" si="9"/>
        <v>#NAME?</v>
      </c>
      <c r="Y11" s="7" t="e">
        <f t="shared" ca="1" si="10"/>
        <v>#NAME?</v>
      </c>
      <c r="Z11" s="7" t="e">
        <f t="shared" ca="1" si="11"/>
        <v>#NAME?</v>
      </c>
      <c r="AA11" s="215" t="e">
        <f t="shared" ca="1" si="12"/>
        <v>#NAME?</v>
      </c>
      <c r="AC11" s="39" t="s">
        <v>1294</v>
      </c>
    </row>
    <row r="12" spans="1:44" x14ac:dyDescent="0.25">
      <c r="B12" s="214">
        <v>67</v>
      </c>
      <c r="C12" s="7">
        <v>0</v>
      </c>
      <c r="D12" s="7">
        <v>70</v>
      </c>
      <c r="E12" s="215">
        <v>8</v>
      </c>
      <c r="G12" s="214" t="e">
        <f ca="1"/>
        <v>#NAME?</v>
      </c>
      <c r="H12" s="7" t="e">
        <f ca="1"/>
        <v>#NAME?</v>
      </c>
      <c r="I12" s="7" t="e">
        <f ca="1"/>
        <v>#NAME?</v>
      </c>
      <c r="J12" s="215" t="e">
        <f ca="1"/>
        <v>#NAME?</v>
      </c>
      <c r="K12" s="214" t="e">
        <f t="shared" ca="1" si="0"/>
        <v>#NAME?</v>
      </c>
      <c r="L12" s="7" t="e">
        <f t="shared" ca="1" si="2"/>
        <v>#NAME?</v>
      </c>
      <c r="M12" s="215" t="e">
        <f ca="1">IF(H12=1,K12-LN(SUM(L12:L$21)),0)</f>
        <v>#NAME?</v>
      </c>
      <c r="Q12" s="214" t="e">
        <f t="shared" ca="1" si="1"/>
        <v>#NAME?</v>
      </c>
      <c r="R12" s="214" t="e">
        <f t="shared" ca="1" si="3"/>
        <v>#NAME?</v>
      </c>
      <c r="S12" s="7" t="e">
        <f t="shared" ca="1" si="4"/>
        <v>#NAME?</v>
      </c>
      <c r="T12" s="7" t="e">
        <f t="shared" ca="1" si="5"/>
        <v>#NAME?</v>
      </c>
      <c r="U12" s="215" t="e">
        <f t="shared" ca="1" si="6"/>
        <v>#NAME?</v>
      </c>
      <c r="V12" s="7" t="e">
        <f t="shared" ca="1" si="7"/>
        <v>#NAME?</v>
      </c>
      <c r="W12" s="7" t="e">
        <f t="shared" ca="1" si="8"/>
        <v>#NAME?</v>
      </c>
      <c r="X12" s="7" t="e">
        <f t="shared" ca="1" si="9"/>
        <v>#NAME?</v>
      </c>
      <c r="Y12" s="7" t="e">
        <f t="shared" ca="1" si="10"/>
        <v>#NAME?</v>
      </c>
      <c r="Z12" s="7" t="e">
        <f t="shared" ca="1" si="11"/>
        <v>#NAME?</v>
      </c>
      <c r="AA12" s="215" t="e">
        <f t="shared" ca="1" si="12"/>
        <v>#NAME?</v>
      </c>
      <c r="AC12" s="574" t="e">
        <f ca="1">T22</f>
        <v>#NAME?</v>
      </c>
      <c r="AK12" s="12" t="s">
        <v>2</v>
      </c>
      <c r="AL12" s="12" t="s">
        <v>1318</v>
      </c>
      <c r="AM12" s="12" t="s">
        <v>1319</v>
      </c>
    </row>
    <row r="13" spans="1:44" x14ac:dyDescent="0.25">
      <c r="B13" s="214">
        <v>70</v>
      </c>
      <c r="C13" s="7">
        <v>1</v>
      </c>
      <c r="D13" s="7">
        <v>61</v>
      </c>
      <c r="E13" s="215">
        <v>16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215" t="e">
        <f ca="1"/>
        <v>#NAME?</v>
      </c>
      <c r="K13" s="214" t="e">
        <f t="shared" ca="1" si="0"/>
        <v>#NAME?</v>
      </c>
      <c r="L13" s="7" t="e">
        <f t="shared" ca="1" si="2"/>
        <v>#NAME?</v>
      </c>
      <c r="M13" s="215" t="e">
        <f ca="1">IF(H13=1,K13-LN(SUM(L13:L$21)),0)</f>
        <v>#NAME?</v>
      </c>
      <c r="Q13" s="214" t="e">
        <f t="shared" ca="1" si="1"/>
        <v>#NAME?</v>
      </c>
      <c r="R13" s="214" t="e">
        <f t="shared" ca="1" si="3"/>
        <v>#NAME?</v>
      </c>
      <c r="S13" s="7" t="e">
        <f t="shared" ca="1" si="4"/>
        <v>#NAME?</v>
      </c>
      <c r="T13" s="7" t="e">
        <f t="shared" ca="1" si="5"/>
        <v>#NAME?</v>
      </c>
      <c r="U13" s="215" t="e">
        <f t="shared" ca="1" si="6"/>
        <v>#NAME?</v>
      </c>
      <c r="V13" s="7" t="e">
        <f t="shared" ca="1" si="7"/>
        <v>#NAME?</v>
      </c>
      <c r="W13" s="7" t="e">
        <f t="shared" ca="1" si="8"/>
        <v>#NAME?</v>
      </c>
      <c r="X13" s="7" t="e">
        <f t="shared" ca="1" si="9"/>
        <v>#NAME?</v>
      </c>
      <c r="Y13" s="7" t="e">
        <f t="shared" ca="1" si="10"/>
        <v>#NAME?</v>
      </c>
      <c r="Z13" s="7" t="e">
        <f t="shared" ca="1" si="11"/>
        <v>#NAME?</v>
      </c>
      <c r="AA13" s="215" t="e">
        <f t="shared" ca="1" si="12"/>
        <v>#NAME?</v>
      </c>
      <c r="AC13" s="123" t="e">
        <f ca="1">U22</f>
        <v>#NAME?</v>
      </c>
      <c r="AJ13" t="s">
        <v>1316</v>
      </c>
      <c r="AK13" s="275">
        <v>70</v>
      </c>
      <c r="AL13" s="589">
        <v>5</v>
      </c>
      <c r="AM13" s="276" t="e">
        <f ca="1">COXPRED0(AK13:AL13,B4:E21)</f>
        <v>#NAME?</v>
      </c>
    </row>
    <row r="14" spans="1:44" x14ac:dyDescent="0.25">
      <c r="B14" s="214">
        <v>67</v>
      </c>
      <c r="C14" s="7">
        <v>0</v>
      </c>
      <c r="D14" s="7">
        <v>71</v>
      </c>
      <c r="E14" s="215">
        <v>9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K14" s="214" t="e">
        <f t="shared" ca="1" si="0"/>
        <v>#NAME?</v>
      </c>
      <c r="L14" s="7" t="e">
        <f t="shared" ca="1" si="2"/>
        <v>#NAME?</v>
      </c>
      <c r="M14" s="215" t="e">
        <f ca="1">IF(H14=1,K14-LN(SUM(L14:L$21)),0)</f>
        <v>#NAME?</v>
      </c>
      <c r="Q14" s="214" t="e">
        <f t="shared" ca="1" si="1"/>
        <v>#NAME?</v>
      </c>
      <c r="R14" s="214" t="e">
        <f t="shared" ca="1" si="3"/>
        <v>#NAME?</v>
      </c>
      <c r="S14" s="7" t="e">
        <f t="shared" ca="1" si="4"/>
        <v>#NAME?</v>
      </c>
      <c r="T14" s="7" t="e">
        <f t="shared" ca="1" si="5"/>
        <v>#NAME?</v>
      </c>
      <c r="U14" s="215" t="e">
        <f t="shared" ca="1" si="6"/>
        <v>#NAME?</v>
      </c>
      <c r="V14" s="7" t="e">
        <f t="shared" ca="1" si="7"/>
        <v>#NAME?</v>
      </c>
      <c r="W14" s="7" t="e">
        <f t="shared" ca="1" si="8"/>
        <v>#NAME?</v>
      </c>
      <c r="X14" s="7" t="e">
        <f t="shared" ca="1" si="9"/>
        <v>#NAME?</v>
      </c>
      <c r="Y14" s="7" t="e">
        <f t="shared" ca="1" si="10"/>
        <v>#NAME?</v>
      </c>
      <c r="Z14" s="7" t="e">
        <f t="shared" ca="1" si="11"/>
        <v>#NAME?</v>
      </c>
      <c r="AA14" s="215" t="e">
        <f t="shared" ca="1" si="12"/>
        <v>#NAME?</v>
      </c>
    </row>
    <row r="15" spans="1:44" x14ac:dyDescent="0.25">
      <c r="B15" s="214">
        <v>30</v>
      </c>
      <c r="C15" s="7">
        <v>0</v>
      </c>
      <c r="D15" s="7">
        <v>70</v>
      </c>
      <c r="E15" s="215">
        <v>11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K15" s="214" t="e">
        <f t="shared" ca="1" si="0"/>
        <v>#NAME?</v>
      </c>
      <c r="L15" s="7" t="e">
        <f t="shared" ca="1" si="2"/>
        <v>#NAME?</v>
      </c>
      <c r="M15" s="215" t="e">
        <f ca="1">IF(H15=1,K15-LN(SUM(L15:L$21)),0)</f>
        <v>#NAME?</v>
      </c>
      <c r="Q15" s="214" t="e">
        <f t="shared" ca="1" si="1"/>
        <v>#NAME?</v>
      </c>
      <c r="R15" s="214" t="e">
        <f t="shared" ca="1" si="3"/>
        <v>#NAME?</v>
      </c>
      <c r="S15" s="7" t="e">
        <f t="shared" ca="1" si="4"/>
        <v>#NAME?</v>
      </c>
      <c r="T15" s="7" t="e">
        <f t="shared" ca="1" si="5"/>
        <v>#NAME?</v>
      </c>
      <c r="U15" s="215" t="e">
        <f t="shared" ca="1" si="6"/>
        <v>#NAME?</v>
      </c>
      <c r="V15" s="7" t="e">
        <f t="shared" ca="1" si="7"/>
        <v>#NAME?</v>
      </c>
      <c r="W15" s="7" t="e">
        <f t="shared" ca="1" si="8"/>
        <v>#NAME?</v>
      </c>
      <c r="X15" s="7" t="e">
        <f t="shared" ca="1" si="9"/>
        <v>#NAME?</v>
      </c>
      <c r="Y15" s="7" t="e">
        <f t="shared" ca="1" si="10"/>
        <v>#NAME?</v>
      </c>
      <c r="Z15" s="7" t="e">
        <f t="shared" ca="1" si="11"/>
        <v>#NAME?</v>
      </c>
      <c r="AA15" s="215" t="e">
        <f t="shared" ca="1" si="12"/>
        <v>#NAME?</v>
      </c>
      <c r="AK15" s="569" t="s">
        <v>1316</v>
      </c>
      <c r="AL15" s="569" t="s">
        <v>1317</v>
      </c>
      <c r="AM15" s="12" t="s">
        <v>1320</v>
      </c>
    </row>
    <row r="16" spans="1:44" x14ac:dyDescent="0.25">
      <c r="B16" s="214">
        <v>62</v>
      </c>
      <c r="C16" s="7">
        <v>1</v>
      </c>
      <c r="D16" s="7">
        <v>75</v>
      </c>
      <c r="E16" s="215">
        <v>15</v>
      </c>
      <c r="G16" s="214" t="e">
        <f ca="1"/>
        <v>#NAME?</v>
      </c>
      <c r="H16" s="7" t="e">
        <f ca="1"/>
        <v>#NAME?</v>
      </c>
      <c r="I16" s="7" t="e">
        <f ca="1"/>
        <v>#NAME?</v>
      </c>
      <c r="J16" s="215" t="e">
        <f ca="1"/>
        <v>#NAME?</v>
      </c>
      <c r="K16" s="214" t="e">
        <f t="shared" ca="1" si="0"/>
        <v>#NAME?</v>
      </c>
      <c r="L16" s="7" t="e">
        <f t="shared" ca="1" si="2"/>
        <v>#NAME?</v>
      </c>
      <c r="M16" s="215" t="e">
        <f ca="1">IF(H16=1,K16-LN(SUM(L16:L$21)),0)</f>
        <v>#NAME?</v>
      </c>
      <c r="Q16" s="214" t="e">
        <f t="shared" ca="1" si="1"/>
        <v>#NAME?</v>
      </c>
      <c r="R16" s="214" t="e">
        <f t="shared" ca="1" si="3"/>
        <v>#NAME?</v>
      </c>
      <c r="S16" s="7" t="e">
        <f t="shared" ca="1" si="4"/>
        <v>#NAME?</v>
      </c>
      <c r="T16" s="7" t="e">
        <f t="shared" ca="1" si="5"/>
        <v>#NAME?</v>
      </c>
      <c r="U16" s="215" t="e">
        <f t="shared" ca="1" si="6"/>
        <v>#NAME?</v>
      </c>
      <c r="V16" s="7" t="e">
        <f t="shared" ca="1" si="7"/>
        <v>#NAME?</v>
      </c>
      <c r="W16" s="7" t="e">
        <f t="shared" ca="1" si="8"/>
        <v>#NAME?</v>
      </c>
      <c r="X16" s="7" t="e">
        <f t="shared" ca="1" si="9"/>
        <v>#NAME?</v>
      </c>
      <c r="Y16" s="7" t="e">
        <f t="shared" ca="1" si="10"/>
        <v>#NAME?</v>
      </c>
      <c r="Z16" s="7" t="e">
        <f t="shared" ca="1" si="11"/>
        <v>#NAME?</v>
      </c>
      <c r="AA16" s="215" t="e">
        <f t="shared" ca="1" si="12"/>
        <v>#NAME?</v>
      </c>
      <c r="AJ16" t="s">
        <v>2</v>
      </c>
      <c r="AK16" s="554">
        <v>65</v>
      </c>
      <c r="AL16" s="555">
        <v>70</v>
      </c>
      <c r="AO16" t="e">
        <f t="array" aca="1" ref="AO16:AR17" ca="1">COXPRED(AK16:AK17,AL16:AL17,B4:E21,TRUE)</f>
        <v>#NAME?</v>
      </c>
      <c r="AP16" t="e">
        <f ca="1"/>
        <v>#NAME?</v>
      </c>
      <c r="AQ16" t="e">
        <f ca="1"/>
        <v>#NAME?</v>
      </c>
      <c r="AR16" t="e">
        <f ca="1"/>
        <v>#NAME?</v>
      </c>
    </row>
    <row r="17" spans="2:44" x14ac:dyDescent="0.25">
      <c r="B17" s="214">
        <v>27</v>
      </c>
      <c r="C17" s="7">
        <v>1</v>
      </c>
      <c r="D17" s="7">
        <v>72</v>
      </c>
      <c r="E17" s="215">
        <v>36</v>
      </c>
      <c r="G17" s="214" t="e">
        <f ca="1"/>
        <v>#NAME?</v>
      </c>
      <c r="H17" s="7" t="e">
        <f ca="1"/>
        <v>#NAME?</v>
      </c>
      <c r="I17" s="7" t="e">
        <f ca="1"/>
        <v>#NAME?</v>
      </c>
      <c r="J17" s="215" t="e">
        <f ca="1"/>
        <v>#NAME?</v>
      </c>
      <c r="K17" s="214" t="e">
        <f t="shared" ca="1" si="0"/>
        <v>#NAME?</v>
      </c>
      <c r="L17" s="7" t="e">
        <f t="shared" ca="1" si="2"/>
        <v>#NAME?</v>
      </c>
      <c r="M17" s="215" t="e">
        <f ca="1">IF(H17=1,K17-LN(SUM(L17:L$21)),0)</f>
        <v>#NAME?</v>
      </c>
      <c r="Q17" s="214" t="e">
        <f t="shared" ca="1" si="1"/>
        <v>#NAME?</v>
      </c>
      <c r="R17" s="214" t="e">
        <f t="shared" ca="1" si="3"/>
        <v>#NAME?</v>
      </c>
      <c r="S17" s="7" t="e">
        <f t="shared" ca="1" si="4"/>
        <v>#NAME?</v>
      </c>
      <c r="T17" s="7" t="e">
        <f t="shared" ca="1" si="5"/>
        <v>#NAME?</v>
      </c>
      <c r="U17" s="215" t="e">
        <f t="shared" ca="1" si="6"/>
        <v>#NAME?</v>
      </c>
      <c r="V17" s="7" t="e">
        <f t="shared" ca="1" si="7"/>
        <v>#NAME?</v>
      </c>
      <c r="W17" s="7" t="e">
        <f t="shared" ca="1" si="8"/>
        <v>#NAME?</v>
      </c>
      <c r="X17" s="7" t="e">
        <f t="shared" ca="1" si="9"/>
        <v>#NAME?</v>
      </c>
      <c r="Y17" s="7" t="e">
        <f t="shared" ca="1" si="10"/>
        <v>#NAME?</v>
      </c>
      <c r="Z17" s="7" t="e">
        <f t="shared" ca="1" si="11"/>
        <v>#NAME?</v>
      </c>
      <c r="AA17" s="215" t="e">
        <f t="shared" ca="1" si="12"/>
        <v>#NAME?</v>
      </c>
      <c r="AJ17" t="s">
        <v>1318</v>
      </c>
      <c r="AK17" s="112">
        <v>10</v>
      </c>
      <c r="AL17" s="120">
        <v>5</v>
      </c>
      <c r="AO17" s="275" t="e">
        <f ca="1"/>
        <v>#NAME?</v>
      </c>
      <c r="AP17" s="589" t="e">
        <f ca="1"/>
        <v>#NAME?</v>
      </c>
      <c r="AQ17" s="589" t="e">
        <f ca="1"/>
        <v>#NAME?</v>
      </c>
      <c r="AR17" s="276" t="e">
        <f ca="1"/>
        <v>#NAME?</v>
      </c>
    </row>
    <row r="18" spans="2:44" x14ac:dyDescent="0.25">
      <c r="B18" s="214">
        <v>41</v>
      </c>
      <c r="C18" s="7">
        <v>1</v>
      </c>
      <c r="D18" s="7">
        <v>58</v>
      </c>
      <c r="E18" s="215">
        <v>25</v>
      </c>
      <c r="G18" s="214" t="e">
        <f ca="1"/>
        <v>#NAME?</v>
      </c>
      <c r="H18" s="7" t="e">
        <f ca="1"/>
        <v>#NAME?</v>
      </c>
      <c r="I18" s="7" t="e">
        <f ca="1"/>
        <v>#NAME?</v>
      </c>
      <c r="J18" s="215" t="e">
        <f ca="1"/>
        <v>#NAME?</v>
      </c>
      <c r="K18" s="214" t="e">
        <f t="shared" ca="1" si="0"/>
        <v>#NAME?</v>
      </c>
      <c r="L18" s="7" t="e">
        <f t="shared" ca="1" si="2"/>
        <v>#NAME?</v>
      </c>
      <c r="M18" s="215" t="e">
        <f ca="1">IF(H18=1,K18-LN(SUM(L18:L$21)),0)</f>
        <v>#NAME?</v>
      </c>
      <c r="Q18" s="214" t="e">
        <f t="shared" ca="1" si="1"/>
        <v>#NAME?</v>
      </c>
      <c r="R18" s="214" t="e">
        <f t="shared" ca="1" si="3"/>
        <v>#NAME?</v>
      </c>
      <c r="S18" s="7" t="e">
        <f t="shared" ca="1" si="4"/>
        <v>#NAME?</v>
      </c>
      <c r="T18" s="7" t="e">
        <f t="shared" ca="1" si="5"/>
        <v>#NAME?</v>
      </c>
      <c r="U18" s="215" t="e">
        <f t="shared" ca="1" si="6"/>
        <v>#NAME?</v>
      </c>
      <c r="V18" s="7" t="e">
        <f t="shared" ca="1" si="7"/>
        <v>#NAME?</v>
      </c>
      <c r="W18" s="7" t="e">
        <f t="shared" ca="1" si="8"/>
        <v>#NAME?</v>
      </c>
      <c r="X18" s="7" t="e">
        <f t="shared" ca="1" si="9"/>
        <v>#NAME?</v>
      </c>
      <c r="Y18" s="7" t="e">
        <f t="shared" ca="1" si="10"/>
        <v>#NAME?</v>
      </c>
      <c r="Z18" s="7" t="e">
        <f t="shared" ca="1" si="11"/>
        <v>#NAME?</v>
      </c>
      <c r="AA18" s="215" t="e">
        <f t="shared" ca="1" si="12"/>
        <v>#NAME?</v>
      </c>
      <c r="AJ18" t="s">
        <v>1319</v>
      </c>
      <c r="AK18" t="e">
        <f ca="1">COXPRED0(AK16:AK17,B4:E21)</f>
        <v>#NAME?</v>
      </c>
      <c r="AL18" t="e">
        <f ca="1">COXPRED0(AL16:AL17,B4:E21)</f>
        <v>#NAME?</v>
      </c>
      <c r="AM18" t="e">
        <f ca="1">AL18/AK18</f>
        <v>#NAME?</v>
      </c>
    </row>
    <row r="19" spans="2:44" x14ac:dyDescent="0.25">
      <c r="B19" s="214">
        <v>37</v>
      </c>
      <c r="C19" s="7">
        <v>1</v>
      </c>
      <c r="D19" s="7">
        <v>80</v>
      </c>
      <c r="E19" s="215">
        <v>8</v>
      </c>
      <c r="G19" s="214" t="e">
        <f ca="1"/>
        <v>#NAME?</v>
      </c>
      <c r="H19" s="7" t="e">
        <f ca="1"/>
        <v>#NAME?</v>
      </c>
      <c r="I19" s="7" t="e">
        <f ca="1"/>
        <v>#NAME?</v>
      </c>
      <c r="J19" s="215" t="e">
        <f ca="1"/>
        <v>#NAME?</v>
      </c>
      <c r="K19" s="214" t="e">
        <f t="shared" ca="1" si="0"/>
        <v>#NAME?</v>
      </c>
      <c r="L19" s="7" t="e">
        <f t="shared" ca="1" si="2"/>
        <v>#NAME?</v>
      </c>
      <c r="M19" s="215" t="e">
        <f ca="1">IF(H19=1,K19-LN(SUM(L19:L$21)),0)</f>
        <v>#NAME?</v>
      </c>
      <c r="Q19" s="214" t="e">
        <f t="shared" ca="1" si="1"/>
        <v>#NAME?</v>
      </c>
      <c r="R19" s="214" t="e">
        <f t="shared" ca="1" si="3"/>
        <v>#NAME?</v>
      </c>
      <c r="S19" s="7" t="e">
        <f t="shared" ca="1" si="4"/>
        <v>#NAME?</v>
      </c>
      <c r="T19" s="7" t="e">
        <f t="shared" ca="1" si="5"/>
        <v>#NAME?</v>
      </c>
      <c r="U19" s="215" t="e">
        <f t="shared" ca="1" si="6"/>
        <v>#NAME?</v>
      </c>
      <c r="V19" s="7" t="e">
        <f t="shared" ca="1" si="7"/>
        <v>#NAME?</v>
      </c>
      <c r="W19" s="7" t="e">
        <f t="shared" ca="1" si="8"/>
        <v>#NAME?</v>
      </c>
      <c r="X19" s="7" t="e">
        <f t="shared" ca="1" si="9"/>
        <v>#NAME?</v>
      </c>
      <c r="Y19" s="7" t="e">
        <f t="shared" ca="1" si="10"/>
        <v>#NAME?</v>
      </c>
      <c r="Z19" s="7" t="e">
        <f t="shared" ca="1" si="11"/>
        <v>#NAME?</v>
      </c>
      <c r="AA19" s="215" t="e">
        <f t="shared" ca="1" si="12"/>
        <v>#NAME?</v>
      </c>
    </row>
    <row r="20" spans="2:44" x14ac:dyDescent="0.25">
      <c r="B20" s="214">
        <v>25</v>
      </c>
      <c r="C20" s="7">
        <v>0</v>
      </c>
      <c r="D20" s="7">
        <v>68</v>
      </c>
      <c r="E20" s="215">
        <v>3</v>
      </c>
      <c r="G20" s="214" t="e">
        <f ca="1"/>
        <v>#NAME?</v>
      </c>
      <c r="H20" s="7" t="e">
        <f ca="1"/>
        <v>#NAME?</v>
      </c>
      <c r="I20" s="7" t="e">
        <f ca="1"/>
        <v>#NAME?</v>
      </c>
      <c r="J20" s="215" t="e">
        <f ca="1"/>
        <v>#NAME?</v>
      </c>
      <c r="K20" s="214" t="e">
        <f t="shared" ca="1" si="0"/>
        <v>#NAME?</v>
      </c>
      <c r="L20" s="7" t="e">
        <f t="shared" ca="1" si="2"/>
        <v>#NAME?</v>
      </c>
      <c r="M20" s="215" t="e">
        <f ca="1">IF(H20=1,K20-LN(SUM(L20:L$21)),0)</f>
        <v>#NAME?</v>
      </c>
      <c r="Q20" s="214" t="e">
        <f ca="1">L20+Q21</f>
        <v>#NAME?</v>
      </c>
      <c r="R20" s="214" t="e">
        <f ca="1">I20*L20+R21</f>
        <v>#NAME?</v>
      </c>
      <c r="S20" s="7" t="e">
        <f ca="1">J20*L20+S21</f>
        <v>#NAME?</v>
      </c>
      <c r="T20" s="7" t="e">
        <f t="shared" ca="1" si="5"/>
        <v>#NAME?</v>
      </c>
      <c r="U20" s="215" t="e">
        <f t="shared" ca="1" si="6"/>
        <v>#NAME?</v>
      </c>
      <c r="V20" s="7" t="e">
        <f ca="1">I20*I20*L20+V21</f>
        <v>#NAME?</v>
      </c>
      <c r="W20" s="7" t="e">
        <f ca="1">I20*J20*L20+W21</f>
        <v>#NAME?</v>
      </c>
      <c r="X20" s="7" t="e">
        <f ca="1">J20*J20*L20+X21</f>
        <v>#NAME?</v>
      </c>
      <c r="Y20" s="7" t="e">
        <f t="shared" ca="1" si="10"/>
        <v>#NAME?</v>
      </c>
      <c r="Z20" s="7" t="e">
        <f t="shared" ca="1" si="11"/>
        <v>#NAME?</v>
      </c>
      <c r="AA20" s="215" t="e">
        <f t="shared" ca="1" si="12"/>
        <v>#NAME?</v>
      </c>
      <c r="AK20" s="596" t="s">
        <v>1316</v>
      </c>
      <c r="AL20" s="596" t="s">
        <v>1317</v>
      </c>
    </row>
    <row r="21" spans="2:44" x14ac:dyDescent="0.25">
      <c r="B21" s="112">
        <v>62</v>
      </c>
      <c r="C21" s="354">
        <v>0</v>
      </c>
      <c r="D21" s="354">
        <v>64</v>
      </c>
      <c r="E21" s="120">
        <v>2</v>
      </c>
      <c r="G21" s="112" t="e">
        <f ca="1"/>
        <v>#NAME?</v>
      </c>
      <c r="H21" s="354" t="e">
        <f ca="1"/>
        <v>#NAME?</v>
      </c>
      <c r="I21" s="354" t="e">
        <f ca="1"/>
        <v>#NAME?</v>
      </c>
      <c r="J21" s="120" t="e">
        <f ca="1"/>
        <v>#NAME?</v>
      </c>
      <c r="K21" s="112" t="e">
        <f t="shared" ca="1" si="0"/>
        <v>#NAME?</v>
      </c>
      <c r="L21" s="354" t="e">
        <f t="shared" ca="1" si="2"/>
        <v>#NAME?</v>
      </c>
      <c r="M21" s="120" t="e">
        <f ca="1">IF(H21=1,K21-LN(SUM(L21:L$21)),0)</f>
        <v>#NAME?</v>
      </c>
      <c r="Q21" s="112" t="e">
        <f ca="1">L21</f>
        <v>#NAME?</v>
      </c>
      <c r="R21" s="112" t="e">
        <f ca="1">I21*L21</f>
        <v>#NAME?</v>
      </c>
      <c r="S21" s="354" t="e">
        <f ca="1">J21*L21</f>
        <v>#NAME?</v>
      </c>
      <c r="T21" s="354" t="e">
        <f t="shared" ca="1" si="5"/>
        <v>#NAME?</v>
      </c>
      <c r="U21" s="120" t="e">
        <f t="shared" ca="1" si="6"/>
        <v>#NAME?</v>
      </c>
      <c r="V21" s="354" t="e">
        <f ca="1">I21*I21*L21</f>
        <v>#NAME?</v>
      </c>
      <c r="W21" s="354" t="e">
        <f ca="1">I21*J21*L21</f>
        <v>#NAME?</v>
      </c>
      <c r="X21" s="354" t="e">
        <f ca="1">J21*J21*L21</f>
        <v>#NAME?</v>
      </c>
      <c r="Y21" s="354" t="e">
        <f t="shared" ca="1" si="10"/>
        <v>#NAME?</v>
      </c>
      <c r="Z21" s="354" t="e">
        <f t="shared" ca="1" si="11"/>
        <v>#NAME?</v>
      </c>
      <c r="AA21" s="120" t="e">
        <f t="shared" ca="1" si="12"/>
        <v>#NAME?</v>
      </c>
      <c r="AJ21" t="s">
        <v>2</v>
      </c>
      <c r="AK21" s="554">
        <v>65</v>
      </c>
      <c r="AL21" s="555">
        <v>70</v>
      </c>
      <c r="AN21" t="e">
        <f t="array" aca="1" ref="AN21:AQ22" ca="1">COXPRED(AK21:AK22,AL21:AL22,B4:E21,TRUE)</f>
        <v>#NAME?</v>
      </c>
      <c r="AO21" t="e">
        <f ca="1"/>
        <v>#NAME?</v>
      </c>
      <c r="AP21" t="e">
        <f ca="1"/>
        <v>#NAME?</v>
      </c>
      <c r="AQ21" t="e">
        <f ca="1"/>
        <v>#NAME?</v>
      </c>
    </row>
    <row r="22" spans="2:44" x14ac:dyDescent="0.25">
      <c r="M22" s="454" t="e">
        <f ca="1">SUM(M4:M21)</f>
        <v>#NAME?</v>
      </c>
      <c r="T22" s="25" t="e">
        <f ca="1">SUM(T4:T21)</f>
        <v>#NAME?</v>
      </c>
      <c r="U22" s="25" t="e">
        <f ca="1">SUM(U4:U21)</f>
        <v>#NAME?</v>
      </c>
      <c r="Y22" s="25" t="e">
        <f ca="1">SUM(Y4:Y21)</f>
        <v>#NAME?</v>
      </c>
      <c r="Z22" s="25" t="e">
        <f ca="1">SUM(Z4:Z21)</f>
        <v>#NAME?</v>
      </c>
      <c r="AA22" s="25" t="e">
        <f ca="1">SUM(AA4:AA21)</f>
        <v>#NAME?</v>
      </c>
      <c r="AJ22" t="s">
        <v>1318</v>
      </c>
      <c r="AK22" s="112">
        <v>10</v>
      </c>
      <c r="AL22" s="120">
        <v>5</v>
      </c>
      <c r="AN22" s="275" t="e">
        <f ca="1"/>
        <v>#NAME?</v>
      </c>
      <c r="AO22" s="589" t="e">
        <f ca="1"/>
        <v>#NAME?</v>
      </c>
      <c r="AP22" s="589" t="e">
        <f ca="1"/>
        <v>#NAME?</v>
      </c>
      <c r="AQ22" s="276" t="e">
        <f ca="1"/>
        <v>#NAME?</v>
      </c>
    </row>
    <row r="23" spans="2:44" x14ac:dyDescent="0.25">
      <c r="B23" t="s">
        <v>1321</v>
      </c>
    </row>
    <row r="24" spans="2:44" x14ac:dyDescent="0.25">
      <c r="U24" t="s">
        <v>70</v>
      </c>
      <c r="V24">
        <v>0.05</v>
      </c>
    </row>
    <row r="26" spans="2:44" x14ac:dyDescent="0.25">
      <c r="R26" s="565" t="s">
        <v>26</v>
      </c>
      <c r="S26" s="565" t="s">
        <v>134</v>
      </c>
      <c r="T26" s="565" t="s">
        <v>19</v>
      </c>
      <c r="U26" s="565" t="s">
        <v>48</v>
      </c>
      <c r="V26" s="565" t="s">
        <v>15</v>
      </c>
      <c r="W26" s="565" t="s">
        <v>16</v>
      </c>
      <c r="X26" s="565" t="s">
        <v>757</v>
      </c>
      <c r="Y26" s="569" t="s">
        <v>15</v>
      </c>
      <c r="Z26" s="569" t="s">
        <v>16</v>
      </c>
      <c r="AB26" s="565" t="s">
        <v>1297</v>
      </c>
      <c r="AC26" s="565" t="s">
        <v>48</v>
      </c>
    </row>
    <row r="27" spans="2:44" x14ac:dyDescent="0.25">
      <c r="Q27" t="s">
        <v>933</v>
      </c>
      <c r="R27" s="580">
        <f>O4</f>
        <v>0.20246537843113604</v>
      </c>
      <c r="S27" s="581" t="e">
        <f ca="1">SQRT(AC8)</f>
        <v>#NAME?</v>
      </c>
      <c r="T27" s="580" t="e">
        <f ca="1">R27/S27</f>
        <v>#NAME?</v>
      </c>
      <c r="U27" s="582" t="e">
        <f ca="1">2*(1-NORMSDIST(T27))</f>
        <v>#NAME?</v>
      </c>
      <c r="V27" s="581" t="e">
        <f ca="1">R27-S27*NORMSINV(1-V24/2)</f>
        <v>#NAME?</v>
      </c>
      <c r="W27" s="582" t="e">
        <f ca="1">R27+S27*NORMSINV(1-V24/2)</f>
        <v>#NAME?</v>
      </c>
      <c r="X27" s="554">
        <f>EXP(R27)</f>
        <v>1.2244176931265995</v>
      </c>
      <c r="Y27" s="387" t="e">
        <f ca="1">EXP(V27)</f>
        <v>#NAME?</v>
      </c>
      <c r="Z27" s="555" t="e">
        <f ca="1">EXP(W27)</f>
        <v>#NAME?</v>
      </c>
      <c r="AB27" s="580" t="e">
        <f ca="1">(R27/S27)^2</f>
        <v>#NAME?</v>
      </c>
      <c r="AC27" s="582" t="e">
        <f ca="1">CHIDIST(AB27,1)</f>
        <v>#NAME?</v>
      </c>
    </row>
    <row r="28" spans="2:44" x14ac:dyDescent="0.25">
      <c r="Q28" t="s">
        <v>1283</v>
      </c>
      <c r="R28" s="468">
        <f>O5</f>
        <v>9.4457295479746781E-2</v>
      </c>
      <c r="S28" s="583" t="e">
        <f ca="1">SQRT(AD9)</f>
        <v>#NAME?</v>
      </c>
      <c r="T28" s="468" t="e">
        <f ca="1">R28/S28</f>
        <v>#NAME?</v>
      </c>
      <c r="U28" s="469" t="e">
        <f ca="1">2*(1-NORMSDIST(T28))</f>
        <v>#NAME?</v>
      </c>
      <c r="V28" s="583" t="e">
        <f ca="1">R28-S28*NORMSINV(1-V24/2)</f>
        <v>#NAME?</v>
      </c>
      <c r="W28" s="469" t="e">
        <f ca="1">R28+S28*NORMSINV(1-V24/2)</f>
        <v>#NAME?</v>
      </c>
      <c r="X28" s="112">
        <f>EXP(R28)</f>
        <v>1.0990622272056678</v>
      </c>
      <c r="Y28" s="354" t="e">
        <f ca="1">EXP(V28)</f>
        <v>#NAME?</v>
      </c>
      <c r="Z28" s="120" t="e">
        <f ca="1">EXP(W28)</f>
        <v>#NAME?</v>
      </c>
      <c r="AB28" s="468" t="e">
        <f ca="1">(R28/S28)^2</f>
        <v>#NAME?</v>
      </c>
      <c r="AC28" s="469" t="e">
        <f ca="1">CHIDIST(AB28,1)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7"/>
  <sheetViews>
    <sheetView workbookViewId="0"/>
  </sheetViews>
  <sheetFormatPr defaultRowHeight="15" x14ac:dyDescent="0.25"/>
  <sheetData>
    <row r="1" spans="1:2" x14ac:dyDescent="0.25">
      <c r="A1" s="1" t="s">
        <v>1305</v>
      </c>
    </row>
    <row r="3" spans="1:2" x14ac:dyDescent="0.25">
      <c r="A3" t="s">
        <v>625</v>
      </c>
      <c r="B3" s="574" t="e">
        <f ca="1">'Cox Reg 1'!M22</f>
        <v>#NAME?</v>
      </c>
    </row>
    <row r="4" spans="1:2" x14ac:dyDescent="0.25">
      <c r="A4" t="s">
        <v>653</v>
      </c>
      <c r="B4" s="185" t="e">
        <f ca="1">'Cox Reg 2'!M22</f>
        <v>#NAME?</v>
      </c>
    </row>
    <row r="5" spans="1:2" x14ac:dyDescent="0.25">
      <c r="A5" s="24" t="s">
        <v>73</v>
      </c>
      <c r="B5" s="185" t="e">
        <f ca="1">-2*(B3-B4)</f>
        <v>#NAME?</v>
      </c>
    </row>
    <row r="6" spans="1:2" x14ac:dyDescent="0.25">
      <c r="A6" s="24" t="s">
        <v>41</v>
      </c>
      <c r="B6" s="185">
        <v>2</v>
      </c>
    </row>
    <row r="7" spans="1:2" x14ac:dyDescent="0.25">
      <c r="A7" s="24" t="s">
        <v>48</v>
      </c>
      <c r="B7" s="123" t="e">
        <f ca="1">CHIDIST(B5,B6)</f>
        <v>#NAME?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C27"/>
  <sheetViews>
    <sheetView workbookViewId="0"/>
  </sheetViews>
  <sheetFormatPr defaultRowHeight="15" x14ac:dyDescent="0.25"/>
  <cols>
    <col min="1" max="1" width="3" customWidth="1"/>
    <col min="5" max="5" width="9.140625" customWidth="1"/>
    <col min="10" max="10" width="9.140625" customWidth="1"/>
    <col min="14" max="14" width="9.140625" customWidth="1"/>
    <col min="18" max="18" width="10" bestFit="1" customWidth="1"/>
    <col min="22" max="24" width="9.140625" customWidth="1"/>
  </cols>
  <sheetData>
    <row r="1" spans="1:23" x14ac:dyDescent="0.25">
      <c r="A1" s="1" t="s">
        <v>1306</v>
      </c>
      <c r="B1" s="1"/>
      <c r="C1" s="1"/>
    </row>
    <row r="3" spans="1:23" x14ac:dyDescent="0.25">
      <c r="B3" s="12" t="s">
        <v>1281</v>
      </c>
      <c r="C3" s="12" t="s">
        <v>1282</v>
      </c>
      <c r="D3" s="12" t="s">
        <v>933</v>
      </c>
      <c r="E3" s="12" t="s">
        <v>1283</v>
      </c>
      <c r="G3" s="12" t="s">
        <v>1281</v>
      </c>
      <c r="H3" s="12" t="s">
        <v>1282</v>
      </c>
      <c r="I3" s="12" t="s">
        <v>933</v>
      </c>
      <c r="J3" s="12" t="s">
        <v>1283</v>
      </c>
      <c r="K3" s="12" t="s">
        <v>1284</v>
      </c>
      <c r="L3" s="12" t="s">
        <v>1285</v>
      </c>
      <c r="M3" s="12" t="s">
        <v>626</v>
      </c>
      <c r="O3" s="12" t="s">
        <v>95</v>
      </c>
      <c r="Q3" s="12" t="s">
        <v>255</v>
      </c>
      <c r="R3" s="12" t="s">
        <v>1286</v>
      </c>
      <c r="S3" s="12" t="s">
        <v>653</v>
      </c>
      <c r="T3" s="12" t="s">
        <v>1288</v>
      </c>
      <c r="U3" s="12" t="s">
        <v>1291</v>
      </c>
      <c r="W3" s="39" t="s">
        <v>1292</v>
      </c>
    </row>
    <row r="4" spans="1:23" x14ac:dyDescent="0.25">
      <c r="B4" s="554">
        <v>64</v>
      </c>
      <c r="C4" s="387">
        <v>0</v>
      </c>
      <c r="D4" s="387">
        <v>67</v>
      </c>
      <c r="E4" s="555">
        <v>34</v>
      </c>
      <c r="G4" s="554" t="e">
        <f t="array" aca="1" ref="G4:J21" ca="1">QSORTRows(B4:E21)</f>
        <v>#NAME?</v>
      </c>
      <c r="H4" s="387" t="e">
        <f ca="1"/>
        <v>#NAME?</v>
      </c>
      <c r="I4" s="387" t="e">
        <f ca="1"/>
        <v>#NAME?</v>
      </c>
      <c r="J4" s="555" t="e">
        <f ca="1"/>
        <v>#NAME?</v>
      </c>
      <c r="K4" s="554" t="e">
        <f ca="1">MMULT(I4:I4,$O$4)</f>
        <v>#NAME?</v>
      </c>
      <c r="L4" s="387" t="e">
        <f ca="1">EXP(K4)</f>
        <v>#NAME?</v>
      </c>
      <c r="M4" s="555" t="e">
        <f ca="1">IF(H4=1,K4-LN(SUM(L4:L$21)),0)</f>
        <v>#NAME?</v>
      </c>
      <c r="O4" s="258">
        <v>0.12079450835053478</v>
      </c>
      <c r="Q4" s="554" t="e">
        <f ca="1">IF(H4=1,SUM(L4:L$21),0)</f>
        <v>#NAME?</v>
      </c>
      <c r="R4" s="554" t="e">
        <f ca="1">IF(H4=1,SUMPRODUCT(I4:I$21,L4:L$21),0)</f>
        <v>#NAME?</v>
      </c>
      <c r="S4" s="387" t="e">
        <f t="shared" ref="S4:S21" ca="1" si="0">IF(H4=1,I4-R4/Q4,0)</f>
        <v>#NAME?</v>
      </c>
      <c r="T4" s="554" t="e">
        <f ca="1">IF(H4=1,SUMPRODUCT(L4:L$21,I4:I$21^2),0)</f>
        <v>#NAME?</v>
      </c>
      <c r="U4" s="555" t="e">
        <f t="shared" ref="U4:U21" ca="1" si="1">IF(H4=1,(T4-R4*R4/Q4)/Q4,0)</f>
        <v>#NAME?</v>
      </c>
      <c r="W4" s="258" t="e">
        <f ca="1">U22</f>
        <v>#NAME?</v>
      </c>
    </row>
    <row r="5" spans="1:23" x14ac:dyDescent="0.25">
      <c r="B5" s="214">
        <v>59</v>
      </c>
      <c r="C5" s="7">
        <v>0</v>
      </c>
      <c r="D5" s="7">
        <v>63</v>
      </c>
      <c r="E5" s="215">
        <v>6</v>
      </c>
      <c r="G5" s="214" t="e">
        <f ca="1"/>
        <v>#NAME?</v>
      </c>
      <c r="H5" s="7" t="e">
        <f ca="1"/>
        <v>#NAME?</v>
      </c>
      <c r="I5" s="7" t="e">
        <f ca="1"/>
        <v>#NAME?</v>
      </c>
      <c r="J5" s="215" t="e">
        <f ca="1"/>
        <v>#NAME?</v>
      </c>
      <c r="K5" s="214" t="e">
        <f t="shared" ref="K5:K21" ca="1" si="2">MMULT(I5:I5,$O$4)</f>
        <v>#NAME?</v>
      </c>
      <c r="L5" s="7" t="e">
        <f t="shared" ref="L5:L21" ca="1" si="3">EXP(K5)</f>
        <v>#NAME?</v>
      </c>
      <c r="M5" s="215" t="e">
        <f ca="1">IF(H5=1,K5-LN(SUM(L5:L$21)),0)</f>
        <v>#NAME?</v>
      </c>
      <c r="Q5" s="214" t="e">
        <f ca="1">IF(H5=1,SUM(L5:L$21),0)</f>
        <v>#NAME?</v>
      </c>
      <c r="R5" s="214" t="e">
        <f ca="1">IF(H5=1,SUMPRODUCT(I5:I$21,L5:L$21),0)</f>
        <v>#NAME?</v>
      </c>
      <c r="S5" s="7" t="e">
        <f t="shared" ca="1" si="0"/>
        <v>#NAME?</v>
      </c>
      <c r="T5" s="214" t="e">
        <f ca="1">IF(H5=1,SUMPRODUCT(L5:L$21,I5:I$21^2),0)</f>
        <v>#NAME?</v>
      </c>
      <c r="U5" s="215" t="e">
        <f t="shared" ca="1" si="1"/>
        <v>#NAME?</v>
      </c>
    </row>
    <row r="6" spans="1:23" x14ac:dyDescent="0.25">
      <c r="B6" s="214">
        <v>51</v>
      </c>
      <c r="C6" s="7">
        <v>0</v>
      </c>
      <c r="D6" s="7">
        <v>60</v>
      </c>
      <c r="E6" s="215">
        <v>8</v>
      </c>
      <c r="G6" s="214" t="e">
        <f ca="1"/>
        <v>#NAME?</v>
      </c>
      <c r="H6" s="7" t="e">
        <f ca="1"/>
        <v>#NAME?</v>
      </c>
      <c r="I6" s="7" t="e">
        <f ca="1"/>
        <v>#NAME?</v>
      </c>
      <c r="J6" s="215" t="e">
        <f ca="1"/>
        <v>#NAME?</v>
      </c>
      <c r="K6" s="214" t="e">
        <f t="shared" ca="1" si="2"/>
        <v>#NAME?</v>
      </c>
      <c r="L6" s="7" t="e">
        <f t="shared" ca="1" si="3"/>
        <v>#NAME?</v>
      </c>
      <c r="M6" s="215" t="e">
        <f ca="1">IF(H6=1,K6-LN(SUM(L6:L$21)),0)</f>
        <v>#NAME?</v>
      </c>
      <c r="Q6" s="214" t="e">
        <f ca="1">IF(H6=1,SUM(L6:L$21),0)</f>
        <v>#NAME?</v>
      </c>
      <c r="R6" s="214" t="e">
        <f ca="1">IF(H6=1,SUMPRODUCT(I6:I$21,L6:L$21),0)</f>
        <v>#NAME?</v>
      </c>
      <c r="S6" s="7" t="e">
        <f t="shared" ca="1" si="0"/>
        <v>#NAME?</v>
      </c>
      <c r="T6" s="214" t="e">
        <f ca="1">IF(H6=1,SUMPRODUCT(L6:L$21,I6:I$21^2),0)</f>
        <v>#NAME?</v>
      </c>
      <c r="U6" s="215" t="e">
        <f t="shared" ca="1" si="1"/>
        <v>#NAME?</v>
      </c>
      <c r="W6" t="s">
        <v>1293</v>
      </c>
    </row>
    <row r="7" spans="1:23" x14ac:dyDescent="0.25">
      <c r="B7" s="214">
        <v>14</v>
      </c>
      <c r="C7" s="7">
        <v>1</v>
      </c>
      <c r="D7" s="7">
        <v>72</v>
      </c>
      <c r="E7" s="215">
        <v>27</v>
      </c>
      <c r="G7" s="214" t="e">
        <f ca="1"/>
        <v>#NAME?</v>
      </c>
      <c r="H7" s="7" t="e">
        <f ca="1"/>
        <v>#NAME?</v>
      </c>
      <c r="I7" s="7" t="e">
        <f ca="1"/>
        <v>#NAME?</v>
      </c>
      <c r="J7" s="215" t="e">
        <f ca="1"/>
        <v>#NAME?</v>
      </c>
      <c r="K7" s="214" t="e">
        <f t="shared" ca="1" si="2"/>
        <v>#NAME?</v>
      </c>
      <c r="L7" s="7" t="e">
        <f t="shared" ca="1" si="3"/>
        <v>#NAME?</v>
      </c>
      <c r="M7" s="215" t="e">
        <f ca="1">IF(H7=1,K7-LN(SUM(L7:L$21)),0)</f>
        <v>#NAME?</v>
      </c>
      <c r="Q7" s="214" t="e">
        <f ca="1">IF(H7=1,SUM(L7:L$21),0)</f>
        <v>#NAME?</v>
      </c>
      <c r="R7" s="214" t="e">
        <f ca="1">IF(H7=1,SUMPRODUCT(I7:I$21,L7:L$21),0)</f>
        <v>#NAME?</v>
      </c>
      <c r="S7" s="7" t="e">
        <f t="shared" ca="1" si="0"/>
        <v>#NAME?</v>
      </c>
      <c r="T7" s="214" t="e">
        <f ca="1">IF(H7=1,SUMPRODUCT(L7:L$21,I7:I$21^2),0)</f>
        <v>#NAME?</v>
      </c>
      <c r="U7" s="215" t="e">
        <f t="shared" ca="1" si="1"/>
        <v>#NAME?</v>
      </c>
      <c r="W7" s="258" t="e">
        <f ca="1">MINVERSE(W4)</f>
        <v>#NAME?</v>
      </c>
    </row>
    <row r="8" spans="1:23" x14ac:dyDescent="0.25">
      <c r="B8" s="214">
        <v>43</v>
      </c>
      <c r="C8" s="7">
        <v>0</v>
      </c>
      <c r="D8" s="7">
        <v>59</v>
      </c>
      <c r="E8" s="215">
        <v>6</v>
      </c>
      <c r="G8" s="214" t="e">
        <f ca="1"/>
        <v>#NAME?</v>
      </c>
      <c r="H8" s="7" t="e">
        <f ca="1"/>
        <v>#NAME?</v>
      </c>
      <c r="I8" s="7" t="e">
        <f ca="1"/>
        <v>#NAME?</v>
      </c>
      <c r="J8" s="215" t="e">
        <f ca="1"/>
        <v>#NAME?</v>
      </c>
      <c r="K8" s="214" t="e">
        <f t="shared" ca="1" si="2"/>
        <v>#NAME?</v>
      </c>
      <c r="L8" s="7" t="e">
        <f t="shared" ca="1" si="3"/>
        <v>#NAME?</v>
      </c>
      <c r="M8" s="215" t="e">
        <f ca="1">IF(H8=1,K8-LN(SUM(L8:L$21)),0)</f>
        <v>#NAME?</v>
      </c>
      <c r="Q8" s="214" t="e">
        <f ca="1">IF(H8=1,SUM(L8:L$21),0)</f>
        <v>#NAME?</v>
      </c>
      <c r="R8" s="214" t="e">
        <f ca="1">IF(H8=1,SUMPRODUCT(I8:I$21,L8:L$21),0)</f>
        <v>#NAME?</v>
      </c>
      <c r="S8" s="7" t="e">
        <f t="shared" ca="1" si="0"/>
        <v>#NAME?</v>
      </c>
      <c r="T8" s="214" t="e">
        <f ca="1">IF(H8=1,SUMPRODUCT(L8:L$21,I8:I$21^2),0)</f>
        <v>#NAME?</v>
      </c>
      <c r="U8" s="215" t="e">
        <f t="shared" ca="1" si="1"/>
        <v>#NAME?</v>
      </c>
    </row>
    <row r="9" spans="1:23" x14ac:dyDescent="0.25">
      <c r="B9" s="214">
        <v>52</v>
      </c>
      <c r="C9" s="7">
        <v>0</v>
      </c>
      <c r="D9" s="7">
        <v>74</v>
      </c>
      <c r="E9" s="215">
        <v>4</v>
      </c>
      <c r="G9" s="214" t="e">
        <f ca="1"/>
        <v>#NAME?</v>
      </c>
      <c r="H9" s="7" t="e">
        <f ca="1"/>
        <v>#NAME?</v>
      </c>
      <c r="I9" s="7" t="e">
        <f ca="1"/>
        <v>#NAME?</v>
      </c>
      <c r="J9" s="215" t="e">
        <f ca="1"/>
        <v>#NAME?</v>
      </c>
      <c r="K9" s="214" t="e">
        <f t="shared" ca="1" si="2"/>
        <v>#NAME?</v>
      </c>
      <c r="L9" s="7" t="e">
        <f t="shared" ca="1" si="3"/>
        <v>#NAME?</v>
      </c>
      <c r="M9" s="215" t="e">
        <f ca="1">IF(H9=1,K9-LN(SUM(L9:L$21)),0)</f>
        <v>#NAME?</v>
      </c>
      <c r="Q9" s="214" t="e">
        <f ca="1">IF(H9=1,SUM(L9:L$21),0)</f>
        <v>#NAME?</v>
      </c>
      <c r="R9" s="214" t="e">
        <f ca="1">IF(H9=1,SUMPRODUCT(I9:I$21,L9:L$21),0)</f>
        <v>#NAME?</v>
      </c>
      <c r="S9" s="7" t="e">
        <f t="shared" ca="1" si="0"/>
        <v>#NAME?</v>
      </c>
      <c r="T9" s="214" t="e">
        <f ca="1">IF(H9=1,SUMPRODUCT(L9:L$21,I9:I$21^2),0)</f>
        <v>#NAME?</v>
      </c>
      <c r="U9" s="215" t="e">
        <f t="shared" ca="1" si="1"/>
        <v>#NAME?</v>
      </c>
      <c r="W9" s="39" t="s">
        <v>1294</v>
      </c>
    </row>
    <row r="10" spans="1:23" x14ac:dyDescent="0.25">
      <c r="B10" s="214">
        <v>59</v>
      </c>
      <c r="C10" s="7">
        <v>0</v>
      </c>
      <c r="D10" s="7">
        <v>77</v>
      </c>
      <c r="E10" s="215">
        <v>6</v>
      </c>
      <c r="G10" s="214" t="e">
        <f ca="1"/>
        <v>#NAME?</v>
      </c>
      <c r="H10" s="7" t="e">
        <f ca="1"/>
        <v>#NAME?</v>
      </c>
      <c r="I10" s="7" t="e">
        <f ca="1"/>
        <v>#NAME?</v>
      </c>
      <c r="J10" s="215" t="e">
        <f ca="1"/>
        <v>#NAME?</v>
      </c>
      <c r="K10" s="214" t="e">
        <f t="shared" ca="1" si="2"/>
        <v>#NAME?</v>
      </c>
      <c r="L10" s="7" t="e">
        <f t="shared" ca="1" si="3"/>
        <v>#NAME?</v>
      </c>
      <c r="M10" s="215" t="e">
        <f ca="1">IF(H10=1,K10-LN(SUM(L10:L$21)),0)</f>
        <v>#NAME?</v>
      </c>
      <c r="Q10" s="214" t="e">
        <f ca="1">IF(H10=1,SUM(L10:L$21),0)</f>
        <v>#NAME?</v>
      </c>
      <c r="R10" s="214" t="e">
        <f ca="1">IF(H10=1,SUMPRODUCT(I10:I$21,L10:L$21),0)</f>
        <v>#NAME?</v>
      </c>
      <c r="S10" s="7" t="e">
        <f t="shared" ca="1" si="0"/>
        <v>#NAME?</v>
      </c>
      <c r="T10" s="214" t="e">
        <f ca="1">IF(H10=1,SUMPRODUCT(L10:L$21,I10:I$21^2),0)</f>
        <v>#NAME?</v>
      </c>
      <c r="U10" s="215" t="e">
        <f t="shared" ca="1" si="1"/>
        <v>#NAME?</v>
      </c>
      <c r="W10" s="588" t="e">
        <f ca="1">S22</f>
        <v>#NAME?</v>
      </c>
    </row>
    <row r="11" spans="1:23" x14ac:dyDescent="0.25">
      <c r="B11" s="214">
        <v>5</v>
      </c>
      <c r="C11" s="7">
        <v>1</v>
      </c>
      <c r="D11" s="7">
        <v>77</v>
      </c>
      <c r="E11" s="215">
        <v>15</v>
      </c>
      <c r="G11" s="214" t="e">
        <f ca="1"/>
        <v>#NAME?</v>
      </c>
      <c r="H11" s="7" t="e">
        <f ca="1"/>
        <v>#NAME?</v>
      </c>
      <c r="I11" s="7" t="e">
        <f ca="1"/>
        <v>#NAME?</v>
      </c>
      <c r="J11" s="215" t="e">
        <f ca="1"/>
        <v>#NAME?</v>
      </c>
      <c r="K11" s="214" t="e">
        <f t="shared" ca="1" si="2"/>
        <v>#NAME?</v>
      </c>
      <c r="L11" s="7" t="e">
        <f t="shared" ca="1" si="3"/>
        <v>#NAME?</v>
      </c>
      <c r="M11" s="215" t="e">
        <f ca="1">IF(H11=1,K11-LN(SUM(L11:L$21)),0)</f>
        <v>#NAME?</v>
      </c>
      <c r="Q11" s="214" t="e">
        <f ca="1">IF(H11=1,SUM(L11:L$21),0)</f>
        <v>#NAME?</v>
      </c>
      <c r="R11" s="214" t="e">
        <f ca="1">IF(H11=1,SUMPRODUCT(I11:I$21,L11:L$21),0)</f>
        <v>#NAME?</v>
      </c>
      <c r="S11" s="7" t="e">
        <f t="shared" ca="1" si="0"/>
        <v>#NAME?</v>
      </c>
      <c r="T11" s="214" t="e">
        <f ca="1">IF(H11=1,SUMPRODUCT(L11:L$21,I11:I$21^2),0)</f>
        <v>#NAME?</v>
      </c>
      <c r="U11" s="215" t="e">
        <f t="shared" ca="1" si="1"/>
        <v>#NAME?</v>
      </c>
    </row>
    <row r="12" spans="1:23" x14ac:dyDescent="0.25">
      <c r="B12" s="214">
        <v>67</v>
      </c>
      <c r="C12" s="7">
        <v>0</v>
      </c>
      <c r="D12" s="7">
        <v>70</v>
      </c>
      <c r="E12" s="215">
        <v>8</v>
      </c>
      <c r="G12" s="214" t="e">
        <f ca="1"/>
        <v>#NAME?</v>
      </c>
      <c r="H12" s="7" t="e">
        <f ca="1"/>
        <v>#NAME?</v>
      </c>
      <c r="I12" s="7" t="e">
        <f ca="1"/>
        <v>#NAME?</v>
      </c>
      <c r="J12" s="215" t="e">
        <f ca="1"/>
        <v>#NAME?</v>
      </c>
      <c r="K12" s="214" t="e">
        <f t="shared" ca="1" si="2"/>
        <v>#NAME?</v>
      </c>
      <c r="L12" s="7" t="e">
        <f t="shared" ca="1" si="3"/>
        <v>#NAME?</v>
      </c>
      <c r="M12" s="215" t="e">
        <f ca="1">IF(H12=1,K12-LN(SUM(L12:L$21)),0)</f>
        <v>#NAME?</v>
      </c>
      <c r="Q12" s="214" t="e">
        <f ca="1">IF(H12=1,SUM(L12:L$21),0)</f>
        <v>#NAME?</v>
      </c>
      <c r="R12" s="214" t="e">
        <f ca="1">IF(H12=1,SUMPRODUCT(I12:I$21,L12:L$21),0)</f>
        <v>#NAME?</v>
      </c>
      <c r="S12" s="7" t="e">
        <f t="shared" ca="1" si="0"/>
        <v>#NAME?</v>
      </c>
      <c r="T12" s="214" t="e">
        <f ca="1">IF(H12=1,SUMPRODUCT(L12:L$21,I12:I$21^2),0)</f>
        <v>#NAME?</v>
      </c>
      <c r="U12" s="215" t="e">
        <f t="shared" ca="1" si="1"/>
        <v>#NAME?</v>
      </c>
    </row>
    <row r="13" spans="1:23" x14ac:dyDescent="0.25">
      <c r="B13" s="214">
        <v>70</v>
      </c>
      <c r="C13" s="7">
        <v>1</v>
      </c>
      <c r="D13" s="7">
        <v>61</v>
      </c>
      <c r="E13" s="215">
        <v>16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215" t="e">
        <f ca="1"/>
        <v>#NAME?</v>
      </c>
      <c r="K13" s="214" t="e">
        <f t="shared" ca="1" si="2"/>
        <v>#NAME?</v>
      </c>
      <c r="L13" s="7" t="e">
        <f t="shared" ca="1" si="3"/>
        <v>#NAME?</v>
      </c>
      <c r="M13" s="215" t="e">
        <f ca="1">IF(H13=1,K13-LN(SUM(L13:L$21)),0)</f>
        <v>#NAME?</v>
      </c>
      <c r="Q13" s="214" t="e">
        <f ca="1">IF(H13=1,SUM(L13:L$21),0)</f>
        <v>#NAME?</v>
      </c>
      <c r="R13" s="214" t="e">
        <f ca="1">IF(H13=1,SUMPRODUCT(I13:I$21,L13:L$21),0)</f>
        <v>#NAME?</v>
      </c>
      <c r="S13" s="7" t="e">
        <f t="shared" ca="1" si="0"/>
        <v>#NAME?</v>
      </c>
      <c r="T13" s="214" t="e">
        <f ca="1">IF(H13=1,SUMPRODUCT(L13:L$21,I13:I$21^2),0)</f>
        <v>#NAME?</v>
      </c>
      <c r="U13" s="215" t="e">
        <f t="shared" ca="1" si="1"/>
        <v>#NAME?</v>
      </c>
    </row>
    <row r="14" spans="1:23" x14ac:dyDescent="0.25">
      <c r="B14" s="214">
        <v>67</v>
      </c>
      <c r="C14" s="7">
        <v>0</v>
      </c>
      <c r="D14" s="7">
        <v>71</v>
      </c>
      <c r="E14" s="215">
        <v>9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K14" s="214" t="e">
        <f t="shared" ca="1" si="2"/>
        <v>#NAME?</v>
      </c>
      <c r="L14" s="7" t="e">
        <f t="shared" ca="1" si="3"/>
        <v>#NAME?</v>
      </c>
      <c r="M14" s="215" t="e">
        <f ca="1">IF(H14=1,K14-LN(SUM(L14:L$21)),0)</f>
        <v>#NAME?</v>
      </c>
      <c r="Q14" s="214" t="e">
        <f ca="1">IF(H14=1,SUM(L14:L$21),0)</f>
        <v>#NAME?</v>
      </c>
      <c r="R14" s="214" t="e">
        <f ca="1">IF(H14=1,SUMPRODUCT(I14:I$21,L14:L$21),0)</f>
        <v>#NAME?</v>
      </c>
      <c r="S14" s="7" t="e">
        <f t="shared" ca="1" si="0"/>
        <v>#NAME?</v>
      </c>
      <c r="T14" s="214" t="e">
        <f ca="1">IF(H14=1,SUMPRODUCT(L14:L$21,I14:I$21^2),0)</f>
        <v>#NAME?</v>
      </c>
      <c r="U14" s="215" t="e">
        <f t="shared" ca="1" si="1"/>
        <v>#NAME?</v>
      </c>
    </row>
    <row r="15" spans="1:23" x14ac:dyDescent="0.25">
      <c r="B15" s="214">
        <v>30</v>
      </c>
      <c r="C15" s="7">
        <v>0</v>
      </c>
      <c r="D15" s="7">
        <v>70</v>
      </c>
      <c r="E15" s="215">
        <v>11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K15" s="214" t="e">
        <f t="shared" ca="1" si="2"/>
        <v>#NAME?</v>
      </c>
      <c r="L15" s="7" t="e">
        <f t="shared" ca="1" si="3"/>
        <v>#NAME?</v>
      </c>
      <c r="M15" s="215" t="e">
        <f ca="1">IF(H15=1,K15-LN(SUM(L15:L$21)),0)</f>
        <v>#NAME?</v>
      </c>
      <c r="Q15" s="214" t="e">
        <f ca="1">IF(H15=1,SUM(L15:L$21),0)</f>
        <v>#NAME?</v>
      </c>
      <c r="R15" s="214" t="e">
        <f ca="1">IF(H15=1,SUMPRODUCT(I15:I$21,L15:L$21),0)</f>
        <v>#NAME?</v>
      </c>
      <c r="S15" s="7" t="e">
        <f t="shared" ca="1" si="0"/>
        <v>#NAME?</v>
      </c>
      <c r="T15" s="214" t="e">
        <f ca="1">IF(H15=1,SUMPRODUCT(L15:L$21,I15:I$21^2),0)</f>
        <v>#NAME?</v>
      </c>
      <c r="U15" s="215" t="e">
        <f t="shared" ca="1" si="1"/>
        <v>#NAME?</v>
      </c>
    </row>
    <row r="16" spans="1:23" x14ac:dyDescent="0.25">
      <c r="B16" s="214">
        <v>62</v>
      </c>
      <c r="C16" s="7">
        <v>1</v>
      </c>
      <c r="D16" s="7">
        <v>75</v>
      </c>
      <c r="E16" s="215">
        <v>15</v>
      </c>
      <c r="G16" s="214" t="e">
        <f ca="1"/>
        <v>#NAME?</v>
      </c>
      <c r="H16" s="7" t="e">
        <f ca="1"/>
        <v>#NAME?</v>
      </c>
      <c r="I16" s="7" t="e">
        <f ca="1"/>
        <v>#NAME?</v>
      </c>
      <c r="J16" s="215" t="e">
        <f ca="1"/>
        <v>#NAME?</v>
      </c>
      <c r="K16" s="214" t="e">
        <f t="shared" ca="1" si="2"/>
        <v>#NAME?</v>
      </c>
      <c r="L16" s="7" t="e">
        <f t="shared" ca="1" si="3"/>
        <v>#NAME?</v>
      </c>
      <c r="M16" s="215" t="e">
        <f ca="1">IF(H16=1,K16-LN(SUM(L16:L$21)),0)</f>
        <v>#NAME?</v>
      </c>
      <c r="Q16" s="214" t="e">
        <f ca="1">IF(H16=1,SUM(L16:L$21),0)</f>
        <v>#NAME?</v>
      </c>
      <c r="R16" s="214" t="e">
        <f ca="1">IF(H16=1,SUMPRODUCT(I16:I$21,L16:L$21),0)</f>
        <v>#NAME?</v>
      </c>
      <c r="S16" s="7" t="e">
        <f t="shared" ca="1" si="0"/>
        <v>#NAME?</v>
      </c>
      <c r="T16" s="214" t="e">
        <f ca="1">IF(H16=1,SUMPRODUCT(L16:L$21,I16:I$21^2),0)</f>
        <v>#NAME?</v>
      </c>
      <c r="U16" s="215" t="e">
        <f t="shared" ca="1" si="1"/>
        <v>#NAME?</v>
      </c>
    </row>
    <row r="17" spans="2:29" x14ac:dyDescent="0.25">
      <c r="B17" s="214">
        <v>27</v>
      </c>
      <c r="C17" s="7">
        <v>1</v>
      </c>
      <c r="D17" s="7">
        <v>72</v>
      </c>
      <c r="E17" s="215">
        <v>36</v>
      </c>
      <c r="G17" s="214" t="e">
        <f ca="1"/>
        <v>#NAME?</v>
      </c>
      <c r="H17" s="7" t="e">
        <f ca="1"/>
        <v>#NAME?</v>
      </c>
      <c r="I17" s="7" t="e">
        <f ca="1"/>
        <v>#NAME?</v>
      </c>
      <c r="J17" s="215" t="e">
        <f ca="1"/>
        <v>#NAME?</v>
      </c>
      <c r="K17" s="214" t="e">
        <f t="shared" ca="1" si="2"/>
        <v>#NAME?</v>
      </c>
      <c r="L17" s="7" t="e">
        <f t="shared" ca="1" si="3"/>
        <v>#NAME?</v>
      </c>
      <c r="M17" s="215" t="e">
        <f ca="1">IF(H17=1,K17-LN(SUM(L17:L$21)),0)</f>
        <v>#NAME?</v>
      </c>
      <c r="Q17" s="214" t="e">
        <f ca="1">IF(H17=1,SUM(L17:L$21),0)</f>
        <v>#NAME?</v>
      </c>
      <c r="R17" s="214" t="e">
        <f ca="1">IF(H17=1,SUMPRODUCT(I17:I$21,L17:L$21),0)</f>
        <v>#NAME?</v>
      </c>
      <c r="S17" s="7" t="e">
        <f t="shared" ca="1" si="0"/>
        <v>#NAME?</v>
      </c>
      <c r="T17" s="214" t="e">
        <f ca="1">IF(H17=1,SUMPRODUCT(L17:L$21,I17:I$21^2),0)</f>
        <v>#NAME?</v>
      </c>
      <c r="U17" s="215" t="e">
        <f t="shared" ca="1" si="1"/>
        <v>#NAME?</v>
      </c>
    </row>
    <row r="18" spans="2:29" x14ac:dyDescent="0.25">
      <c r="B18" s="214">
        <v>41</v>
      </c>
      <c r="C18" s="7">
        <v>1</v>
      </c>
      <c r="D18" s="7">
        <v>58</v>
      </c>
      <c r="E18" s="215">
        <v>25</v>
      </c>
      <c r="G18" s="214" t="e">
        <f ca="1"/>
        <v>#NAME?</v>
      </c>
      <c r="H18" s="7" t="e">
        <f ca="1"/>
        <v>#NAME?</v>
      </c>
      <c r="I18" s="7" t="e">
        <f ca="1"/>
        <v>#NAME?</v>
      </c>
      <c r="J18" s="215" t="e">
        <f ca="1"/>
        <v>#NAME?</v>
      </c>
      <c r="K18" s="214" t="e">
        <f t="shared" ca="1" si="2"/>
        <v>#NAME?</v>
      </c>
      <c r="L18" s="7" t="e">
        <f t="shared" ca="1" si="3"/>
        <v>#NAME?</v>
      </c>
      <c r="M18" s="215" t="e">
        <f ca="1">IF(H18=1,K18-LN(SUM(L18:L$21)),0)</f>
        <v>#NAME?</v>
      </c>
      <c r="Q18" s="214" t="e">
        <f ca="1">IF(H18=1,SUM(L18:L$21),0)</f>
        <v>#NAME?</v>
      </c>
      <c r="R18" s="214" t="e">
        <f ca="1">IF(H18=1,SUMPRODUCT(I18:I$21,L18:L$21),0)</f>
        <v>#NAME?</v>
      </c>
      <c r="S18" s="7" t="e">
        <f t="shared" ca="1" si="0"/>
        <v>#NAME?</v>
      </c>
      <c r="T18" s="214" t="e">
        <f ca="1">IF(H18=1,SUMPRODUCT(L18:L$21,I18:I$21^2),0)</f>
        <v>#NAME?</v>
      </c>
      <c r="U18" s="215" t="e">
        <f t="shared" ca="1" si="1"/>
        <v>#NAME?</v>
      </c>
    </row>
    <row r="19" spans="2:29" x14ac:dyDescent="0.25">
      <c r="B19" s="214">
        <v>37</v>
      </c>
      <c r="C19" s="7">
        <v>1</v>
      </c>
      <c r="D19" s="7">
        <v>80</v>
      </c>
      <c r="E19" s="215">
        <v>8</v>
      </c>
      <c r="G19" s="214" t="e">
        <f ca="1"/>
        <v>#NAME?</v>
      </c>
      <c r="H19" s="7" t="e">
        <f ca="1"/>
        <v>#NAME?</v>
      </c>
      <c r="I19" s="7" t="e">
        <f ca="1"/>
        <v>#NAME?</v>
      </c>
      <c r="J19" s="215" t="e">
        <f ca="1"/>
        <v>#NAME?</v>
      </c>
      <c r="K19" s="214" t="e">
        <f t="shared" ca="1" si="2"/>
        <v>#NAME?</v>
      </c>
      <c r="L19" s="7" t="e">
        <f t="shared" ca="1" si="3"/>
        <v>#NAME?</v>
      </c>
      <c r="M19" s="215" t="e">
        <f ca="1">IF(H19=1,K19-LN(SUM(L19:L$21)),0)</f>
        <v>#NAME?</v>
      </c>
      <c r="Q19" s="214" t="e">
        <f ca="1">IF(H19=1,SUM(L19:L$21),0)</f>
        <v>#NAME?</v>
      </c>
      <c r="R19" s="214" t="e">
        <f ca="1">IF(H19=1,SUMPRODUCT(I19:I$21,L19:L$21),0)</f>
        <v>#NAME?</v>
      </c>
      <c r="S19" s="7" t="e">
        <f t="shared" ca="1" si="0"/>
        <v>#NAME?</v>
      </c>
      <c r="T19" s="214" t="e">
        <f ca="1">IF(H19=1,SUMPRODUCT(L19:L$21,I19:I$21^2),0)</f>
        <v>#NAME?</v>
      </c>
      <c r="U19" s="215" t="e">
        <f t="shared" ca="1" si="1"/>
        <v>#NAME?</v>
      </c>
    </row>
    <row r="20" spans="2:29" x14ac:dyDescent="0.25">
      <c r="B20" s="214">
        <v>25</v>
      </c>
      <c r="C20" s="7">
        <v>0</v>
      </c>
      <c r="D20" s="7">
        <v>68</v>
      </c>
      <c r="E20" s="215">
        <v>3</v>
      </c>
      <c r="G20" s="214" t="e">
        <f ca="1"/>
        <v>#NAME?</v>
      </c>
      <c r="H20" s="7" t="e">
        <f ca="1"/>
        <v>#NAME?</v>
      </c>
      <c r="I20" s="7" t="e">
        <f ca="1"/>
        <v>#NAME?</v>
      </c>
      <c r="J20" s="215" t="e">
        <f ca="1"/>
        <v>#NAME?</v>
      </c>
      <c r="K20" s="214" t="e">
        <f t="shared" ca="1" si="2"/>
        <v>#NAME?</v>
      </c>
      <c r="L20" s="7" t="e">
        <f t="shared" ca="1" si="3"/>
        <v>#NAME?</v>
      </c>
      <c r="M20" s="215" t="e">
        <f ca="1">IF(H20=1,K20-LN(SUM(L20:L$21)),0)</f>
        <v>#NAME?</v>
      </c>
      <c r="Q20" s="214" t="e">
        <f ca="1">IF(H20=1,SUM(L20:L$21),0)</f>
        <v>#NAME?</v>
      </c>
      <c r="R20" s="214" t="e">
        <f ca="1">IF(H20=1,SUMPRODUCT(I20:I$21,L20:L$21),0)</f>
        <v>#NAME?</v>
      </c>
      <c r="S20" s="7" t="e">
        <f t="shared" ca="1" si="0"/>
        <v>#NAME?</v>
      </c>
      <c r="T20" s="214" t="e">
        <f ca="1">IF(H20=1,SUMPRODUCT(L20:L$21,I20:I$21^2),0)</f>
        <v>#NAME?</v>
      </c>
      <c r="U20" s="215" t="e">
        <f t="shared" ca="1" si="1"/>
        <v>#NAME?</v>
      </c>
    </row>
    <row r="21" spans="2:29" x14ac:dyDescent="0.25">
      <c r="B21" s="112">
        <v>62</v>
      </c>
      <c r="C21" s="354">
        <v>0</v>
      </c>
      <c r="D21" s="354">
        <v>64</v>
      </c>
      <c r="E21" s="120">
        <v>2</v>
      </c>
      <c r="G21" s="112" t="e">
        <f ca="1"/>
        <v>#NAME?</v>
      </c>
      <c r="H21" s="354" t="e">
        <f ca="1"/>
        <v>#NAME?</v>
      </c>
      <c r="I21" s="354" t="e">
        <f ca="1"/>
        <v>#NAME?</v>
      </c>
      <c r="J21" s="120" t="e">
        <f ca="1"/>
        <v>#NAME?</v>
      </c>
      <c r="K21" s="112" t="e">
        <f t="shared" ca="1" si="2"/>
        <v>#NAME?</v>
      </c>
      <c r="L21" s="354" t="e">
        <f t="shared" ca="1" si="3"/>
        <v>#NAME?</v>
      </c>
      <c r="M21" s="120" t="e">
        <f ca="1">IF(H21=1,K21-LN(SUM(L21:L$21)),0)</f>
        <v>#NAME?</v>
      </c>
      <c r="Q21" s="112" t="e">
        <f ca="1">IF(H21=1,SUM(L21:L$21),0)</f>
        <v>#NAME?</v>
      </c>
      <c r="R21" s="112" t="e">
        <f ca="1">IF(H21=1,SUMPRODUCT(I21:I$21,L21:L$21),0)</f>
        <v>#NAME?</v>
      </c>
      <c r="S21" s="354" t="e">
        <f t="shared" ca="1" si="0"/>
        <v>#NAME?</v>
      </c>
      <c r="T21" s="112" t="e">
        <f ca="1">IF(H21=1,SUMPRODUCT(L21:L$21,I21:I$21^2),0)</f>
        <v>#NAME?</v>
      </c>
      <c r="U21" s="120" t="e">
        <f t="shared" ca="1" si="1"/>
        <v>#NAME?</v>
      </c>
    </row>
    <row r="22" spans="2:29" x14ac:dyDescent="0.25">
      <c r="M22" s="584" t="e">
        <f ca="1">SUM(M4:M21)</f>
        <v>#NAME?</v>
      </c>
      <c r="S22" s="25" t="e">
        <f ca="1">SUM(S4:S21)</f>
        <v>#NAME?</v>
      </c>
      <c r="U22" s="25" t="e">
        <f ca="1">SUM(U4:U21)</f>
        <v>#NAME?</v>
      </c>
    </row>
    <row r="24" spans="2:29" x14ac:dyDescent="0.25">
      <c r="U24" t="s">
        <v>70</v>
      </c>
      <c r="V24">
        <v>0.05</v>
      </c>
    </row>
    <row r="26" spans="2:29" x14ac:dyDescent="0.25">
      <c r="R26" s="565" t="s">
        <v>26</v>
      </c>
      <c r="S26" s="565" t="s">
        <v>134</v>
      </c>
      <c r="T26" s="565" t="s">
        <v>19</v>
      </c>
      <c r="U26" s="565" t="s">
        <v>48</v>
      </c>
      <c r="V26" s="565" t="s">
        <v>1295</v>
      </c>
      <c r="W26" s="565" t="s">
        <v>1296</v>
      </c>
      <c r="X26" s="565" t="s">
        <v>1314</v>
      </c>
      <c r="Y26" s="565" t="s">
        <v>1295</v>
      </c>
      <c r="Z26" s="565" t="s">
        <v>1296</v>
      </c>
      <c r="AB26" s="565" t="s">
        <v>1297</v>
      </c>
      <c r="AC26" s="565" t="s">
        <v>48</v>
      </c>
    </row>
    <row r="27" spans="2:29" x14ac:dyDescent="0.25">
      <c r="Q27" t="s">
        <v>933</v>
      </c>
      <c r="R27" s="585">
        <f>O4</f>
        <v>0.12079450835053478</v>
      </c>
      <c r="S27" s="586" t="e">
        <f ca="1">SQRT(W7)</f>
        <v>#NAME?</v>
      </c>
      <c r="T27" s="585" t="e">
        <f ca="1">R27/S27</f>
        <v>#NAME?</v>
      </c>
      <c r="U27" s="587" t="e">
        <f ca="1">2*(1-NORMSDIST(T27))</f>
        <v>#NAME?</v>
      </c>
      <c r="V27" s="586" t="e">
        <f ca="1">R27-S27*NORMSINV(1-V24/2)</f>
        <v>#NAME?</v>
      </c>
      <c r="W27" s="587" t="e">
        <f ca="1">R27+S27*NORMSINV(1-V24/2)</f>
        <v>#NAME?</v>
      </c>
      <c r="X27" s="275">
        <f>EXP(R27)</f>
        <v>1.1283930131999613</v>
      </c>
      <c r="Y27" s="589" t="e">
        <f ca="1">EXP(V27)</f>
        <v>#NAME?</v>
      </c>
      <c r="Z27" s="276" t="e">
        <f ca="1">EXP(W27)</f>
        <v>#NAME?</v>
      </c>
      <c r="AB27" s="585" t="e">
        <f ca="1">(R27/S27)^2</f>
        <v>#NAME?</v>
      </c>
      <c r="AC27" s="587" t="e">
        <f ca="1">CHIDIST(AB27,1)</f>
        <v>#NAME?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27"/>
  <sheetViews>
    <sheetView workbookViewId="0"/>
  </sheetViews>
  <sheetFormatPr defaultRowHeight="15" x14ac:dyDescent="0.25"/>
  <cols>
    <col min="1" max="1" width="3" customWidth="1"/>
    <col min="5" max="5" width="9.140625" customWidth="1"/>
    <col min="10" max="10" width="9.140625" customWidth="1"/>
    <col min="14" max="14" width="9.140625" customWidth="1"/>
    <col min="18" max="18" width="10" bestFit="1" customWidth="1"/>
    <col min="22" max="24" width="9.140625" customWidth="1"/>
  </cols>
  <sheetData>
    <row r="1" spans="1:23" x14ac:dyDescent="0.25">
      <c r="A1" s="1" t="s">
        <v>1307</v>
      </c>
      <c r="B1" s="1"/>
      <c r="C1" s="1"/>
    </row>
    <row r="3" spans="1:23" x14ac:dyDescent="0.25">
      <c r="B3" s="12" t="s">
        <v>1281</v>
      </c>
      <c r="C3" s="12" t="s">
        <v>1282</v>
      </c>
      <c r="D3" s="12" t="s">
        <v>933</v>
      </c>
      <c r="E3" s="12" t="s">
        <v>1283</v>
      </c>
      <c r="G3" s="12" t="s">
        <v>1281</v>
      </c>
      <c r="H3" s="12" t="s">
        <v>1282</v>
      </c>
      <c r="I3" s="12" t="s">
        <v>933</v>
      </c>
      <c r="J3" s="12" t="s">
        <v>1283</v>
      </c>
      <c r="K3" s="12" t="s">
        <v>1284</v>
      </c>
      <c r="L3" s="12" t="s">
        <v>1285</v>
      </c>
      <c r="M3" s="12" t="s">
        <v>626</v>
      </c>
      <c r="O3" s="12" t="s">
        <v>95</v>
      </c>
      <c r="Q3" s="12" t="s">
        <v>255</v>
      </c>
      <c r="R3" s="12" t="s">
        <v>1286</v>
      </c>
      <c r="S3" s="12" t="s">
        <v>653</v>
      </c>
      <c r="T3" s="12" t="s">
        <v>1288</v>
      </c>
      <c r="U3" s="12" t="s">
        <v>1291</v>
      </c>
      <c r="W3" s="39" t="s">
        <v>1292</v>
      </c>
    </row>
    <row r="4" spans="1:23" x14ac:dyDescent="0.25">
      <c r="B4" s="554">
        <v>64</v>
      </c>
      <c r="C4" s="387">
        <v>0</v>
      </c>
      <c r="D4" s="387">
        <v>67</v>
      </c>
      <c r="E4" s="555">
        <v>34</v>
      </c>
      <c r="G4" s="554" t="e">
        <f t="array" aca="1" ref="G4:J21" ca="1">QSORTRows(B4:E21)</f>
        <v>#NAME?</v>
      </c>
      <c r="H4" s="387" t="e">
        <f ca="1"/>
        <v>#NAME?</v>
      </c>
      <c r="I4" s="387" t="e">
        <f ca="1"/>
        <v>#NAME?</v>
      </c>
      <c r="J4" s="555" t="e">
        <f ca="1"/>
        <v>#NAME?</v>
      </c>
      <c r="K4" s="554" t="e">
        <f ca="1">MMULT(J4:J4,$O$4)</f>
        <v>#NAME?</v>
      </c>
      <c r="L4" s="387" t="e">
        <f ca="1">EXP(K4)</f>
        <v>#NAME?</v>
      </c>
      <c r="M4" s="555" t="e">
        <f ca="1">IF(H4=1,K4-LN(SUM(L4:L$21)),0)</f>
        <v>#NAME?</v>
      </c>
      <c r="O4" s="258">
        <v>6.5705722137825828E-2</v>
      </c>
      <c r="Q4" s="554" t="e">
        <f ca="1">IF(H4=1,SUM(L4:L$21),0)</f>
        <v>#NAME?</v>
      </c>
      <c r="R4" s="554" t="e">
        <f ca="1">IF(H4=1,SUMPRODUCT(J4:J$21,L4:L$21),0)</f>
        <v>#NAME?</v>
      </c>
      <c r="S4" s="555" t="e">
        <f ca="1">IF(H4=1,J4-R4/Q4,0)</f>
        <v>#NAME?</v>
      </c>
      <c r="T4" s="554" t="e">
        <f ca="1">IF(H4=1,SUMPRODUCT(L4:L$21,J4:J$21^2),0)</f>
        <v>#NAME?</v>
      </c>
      <c r="U4" s="555" t="e">
        <f t="shared" ref="U4:U21" ca="1" si="0">IF(H4=1,(T4-R4*R4/Q4)/Q4,0)</f>
        <v>#NAME?</v>
      </c>
      <c r="W4" s="258" t="e">
        <f ca="1">U22</f>
        <v>#NAME?</v>
      </c>
    </row>
    <row r="5" spans="1:23" x14ac:dyDescent="0.25">
      <c r="B5" s="214">
        <v>59</v>
      </c>
      <c r="C5" s="7">
        <v>0</v>
      </c>
      <c r="D5" s="7">
        <v>63</v>
      </c>
      <c r="E5" s="215">
        <v>6</v>
      </c>
      <c r="G5" s="214" t="e">
        <f ca="1"/>
        <v>#NAME?</v>
      </c>
      <c r="H5" s="7" t="e">
        <f ca="1"/>
        <v>#NAME?</v>
      </c>
      <c r="I5" s="7" t="e">
        <f ca="1"/>
        <v>#NAME?</v>
      </c>
      <c r="J5" s="215" t="e">
        <f ca="1"/>
        <v>#NAME?</v>
      </c>
      <c r="K5" s="214" t="e">
        <f t="shared" ref="K5:K21" ca="1" si="1">MMULT(J5:J5,$O$4)</f>
        <v>#NAME?</v>
      </c>
      <c r="L5" s="7" t="e">
        <f t="shared" ref="L5:L21" ca="1" si="2">EXP(K5)</f>
        <v>#NAME?</v>
      </c>
      <c r="M5" s="215" t="e">
        <f ca="1">IF(H5=1,K5-LN(SUM(L5:L$21)),0)</f>
        <v>#NAME?</v>
      </c>
      <c r="Q5" s="214" t="e">
        <f ca="1">IF(H5=1,SUM(L5:L$21),0)</f>
        <v>#NAME?</v>
      </c>
      <c r="R5" s="214" t="e">
        <f ca="1">IF(H5=1,SUMPRODUCT(J5:J$21,L5:L$21),0)</f>
        <v>#NAME?</v>
      </c>
      <c r="S5" s="215" t="e">
        <f t="shared" ref="S5:S21" ca="1" si="3">IF(H5=1,J5-R5/Q5,0)</f>
        <v>#NAME?</v>
      </c>
      <c r="T5" s="214" t="e">
        <f ca="1">IF(H5=1,SUMPRODUCT(L5:L$21,J5:J$21^2),0)</f>
        <v>#NAME?</v>
      </c>
      <c r="U5" s="215" t="e">
        <f t="shared" ca="1" si="0"/>
        <v>#NAME?</v>
      </c>
    </row>
    <row r="6" spans="1:23" x14ac:dyDescent="0.25">
      <c r="B6" s="214">
        <v>51</v>
      </c>
      <c r="C6" s="7">
        <v>0</v>
      </c>
      <c r="D6" s="7">
        <v>60</v>
      </c>
      <c r="E6" s="215">
        <v>8</v>
      </c>
      <c r="G6" s="214" t="e">
        <f ca="1"/>
        <v>#NAME?</v>
      </c>
      <c r="H6" s="7" t="e">
        <f ca="1"/>
        <v>#NAME?</v>
      </c>
      <c r="I6" s="7" t="e">
        <f ca="1"/>
        <v>#NAME?</v>
      </c>
      <c r="J6" s="215" t="e">
        <f ca="1"/>
        <v>#NAME?</v>
      </c>
      <c r="K6" s="214" t="e">
        <f t="shared" ca="1" si="1"/>
        <v>#NAME?</v>
      </c>
      <c r="L6" s="7" t="e">
        <f t="shared" ca="1" si="2"/>
        <v>#NAME?</v>
      </c>
      <c r="M6" s="215" t="e">
        <f ca="1">IF(H6=1,K6-LN(SUM(L6:L$21)),0)</f>
        <v>#NAME?</v>
      </c>
      <c r="Q6" s="214" t="e">
        <f ca="1">IF(H6=1,SUM(L6:L$21),0)</f>
        <v>#NAME?</v>
      </c>
      <c r="R6" s="214" t="e">
        <f ca="1">IF(H6=1,SUMPRODUCT(J6:J$21,L6:L$21),0)</f>
        <v>#NAME?</v>
      </c>
      <c r="S6" s="215" t="e">
        <f t="shared" ca="1" si="3"/>
        <v>#NAME?</v>
      </c>
      <c r="T6" s="214" t="e">
        <f ca="1">IF(H6=1,SUMPRODUCT(L6:L$21,J6:J$21^2),0)</f>
        <v>#NAME?</v>
      </c>
      <c r="U6" s="215" t="e">
        <f t="shared" ca="1" si="0"/>
        <v>#NAME?</v>
      </c>
      <c r="W6" t="s">
        <v>1293</v>
      </c>
    </row>
    <row r="7" spans="1:23" x14ac:dyDescent="0.25">
      <c r="B7" s="214">
        <v>14</v>
      </c>
      <c r="C7" s="7">
        <v>1</v>
      </c>
      <c r="D7" s="7">
        <v>72</v>
      </c>
      <c r="E7" s="215">
        <v>27</v>
      </c>
      <c r="G7" s="214" t="e">
        <f ca="1"/>
        <v>#NAME?</v>
      </c>
      <c r="H7" s="7" t="e">
        <f ca="1"/>
        <v>#NAME?</v>
      </c>
      <c r="I7" s="7" t="e">
        <f ca="1"/>
        <v>#NAME?</v>
      </c>
      <c r="J7" s="215" t="e">
        <f ca="1"/>
        <v>#NAME?</v>
      </c>
      <c r="K7" s="214" t="e">
        <f t="shared" ca="1" si="1"/>
        <v>#NAME?</v>
      </c>
      <c r="L7" s="7" t="e">
        <f t="shared" ca="1" si="2"/>
        <v>#NAME?</v>
      </c>
      <c r="M7" s="215" t="e">
        <f ca="1">IF(H7=1,K7-LN(SUM(L7:L$21)),0)</f>
        <v>#NAME?</v>
      </c>
      <c r="Q7" s="214" t="e">
        <f ca="1">IF(H7=1,SUM(L7:L$21),0)</f>
        <v>#NAME?</v>
      </c>
      <c r="R7" s="214" t="e">
        <f ca="1">IF(H7=1,SUMPRODUCT(J7:J$21,L7:L$21),0)</f>
        <v>#NAME?</v>
      </c>
      <c r="S7" s="215" t="e">
        <f t="shared" ca="1" si="3"/>
        <v>#NAME?</v>
      </c>
      <c r="T7" s="214" t="e">
        <f ca="1">IF(H7=1,SUMPRODUCT(L7:L$21,J7:J$21^2),0)</f>
        <v>#NAME?</v>
      </c>
      <c r="U7" s="215" t="e">
        <f t="shared" ca="1" si="0"/>
        <v>#NAME?</v>
      </c>
      <c r="W7" s="258" t="e">
        <f ca="1">MINVERSE(W4)</f>
        <v>#NAME?</v>
      </c>
    </row>
    <row r="8" spans="1:23" x14ac:dyDescent="0.25">
      <c r="B8" s="214">
        <v>43</v>
      </c>
      <c r="C8" s="7">
        <v>0</v>
      </c>
      <c r="D8" s="7">
        <v>59</v>
      </c>
      <c r="E8" s="215">
        <v>6</v>
      </c>
      <c r="G8" s="214" t="e">
        <f ca="1"/>
        <v>#NAME?</v>
      </c>
      <c r="H8" s="7" t="e">
        <f ca="1"/>
        <v>#NAME?</v>
      </c>
      <c r="I8" s="7" t="e">
        <f ca="1"/>
        <v>#NAME?</v>
      </c>
      <c r="J8" s="215" t="e">
        <f ca="1"/>
        <v>#NAME?</v>
      </c>
      <c r="K8" s="214" t="e">
        <f t="shared" ca="1" si="1"/>
        <v>#NAME?</v>
      </c>
      <c r="L8" s="7" t="e">
        <f t="shared" ca="1" si="2"/>
        <v>#NAME?</v>
      </c>
      <c r="M8" s="215" t="e">
        <f ca="1">IF(H8=1,K8-LN(SUM(L8:L$21)),0)</f>
        <v>#NAME?</v>
      </c>
      <c r="Q8" s="214" t="e">
        <f ca="1">IF(H8=1,SUM(L8:L$21),0)</f>
        <v>#NAME?</v>
      </c>
      <c r="R8" s="214" t="e">
        <f ca="1">IF(H8=1,SUMPRODUCT(J8:J$21,L8:L$21),0)</f>
        <v>#NAME?</v>
      </c>
      <c r="S8" s="215" t="e">
        <f t="shared" ca="1" si="3"/>
        <v>#NAME?</v>
      </c>
      <c r="T8" s="214" t="e">
        <f ca="1">IF(H8=1,SUMPRODUCT(L8:L$21,J8:J$21^2),0)</f>
        <v>#NAME?</v>
      </c>
      <c r="U8" s="215" t="e">
        <f t="shared" ca="1" si="0"/>
        <v>#NAME?</v>
      </c>
    </row>
    <row r="9" spans="1:23" x14ac:dyDescent="0.25">
      <c r="B9" s="214">
        <v>52</v>
      </c>
      <c r="C9" s="7">
        <v>0</v>
      </c>
      <c r="D9" s="7">
        <v>74</v>
      </c>
      <c r="E9" s="215">
        <v>4</v>
      </c>
      <c r="G9" s="214" t="e">
        <f ca="1"/>
        <v>#NAME?</v>
      </c>
      <c r="H9" s="7" t="e">
        <f ca="1"/>
        <v>#NAME?</v>
      </c>
      <c r="I9" s="7" t="e">
        <f ca="1"/>
        <v>#NAME?</v>
      </c>
      <c r="J9" s="215" t="e">
        <f ca="1"/>
        <v>#NAME?</v>
      </c>
      <c r="K9" s="214" t="e">
        <f t="shared" ca="1" si="1"/>
        <v>#NAME?</v>
      </c>
      <c r="L9" s="7" t="e">
        <f t="shared" ca="1" si="2"/>
        <v>#NAME?</v>
      </c>
      <c r="M9" s="215" t="e">
        <f ca="1">IF(H9=1,K9-LN(SUM(L9:L$21)),0)</f>
        <v>#NAME?</v>
      </c>
      <c r="Q9" s="214" t="e">
        <f ca="1">IF(H9=1,SUM(L9:L$21),0)</f>
        <v>#NAME?</v>
      </c>
      <c r="R9" s="214" t="e">
        <f ca="1">IF(H9=1,SUMPRODUCT(J9:J$21,L9:L$21),0)</f>
        <v>#NAME?</v>
      </c>
      <c r="S9" s="215" t="e">
        <f t="shared" ca="1" si="3"/>
        <v>#NAME?</v>
      </c>
      <c r="T9" s="214" t="e">
        <f ca="1">IF(H9=1,SUMPRODUCT(L9:L$21,J9:J$21^2),0)</f>
        <v>#NAME?</v>
      </c>
      <c r="U9" s="215" t="e">
        <f t="shared" ca="1" si="0"/>
        <v>#NAME?</v>
      </c>
      <c r="W9" s="39" t="s">
        <v>1294</v>
      </c>
    </row>
    <row r="10" spans="1:23" x14ac:dyDescent="0.25">
      <c r="B10" s="214">
        <v>59</v>
      </c>
      <c r="C10" s="7">
        <v>0</v>
      </c>
      <c r="D10" s="7">
        <v>77</v>
      </c>
      <c r="E10" s="215">
        <v>6</v>
      </c>
      <c r="G10" s="214" t="e">
        <f ca="1"/>
        <v>#NAME?</v>
      </c>
      <c r="H10" s="7" t="e">
        <f ca="1"/>
        <v>#NAME?</v>
      </c>
      <c r="I10" s="7" t="e">
        <f ca="1"/>
        <v>#NAME?</v>
      </c>
      <c r="J10" s="215" t="e">
        <f ca="1"/>
        <v>#NAME?</v>
      </c>
      <c r="K10" s="214" t="e">
        <f t="shared" ca="1" si="1"/>
        <v>#NAME?</v>
      </c>
      <c r="L10" s="7" t="e">
        <f t="shared" ca="1" si="2"/>
        <v>#NAME?</v>
      </c>
      <c r="M10" s="215" t="e">
        <f ca="1">IF(H10=1,K10-LN(SUM(L10:L$21)),0)</f>
        <v>#NAME?</v>
      </c>
      <c r="Q10" s="214" t="e">
        <f ca="1">IF(H10=1,SUM(L10:L$21),0)</f>
        <v>#NAME?</v>
      </c>
      <c r="R10" s="214" t="e">
        <f ca="1">IF(H10=1,SUMPRODUCT(J10:J$21,L10:L$21),0)</f>
        <v>#NAME?</v>
      </c>
      <c r="S10" s="215" t="e">
        <f t="shared" ca="1" si="3"/>
        <v>#NAME?</v>
      </c>
      <c r="T10" s="214" t="e">
        <f ca="1">IF(H10=1,SUMPRODUCT(L10:L$21,J10:J$21^2),0)</f>
        <v>#NAME?</v>
      </c>
      <c r="U10" s="215" t="e">
        <f t="shared" ca="1" si="0"/>
        <v>#NAME?</v>
      </c>
      <c r="W10" s="588" t="e">
        <f ca="1">S22</f>
        <v>#NAME?</v>
      </c>
    </row>
    <row r="11" spans="1:23" x14ac:dyDescent="0.25">
      <c r="B11" s="214">
        <v>5</v>
      </c>
      <c r="C11" s="7">
        <v>1</v>
      </c>
      <c r="D11" s="7">
        <v>77</v>
      </c>
      <c r="E11" s="215">
        <v>15</v>
      </c>
      <c r="G11" s="214" t="e">
        <f ca="1"/>
        <v>#NAME?</v>
      </c>
      <c r="H11" s="7" t="e">
        <f ca="1"/>
        <v>#NAME?</v>
      </c>
      <c r="I11" s="7" t="e">
        <f ca="1"/>
        <v>#NAME?</v>
      </c>
      <c r="J11" s="215" t="e">
        <f ca="1"/>
        <v>#NAME?</v>
      </c>
      <c r="K11" s="214" t="e">
        <f t="shared" ca="1" si="1"/>
        <v>#NAME?</v>
      </c>
      <c r="L11" s="7" t="e">
        <f t="shared" ca="1" si="2"/>
        <v>#NAME?</v>
      </c>
      <c r="M11" s="215" t="e">
        <f ca="1">IF(H11=1,K11-LN(SUM(L11:L$21)),0)</f>
        <v>#NAME?</v>
      </c>
      <c r="Q11" s="214" t="e">
        <f ca="1">IF(H11=1,SUM(L11:L$21),0)</f>
        <v>#NAME?</v>
      </c>
      <c r="R11" s="214" t="e">
        <f ca="1">IF(H11=1,SUMPRODUCT(J11:J$21,L11:L$21),0)</f>
        <v>#NAME?</v>
      </c>
      <c r="S11" s="215" t="e">
        <f t="shared" ca="1" si="3"/>
        <v>#NAME?</v>
      </c>
      <c r="T11" s="214" t="e">
        <f ca="1">IF(H11=1,SUMPRODUCT(L11:L$21,J11:J$21^2),0)</f>
        <v>#NAME?</v>
      </c>
      <c r="U11" s="215" t="e">
        <f t="shared" ca="1" si="0"/>
        <v>#NAME?</v>
      </c>
    </row>
    <row r="12" spans="1:23" x14ac:dyDescent="0.25">
      <c r="B12" s="214">
        <v>67</v>
      </c>
      <c r="C12" s="7">
        <v>0</v>
      </c>
      <c r="D12" s="7">
        <v>70</v>
      </c>
      <c r="E12" s="215">
        <v>8</v>
      </c>
      <c r="G12" s="214" t="e">
        <f ca="1"/>
        <v>#NAME?</v>
      </c>
      <c r="H12" s="7" t="e">
        <f ca="1"/>
        <v>#NAME?</v>
      </c>
      <c r="I12" s="7" t="e">
        <f ca="1"/>
        <v>#NAME?</v>
      </c>
      <c r="J12" s="215" t="e">
        <f ca="1"/>
        <v>#NAME?</v>
      </c>
      <c r="K12" s="214" t="e">
        <f t="shared" ca="1" si="1"/>
        <v>#NAME?</v>
      </c>
      <c r="L12" s="7" t="e">
        <f t="shared" ca="1" si="2"/>
        <v>#NAME?</v>
      </c>
      <c r="M12" s="215" t="e">
        <f ca="1">IF(H12=1,K12-LN(SUM(L12:L$21)),0)</f>
        <v>#NAME?</v>
      </c>
      <c r="Q12" s="214" t="e">
        <f ca="1">IF(H12=1,SUM(L12:L$21),0)</f>
        <v>#NAME?</v>
      </c>
      <c r="R12" s="214" t="e">
        <f ca="1">IF(H12=1,SUMPRODUCT(J12:J$21,L12:L$21),0)</f>
        <v>#NAME?</v>
      </c>
      <c r="S12" s="215" t="e">
        <f t="shared" ca="1" si="3"/>
        <v>#NAME?</v>
      </c>
      <c r="T12" s="214" t="e">
        <f ca="1">IF(H12=1,SUMPRODUCT(L12:L$21,J12:J$21^2),0)</f>
        <v>#NAME?</v>
      </c>
      <c r="U12" s="215" t="e">
        <f t="shared" ca="1" si="0"/>
        <v>#NAME?</v>
      </c>
    </row>
    <row r="13" spans="1:23" x14ac:dyDescent="0.25">
      <c r="B13" s="214">
        <v>70</v>
      </c>
      <c r="C13" s="7">
        <v>1</v>
      </c>
      <c r="D13" s="7">
        <v>61</v>
      </c>
      <c r="E13" s="215">
        <v>16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215" t="e">
        <f ca="1"/>
        <v>#NAME?</v>
      </c>
      <c r="K13" s="214" t="e">
        <f t="shared" ca="1" si="1"/>
        <v>#NAME?</v>
      </c>
      <c r="L13" s="7" t="e">
        <f t="shared" ca="1" si="2"/>
        <v>#NAME?</v>
      </c>
      <c r="M13" s="215" t="e">
        <f ca="1">IF(H13=1,K13-LN(SUM(L13:L$21)),0)</f>
        <v>#NAME?</v>
      </c>
      <c r="Q13" s="214" t="e">
        <f ca="1">IF(H13=1,SUM(L13:L$21),0)</f>
        <v>#NAME?</v>
      </c>
      <c r="R13" s="214" t="e">
        <f ca="1">IF(H13=1,SUMPRODUCT(J13:J$21,L13:L$21),0)</f>
        <v>#NAME?</v>
      </c>
      <c r="S13" s="215" t="e">
        <f t="shared" ca="1" si="3"/>
        <v>#NAME?</v>
      </c>
      <c r="T13" s="214" t="e">
        <f ca="1">IF(H13=1,SUMPRODUCT(L13:L$21,J13:J$21^2),0)</f>
        <v>#NAME?</v>
      </c>
      <c r="U13" s="215" t="e">
        <f t="shared" ca="1" si="0"/>
        <v>#NAME?</v>
      </c>
    </row>
    <row r="14" spans="1:23" x14ac:dyDescent="0.25">
      <c r="B14" s="214">
        <v>67</v>
      </c>
      <c r="C14" s="7">
        <v>0</v>
      </c>
      <c r="D14" s="7">
        <v>71</v>
      </c>
      <c r="E14" s="215">
        <v>9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K14" s="214" t="e">
        <f t="shared" ca="1" si="1"/>
        <v>#NAME?</v>
      </c>
      <c r="L14" s="7" t="e">
        <f t="shared" ca="1" si="2"/>
        <v>#NAME?</v>
      </c>
      <c r="M14" s="215" t="e">
        <f ca="1">IF(H14=1,K14-LN(SUM(L14:L$21)),0)</f>
        <v>#NAME?</v>
      </c>
      <c r="Q14" s="214" t="e">
        <f ca="1">IF(H14=1,SUM(L14:L$21),0)</f>
        <v>#NAME?</v>
      </c>
      <c r="R14" s="214" t="e">
        <f ca="1">IF(H14=1,SUMPRODUCT(J14:J$21,L14:L$21),0)</f>
        <v>#NAME?</v>
      </c>
      <c r="S14" s="215" t="e">
        <f t="shared" ca="1" si="3"/>
        <v>#NAME?</v>
      </c>
      <c r="T14" s="214" t="e">
        <f ca="1">IF(H14=1,SUMPRODUCT(L14:L$21,J14:J$21^2),0)</f>
        <v>#NAME?</v>
      </c>
      <c r="U14" s="215" t="e">
        <f t="shared" ca="1" si="0"/>
        <v>#NAME?</v>
      </c>
    </row>
    <row r="15" spans="1:23" x14ac:dyDescent="0.25">
      <c r="B15" s="214">
        <v>30</v>
      </c>
      <c r="C15" s="7">
        <v>0</v>
      </c>
      <c r="D15" s="7">
        <v>70</v>
      </c>
      <c r="E15" s="215">
        <v>11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K15" s="214" t="e">
        <f t="shared" ca="1" si="1"/>
        <v>#NAME?</v>
      </c>
      <c r="L15" s="7" t="e">
        <f t="shared" ca="1" si="2"/>
        <v>#NAME?</v>
      </c>
      <c r="M15" s="215" t="e">
        <f ca="1">IF(H15=1,K15-LN(SUM(L15:L$21)),0)</f>
        <v>#NAME?</v>
      </c>
      <c r="Q15" s="214" t="e">
        <f ca="1">IF(H15=1,SUM(L15:L$21),0)</f>
        <v>#NAME?</v>
      </c>
      <c r="R15" s="214" t="e">
        <f ca="1">IF(H15=1,SUMPRODUCT(J15:J$21,L15:L$21),0)</f>
        <v>#NAME?</v>
      </c>
      <c r="S15" s="215" t="e">
        <f t="shared" ca="1" si="3"/>
        <v>#NAME?</v>
      </c>
      <c r="T15" s="214" t="e">
        <f ca="1">IF(H15=1,SUMPRODUCT(L15:L$21,J15:J$21^2),0)</f>
        <v>#NAME?</v>
      </c>
      <c r="U15" s="215" t="e">
        <f t="shared" ca="1" si="0"/>
        <v>#NAME?</v>
      </c>
    </row>
    <row r="16" spans="1:23" x14ac:dyDescent="0.25">
      <c r="B16" s="214">
        <v>62</v>
      </c>
      <c r="C16" s="7">
        <v>1</v>
      </c>
      <c r="D16" s="7">
        <v>75</v>
      </c>
      <c r="E16" s="215">
        <v>15</v>
      </c>
      <c r="G16" s="214" t="e">
        <f ca="1"/>
        <v>#NAME?</v>
      </c>
      <c r="H16" s="7" t="e">
        <f ca="1"/>
        <v>#NAME?</v>
      </c>
      <c r="I16" s="7" t="e">
        <f ca="1"/>
        <v>#NAME?</v>
      </c>
      <c r="J16" s="215" t="e">
        <f ca="1"/>
        <v>#NAME?</v>
      </c>
      <c r="K16" s="214" t="e">
        <f t="shared" ca="1" si="1"/>
        <v>#NAME?</v>
      </c>
      <c r="L16" s="7" t="e">
        <f t="shared" ca="1" si="2"/>
        <v>#NAME?</v>
      </c>
      <c r="M16" s="215" t="e">
        <f ca="1">IF(H16=1,K16-LN(SUM(L16:L$21)),0)</f>
        <v>#NAME?</v>
      </c>
      <c r="Q16" s="214" t="e">
        <f ca="1">IF(H16=1,SUM(L16:L$21),0)</f>
        <v>#NAME?</v>
      </c>
      <c r="R16" s="214" t="e">
        <f ca="1">IF(H16=1,SUMPRODUCT(J16:J$21,L16:L$21),0)</f>
        <v>#NAME?</v>
      </c>
      <c r="S16" s="215" t="e">
        <f t="shared" ca="1" si="3"/>
        <v>#NAME?</v>
      </c>
      <c r="T16" s="214" t="e">
        <f ca="1">IF(H16=1,SUMPRODUCT(L16:L$21,J16:J$21^2),0)</f>
        <v>#NAME?</v>
      </c>
      <c r="U16" s="215" t="e">
        <f t="shared" ca="1" si="0"/>
        <v>#NAME?</v>
      </c>
    </row>
    <row r="17" spans="2:29" x14ac:dyDescent="0.25">
      <c r="B17" s="214">
        <v>27</v>
      </c>
      <c r="C17" s="7">
        <v>1</v>
      </c>
      <c r="D17" s="7">
        <v>72</v>
      </c>
      <c r="E17" s="215">
        <v>36</v>
      </c>
      <c r="G17" s="214" t="e">
        <f ca="1"/>
        <v>#NAME?</v>
      </c>
      <c r="H17" s="7" t="e">
        <f ca="1"/>
        <v>#NAME?</v>
      </c>
      <c r="I17" s="7" t="e">
        <f ca="1"/>
        <v>#NAME?</v>
      </c>
      <c r="J17" s="215" t="e">
        <f ca="1"/>
        <v>#NAME?</v>
      </c>
      <c r="K17" s="214" t="e">
        <f t="shared" ca="1" si="1"/>
        <v>#NAME?</v>
      </c>
      <c r="L17" s="7" t="e">
        <f t="shared" ca="1" si="2"/>
        <v>#NAME?</v>
      </c>
      <c r="M17" s="215" t="e">
        <f ca="1">IF(H17=1,K17-LN(SUM(L17:L$21)),0)</f>
        <v>#NAME?</v>
      </c>
      <c r="Q17" s="214" t="e">
        <f ca="1">IF(H17=1,SUM(L17:L$21),0)</f>
        <v>#NAME?</v>
      </c>
      <c r="R17" s="214" t="e">
        <f ca="1">IF(H17=1,SUMPRODUCT(J17:J$21,L17:L$21),0)</f>
        <v>#NAME?</v>
      </c>
      <c r="S17" s="215" t="e">
        <f t="shared" ca="1" si="3"/>
        <v>#NAME?</v>
      </c>
      <c r="T17" s="214" t="e">
        <f ca="1">IF(H17=1,SUMPRODUCT(L17:L$21,J17:J$21^2),0)</f>
        <v>#NAME?</v>
      </c>
      <c r="U17" s="215" t="e">
        <f t="shared" ca="1" si="0"/>
        <v>#NAME?</v>
      </c>
    </row>
    <row r="18" spans="2:29" x14ac:dyDescent="0.25">
      <c r="B18" s="214">
        <v>41</v>
      </c>
      <c r="C18" s="7">
        <v>1</v>
      </c>
      <c r="D18" s="7">
        <v>58</v>
      </c>
      <c r="E18" s="215">
        <v>25</v>
      </c>
      <c r="G18" s="214" t="e">
        <f ca="1"/>
        <v>#NAME?</v>
      </c>
      <c r="H18" s="7" t="e">
        <f ca="1"/>
        <v>#NAME?</v>
      </c>
      <c r="I18" s="7" t="e">
        <f ca="1"/>
        <v>#NAME?</v>
      </c>
      <c r="J18" s="215" t="e">
        <f ca="1"/>
        <v>#NAME?</v>
      </c>
      <c r="K18" s="214" t="e">
        <f t="shared" ca="1" si="1"/>
        <v>#NAME?</v>
      </c>
      <c r="L18" s="7" t="e">
        <f t="shared" ca="1" si="2"/>
        <v>#NAME?</v>
      </c>
      <c r="M18" s="215" t="e">
        <f ca="1">IF(H18=1,K18-LN(SUM(L18:L$21)),0)</f>
        <v>#NAME?</v>
      </c>
      <c r="Q18" s="214" t="e">
        <f ca="1">IF(H18=1,SUM(L18:L$21),0)</f>
        <v>#NAME?</v>
      </c>
      <c r="R18" s="214" t="e">
        <f ca="1">IF(H18=1,SUMPRODUCT(J18:J$21,L18:L$21),0)</f>
        <v>#NAME?</v>
      </c>
      <c r="S18" s="215" t="e">
        <f t="shared" ca="1" si="3"/>
        <v>#NAME?</v>
      </c>
      <c r="T18" s="214" t="e">
        <f ca="1">IF(H18=1,SUMPRODUCT(L18:L$21,J18:J$21^2),0)</f>
        <v>#NAME?</v>
      </c>
      <c r="U18" s="215" t="e">
        <f t="shared" ca="1" si="0"/>
        <v>#NAME?</v>
      </c>
    </row>
    <row r="19" spans="2:29" x14ac:dyDescent="0.25">
      <c r="B19" s="214">
        <v>37</v>
      </c>
      <c r="C19" s="7">
        <v>1</v>
      </c>
      <c r="D19" s="7">
        <v>80</v>
      </c>
      <c r="E19" s="215">
        <v>8</v>
      </c>
      <c r="G19" s="214" t="e">
        <f ca="1"/>
        <v>#NAME?</v>
      </c>
      <c r="H19" s="7" t="e">
        <f ca="1"/>
        <v>#NAME?</v>
      </c>
      <c r="I19" s="7" t="e">
        <f ca="1"/>
        <v>#NAME?</v>
      </c>
      <c r="J19" s="215" t="e">
        <f ca="1"/>
        <v>#NAME?</v>
      </c>
      <c r="K19" s="214" t="e">
        <f t="shared" ca="1" si="1"/>
        <v>#NAME?</v>
      </c>
      <c r="L19" s="7" t="e">
        <f t="shared" ca="1" si="2"/>
        <v>#NAME?</v>
      </c>
      <c r="M19" s="215" t="e">
        <f ca="1">IF(H19=1,K19-LN(SUM(L19:L$21)),0)</f>
        <v>#NAME?</v>
      </c>
      <c r="Q19" s="214" t="e">
        <f ca="1">IF(H19=1,SUM(L19:L$21),0)</f>
        <v>#NAME?</v>
      </c>
      <c r="R19" s="214" t="e">
        <f ca="1">IF(H19=1,SUMPRODUCT(J19:J$21,L19:L$21),0)</f>
        <v>#NAME?</v>
      </c>
      <c r="S19" s="215" t="e">
        <f t="shared" ca="1" si="3"/>
        <v>#NAME?</v>
      </c>
      <c r="T19" s="214" t="e">
        <f ca="1">IF(H19=1,SUMPRODUCT(L19:L$21,J19:J$21^2),0)</f>
        <v>#NAME?</v>
      </c>
      <c r="U19" s="215" t="e">
        <f t="shared" ca="1" si="0"/>
        <v>#NAME?</v>
      </c>
    </row>
    <row r="20" spans="2:29" x14ac:dyDescent="0.25">
      <c r="B20" s="214">
        <v>25</v>
      </c>
      <c r="C20" s="7">
        <v>0</v>
      </c>
      <c r="D20" s="7">
        <v>68</v>
      </c>
      <c r="E20" s="215">
        <v>3</v>
      </c>
      <c r="G20" s="214" t="e">
        <f ca="1"/>
        <v>#NAME?</v>
      </c>
      <c r="H20" s="7" t="e">
        <f ca="1"/>
        <v>#NAME?</v>
      </c>
      <c r="I20" s="7" t="e">
        <f ca="1"/>
        <v>#NAME?</v>
      </c>
      <c r="J20" s="215" t="e">
        <f ca="1"/>
        <v>#NAME?</v>
      </c>
      <c r="K20" s="214" t="e">
        <f t="shared" ca="1" si="1"/>
        <v>#NAME?</v>
      </c>
      <c r="L20" s="7" t="e">
        <f t="shared" ca="1" si="2"/>
        <v>#NAME?</v>
      </c>
      <c r="M20" s="215" t="e">
        <f ca="1">IF(H20=1,K20-LN(SUM(L20:L$21)),0)</f>
        <v>#NAME?</v>
      </c>
      <c r="Q20" s="214" t="e">
        <f ca="1">IF(H20=1,SUM(L20:L$21),0)</f>
        <v>#NAME?</v>
      </c>
      <c r="R20" s="214" t="e">
        <f ca="1">IF(H20=1,SUMPRODUCT(J20:J$21,L20:L$21),0)</f>
        <v>#NAME?</v>
      </c>
      <c r="S20" s="215" t="e">
        <f t="shared" ca="1" si="3"/>
        <v>#NAME?</v>
      </c>
      <c r="T20" s="214" t="e">
        <f ca="1">IF(H20=1,SUMPRODUCT(L20:L$21,J20:J$21^2),0)</f>
        <v>#NAME?</v>
      </c>
      <c r="U20" s="215" t="e">
        <f t="shared" ca="1" si="0"/>
        <v>#NAME?</v>
      </c>
    </row>
    <row r="21" spans="2:29" x14ac:dyDescent="0.25">
      <c r="B21" s="112">
        <v>62</v>
      </c>
      <c r="C21" s="354">
        <v>0</v>
      </c>
      <c r="D21" s="354">
        <v>64</v>
      </c>
      <c r="E21" s="120">
        <v>2</v>
      </c>
      <c r="G21" s="112" t="e">
        <f ca="1"/>
        <v>#NAME?</v>
      </c>
      <c r="H21" s="354" t="e">
        <f ca="1"/>
        <v>#NAME?</v>
      </c>
      <c r="I21" s="354" t="e">
        <f ca="1"/>
        <v>#NAME?</v>
      </c>
      <c r="J21" s="120" t="e">
        <f ca="1"/>
        <v>#NAME?</v>
      </c>
      <c r="K21" s="112" t="e">
        <f t="shared" ca="1" si="1"/>
        <v>#NAME?</v>
      </c>
      <c r="L21" s="354" t="e">
        <f t="shared" ca="1" si="2"/>
        <v>#NAME?</v>
      </c>
      <c r="M21" s="120" t="e">
        <f ca="1">IF(H21=1,K21-LN(SUM(L21:L$21)),0)</f>
        <v>#NAME?</v>
      </c>
      <c r="Q21" s="112" t="e">
        <f ca="1">IF(H21=1,SUM(L21:L$21),0)</f>
        <v>#NAME?</v>
      </c>
      <c r="R21" s="112" t="e">
        <f ca="1">IF(H21=1,SUMPRODUCT(J21:J$21,L21:L$21),0)</f>
        <v>#NAME?</v>
      </c>
      <c r="S21" s="120" t="e">
        <f t="shared" ca="1" si="3"/>
        <v>#NAME?</v>
      </c>
      <c r="T21" s="112" t="e">
        <f ca="1">IF(H21=1,SUMPRODUCT(L21:L$21,J21:J$21^2),0)</f>
        <v>#NAME?</v>
      </c>
      <c r="U21" s="120" t="e">
        <f t="shared" ca="1" si="0"/>
        <v>#NAME?</v>
      </c>
    </row>
    <row r="22" spans="2:29" x14ac:dyDescent="0.25">
      <c r="M22" s="584" t="e">
        <f ca="1">SUM(M4:M21)</f>
        <v>#NAME?</v>
      </c>
      <c r="S22" s="25" t="e">
        <f ca="1">SUM(S4:S21)</f>
        <v>#NAME?</v>
      </c>
      <c r="U22" s="25" t="e">
        <f ca="1">SUM(U4:U21)</f>
        <v>#NAME?</v>
      </c>
    </row>
    <row r="24" spans="2:29" x14ac:dyDescent="0.25">
      <c r="U24" t="s">
        <v>70</v>
      </c>
      <c r="V24">
        <v>0.05</v>
      </c>
    </row>
    <row r="26" spans="2:29" x14ac:dyDescent="0.25">
      <c r="R26" s="565" t="s">
        <v>26</v>
      </c>
      <c r="S26" s="565" t="s">
        <v>134</v>
      </c>
      <c r="T26" s="565" t="s">
        <v>19</v>
      </c>
      <c r="U26" s="565" t="s">
        <v>48</v>
      </c>
      <c r="V26" s="565" t="s">
        <v>1295</v>
      </c>
      <c r="W26" s="565" t="s">
        <v>1296</v>
      </c>
      <c r="X26" s="565" t="s">
        <v>1314</v>
      </c>
      <c r="Y26" s="565" t="s">
        <v>1295</v>
      </c>
      <c r="Z26" s="565" t="s">
        <v>1296</v>
      </c>
      <c r="AB26" s="565" t="s">
        <v>1297</v>
      </c>
      <c r="AC26" s="565" t="s">
        <v>48</v>
      </c>
    </row>
    <row r="27" spans="2:29" x14ac:dyDescent="0.25">
      <c r="Q27" t="s">
        <v>1283</v>
      </c>
      <c r="R27" s="585">
        <f>O4</f>
        <v>6.5705722137825828E-2</v>
      </c>
      <c r="S27" s="586" t="e">
        <f ca="1">SQRT(W7)</f>
        <v>#NAME?</v>
      </c>
      <c r="T27" s="585" t="e">
        <f ca="1">R27/S27</f>
        <v>#NAME?</v>
      </c>
      <c r="U27" s="587" t="e">
        <f ca="1">2*(1-NORMSDIST(T27))</f>
        <v>#NAME?</v>
      </c>
      <c r="V27" s="586" t="e">
        <f ca="1">R27-S27*NORMSINV(1-V24/2)</f>
        <v>#NAME?</v>
      </c>
      <c r="W27" s="587" t="e">
        <f ca="1">R27+S27*NORMSINV(1-V24/2)</f>
        <v>#NAME?</v>
      </c>
      <c r="X27" s="275">
        <f>EXP(R27)</f>
        <v>1.06791240794074</v>
      </c>
      <c r="Y27" s="589" t="e">
        <f ca="1">EXP(V27)</f>
        <v>#NAME?</v>
      </c>
      <c r="Z27" s="276" t="e">
        <f ca="1">EXP(W27)</f>
        <v>#NAME?</v>
      </c>
      <c r="AB27" s="585" t="e">
        <f ca="1">(R27/S27)^2</f>
        <v>#NAME?</v>
      </c>
      <c r="AC27" s="587" t="e">
        <f ca="1">CHIDIST(AB27,1)</f>
        <v>#NAME?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11"/>
  <sheetViews>
    <sheetView workbookViewId="0"/>
  </sheetViews>
  <sheetFormatPr defaultRowHeight="15" x14ac:dyDescent="0.25"/>
  <cols>
    <col min="3" max="3" width="4.28515625" customWidth="1"/>
  </cols>
  <sheetData>
    <row r="1" spans="1:15" x14ac:dyDescent="0.25">
      <c r="A1" s="1" t="s">
        <v>1305</v>
      </c>
    </row>
    <row r="2" spans="1:15" x14ac:dyDescent="0.25">
      <c r="A2" s="1"/>
    </row>
    <row r="3" spans="1:15" x14ac:dyDescent="0.25">
      <c r="A3" s="15" t="s">
        <v>1308</v>
      </c>
      <c r="D3" s="15" t="s">
        <v>1309</v>
      </c>
      <c r="G3" t="s">
        <v>1310</v>
      </c>
    </row>
    <row r="5" spans="1:15" x14ac:dyDescent="0.25">
      <c r="A5" t="s">
        <v>625</v>
      </c>
      <c r="B5" s="574" t="e">
        <f ca="1">'Cox Reg 1'!M22</f>
        <v>#NAME?</v>
      </c>
      <c r="D5" t="s">
        <v>625</v>
      </c>
      <c r="E5" s="574" t="e">
        <f ca="1">B5</f>
        <v>#NAME?</v>
      </c>
      <c r="G5" s="565" t="s">
        <v>26</v>
      </c>
      <c r="H5" s="565" t="s">
        <v>134</v>
      </c>
      <c r="I5" s="565" t="s">
        <v>19</v>
      </c>
      <c r="J5" s="565" t="s">
        <v>48</v>
      </c>
      <c r="K5" s="565" t="s">
        <v>1295</v>
      </c>
      <c r="L5" s="565" t="s">
        <v>1296</v>
      </c>
      <c r="M5" s="565" t="s">
        <v>1314</v>
      </c>
      <c r="N5" s="565" t="s">
        <v>1295</v>
      </c>
      <c r="O5" s="565" t="s">
        <v>1296</v>
      </c>
    </row>
    <row r="6" spans="1:15" x14ac:dyDescent="0.25">
      <c r="A6" t="s">
        <v>653</v>
      </c>
      <c r="B6" s="185" t="e">
        <f ca="1">'Cox Reg 4'!M22</f>
        <v>#NAME?</v>
      </c>
      <c r="D6" t="s">
        <v>653</v>
      </c>
      <c r="E6" s="185" t="e">
        <f ca="1">'Cox Reg 5'!M22</f>
        <v>#NAME?</v>
      </c>
      <c r="G6" s="585">
        <f>'Cox Reg 4'!R27</f>
        <v>0.12079450835053478</v>
      </c>
      <c r="H6" s="586" t="e">
        <f ca="1">'Cox Reg 4'!S27</f>
        <v>#NAME?</v>
      </c>
      <c r="I6" s="586" t="e">
        <f ca="1">'Cox Reg 4'!T27</f>
        <v>#NAME?</v>
      </c>
      <c r="J6" s="586" t="e">
        <f ca="1">'Cox Reg 4'!U27</f>
        <v>#NAME?</v>
      </c>
      <c r="K6" s="586" t="e">
        <f ca="1">'Cox Reg 4'!V27</f>
        <v>#NAME?</v>
      </c>
      <c r="L6" s="587" t="e">
        <f ca="1">'Cox Reg 4'!W27</f>
        <v>#NAME?</v>
      </c>
      <c r="M6" s="275">
        <f>EXP(G6)</f>
        <v>1.1283930131999613</v>
      </c>
      <c r="N6" s="589" t="e">
        <f ca="1">EXP(K6)</f>
        <v>#NAME?</v>
      </c>
      <c r="O6" s="276" t="e">
        <f ca="1">EXP(L6)</f>
        <v>#NAME?</v>
      </c>
    </row>
    <row r="7" spans="1:15" x14ac:dyDescent="0.25">
      <c r="A7" s="24" t="s">
        <v>73</v>
      </c>
      <c r="B7" s="185" t="e">
        <f ca="1">-2*(B5-B6)</f>
        <v>#NAME?</v>
      </c>
      <c r="D7" s="24" t="s">
        <v>73</v>
      </c>
      <c r="E7" s="185" t="e">
        <f ca="1">-2*(E5-E6)</f>
        <v>#NAME?</v>
      </c>
    </row>
    <row r="8" spans="1:15" x14ac:dyDescent="0.25">
      <c r="A8" s="24" t="s">
        <v>41</v>
      </c>
      <c r="B8" s="185">
        <v>1</v>
      </c>
      <c r="D8" s="24" t="s">
        <v>41</v>
      </c>
      <c r="E8" s="185">
        <v>1</v>
      </c>
      <c r="G8" t="s">
        <v>1311</v>
      </c>
    </row>
    <row r="9" spans="1:15" x14ac:dyDescent="0.25">
      <c r="A9" s="24" t="s">
        <v>48</v>
      </c>
      <c r="B9" s="123" t="e">
        <f ca="1">CHIDIST(B7,B8)</f>
        <v>#NAME?</v>
      </c>
      <c r="D9" s="24" t="s">
        <v>48</v>
      </c>
      <c r="E9" s="123" t="e">
        <f ca="1">CHIDIST(E7,E8)</f>
        <v>#NAME?</v>
      </c>
    </row>
    <row r="10" spans="1:15" x14ac:dyDescent="0.25">
      <c r="G10" s="565" t="s">
        <v>26</v>
      </c>
      <c r="H10" s="565" t="s">
        <v>134</v>
      </c>
      <c r="I10" s="565" t="s">
        <v>19</v>
      </c>
      <c r="J10" s="565" t="s">
        <v>48</v>
      </c>
      <c r="K10" s="565" t="s">
        <v>1295</v>
      </c>
      <c r="L10" s="565" t="s">
        <v>1296</v>
      </c>
      <c r="M10" s="565" t="s">
        <v>1314</v>
      </c>
      <c r="N10" s="565" t="s">
        <v>1295</v>
      </c>
      <c r="O10" s="565" t="s">
        <v>1296</v>
      </c>
    </row>
    <row r="11" spans="1:15" x14ac:dyDescent="0.25">
      <c r="G11" s="585">
        <f>'Cox Reg 5'!R27</f>
        <v>6.5705722137825828E-2</v>
      </c>
      <c r="H11" s="586" t="e">
        <f ca="1">'Cox Reg 5'!S27</f>
        <v>#NAME?</v>
      </c>
      <c r="I11" s="586" t="e">
        <f ca="1">'Cox Reg 5'!T27</f>
        <v>#NAME?</v>
      </c>
      <c r="J11" s="586" t="e">
        <f ca="1">'Cox Reg 5'!U27</f>
        <v>#NAME?</v>
      </c>
      <c r="K11" s="586" t="e">
        <f ca="1">'Cox Reg 5'!V27</f>
        <v>#NAME?</v>
      </c>
      <c r="L11" s="587" t="e">
        <f ca="1">'Cox Reg 5'!W27</f>
        <v>#NAME?</v>
      </c>
      <c r="M11" s="275">
        <f>EXP(G11)</f>
        <v>1.06791240794074</v>
      </c>
      <c r="N11" s="589" t="e">
        <f ca="1">EXP(K11)</f>
        <v>#NAME?</v>
      </c>
      <c r="O11" s="276" t="e">
        <f ca="1">EXP(L11)</f>
        <v>#NAME?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9"/>
  <sheetViews>
    <sheetView workbookViewId="0"/>
  </sheetViews>
  <sheetFormatPr defaultRowHeight="15" x14ac:dyDescent="0.25"/>
  <sheetData>
    <row r="1" spans="1:13" x14ac:dyDescent="0.25">
      <c r="A1" t="s">
        <v>1346</v>
      </c>
    </row>
    <row r="2" spans="1:13" x14ac:dyDescent="0.25">
      <c r="E2" t="s">
        <v>1312</v>
      </c>
    </row>
    <row r="3" spans="1:13" x14ac:dyDescent="0.25">
      <c r="A3" s="563" t="s">
        <v>1313</v>
      </c>
      <c r="B3" s="563" t="s">
        <v>620</v>
      </c>
      <c r="C3" s="563" t="s">
        <v>58</v>
      </c>
    </row>
    <row r="4" spans="1:13" ht="15.75" thickBot="1" x14ac:dyDescent="0.3">
      <c r="A4" s="565">
        <v>3</v>
      </c>
      <c r="B4" s="565">
        <v>1</v>
      </c>
      <c r="C4" s="565">
        <v>0</v>
      </c>
      <c r="E4" t="s">
        <v>1341</v>
      </c>
      <c r="H4" t="s">
        <v>1342</v>
      </c>
    </row>
    <row r="5" spans="1:13" ht="15.75" thickTop="1" x14ac:dyDescent="0.25">
      <c r="A5" s="565">
        <v>5</v>
      </c>
      <c r="B5" s="565">
        <v>1</v>
      </c>
      <c r="C5" s="565">
        <v>0</v>
      </c>
      <c r="E5" s="172" t="s">
        <v>112</v>
      </c>
      <c r="F5" s="172" t="e">
        <f ca="1">2*(I10-J10)</f>
        <v>#NAME?</v>
      </c>
      <c r="H5" s="172" t="s">
        <v>18</v>
      </c>
      <c r="I5" s="172">
        <v>0.05</v>
      </c>
    </row>
    <row r="6" spans="1:13" x14ac:dyDescent="0.25">
      <c r="A6" s="565">
        <v>8</v>
      </c>
      <c r="B6" s="565">
        <v>1</v>
      </c>
      <c r="C6" s="565">
        <v>0</v>
      </c>
      <c r="E6" t="s">
        <v>41</v>
      </c>
      <c r="F6">
        <f>COUNT(A4:C4)-2</f>
        <v>1</v>
      </c>
      <c r="H6" s="354" t="s">
        <v>1343</v>
      </c>
      <c r="I6" s="354">
        <v>20</v>
      </c>
    </row>
    <row r="7" spans="1:13" x14ac:dyDescent="0.25">
      <c r="A7" s="565">
        <v>10</v>
      </c>
      <c r="B7" s="565">
        <v>0</v>
      </c>
      <c r="C7" s="565">
        <v>0</v>
      </c>
      <c r="E7" s="354" t="s">
        <v>48</v>
      </c>
      <c r="F7" s="354" t="e">
        <f ca="1">CHIDIST(F5,F6)</f>
        <v>#NAME?</v>
      </c>
    </row>
    <row r="8" spans="1:13" ht="15.75" thickBot="1" x14ac:dyDescent="0.3">
      <c r="A8" s="565">
        <v>5</v>
      </c>
      <c r="B8" s="565">
        <v>1</v>
      </c>
      <c r="C8" s="565">
        <v>0</v>
      </c>
    </row>
    <row r="9" spans="1:13" ht="15.75" thickTop="1" x14ac:dyDescent="0.25">
      <c r="A9" s="565">
        <v>5</v>
      </c>
      <c r="B9" s="565">
        <v>0</v>
      </c>
      <c r="C9" s="565">
        <v>0</v>
      </c>
      <c r="E9" s="386"/>
      <c r="F9" s="386" t="s">
        <v>797</v>
      </c>
      <c r="G9" s="386" t="s">
        <v>148</v>
      </c>
      <c r="H9" s="386" t="s">
        <v>1344</v>
      </c>
      <c r="I9" s="386" t="s">
        <v>626</v>
      </c>
      <c r="J9" s="386" t="s">
        <v>625</v>
      </c>
      <c r="K9" s="594" t="s">
        <v>1345</v>
      </c>
    </row>
    <row r="10" spans="1:13" x14ac:dyDescent="0.25">
      <c r="A10" s="565">
        <v>8</v>
      </c>
      <c r="B10" s="565">
        <v>1</v>
      </c>
      <c r="C10" s="565">
        <v>0</v>
      </c>
      <c r="E10" s="500" t="str">
        <f t="array" ref="E10">TRANSPOSE(C3)</f>
        <v>Drug</v>
      </c>
      <c r="F10" s="500" t="e">
        <f t="array" aca="1" ref="F10:K10" ca="1">CoxEST(A4:C39,1,20)</f>
        <v>#NAME?</v>
      </c>
      <c r="G10" s="500" t="e">
        <f ca="1"/>
        <v>#NAME?</v>
      </c>
      <c r="H10" s="500" t="e">
        <f ca="1"/>
        <v>#NAME?</v>
      </c>
      <c r="I10" s="500" t="e">
        <f ca="1"/>
        <v>#NAME?</v>
      </c>
      <c r="J10" s="500" t="e">
        <f ca="1"/>
        <v>#NAME?</v>
      </c>
      <c r="K10" s="500" t="e">
        <f ca="1"/>
        <v>#NAME?</v>
      </c>
    </row>
    <row r="11" spans="1:13" ht="15.75" thickBot="1" x14ac:dyDescent="0.3">
      <c r="A11" s="565">
        <v>12</v>
      </c>
      <c r="B11" s="565">
        <v>1</v>
      </c>
      <c r="C11" s="565">
        <v>0</v>
      </c>
    </row>
    <row r="12" spans="1:13" ht="15.75" thickTop="1" x14ac:dyDescent="0.25">
      <c r="A12" s="565">
        <v>15</v>
      </c>
      <c r="B12" s="565">
        <v>0</v>
      </c>
      <c r="C12" s="565">
        <v>0</v>
      </c>
      <c r="E12" s="386"/>
      <c r="F12" s="386" t="s">
        <v>26</v>
      </c>
      <c r="G12" s="386" t="s">
        <v>148</v>
      </c>
      <c r="H12" s="386" t="s">
        <v>48</v>
      </c>
      <c r="I12" s="386" t="s">
        <v>15</v>
      </c>
      <c r="J12" s="386" t="s">
        <v>16</v>
      </c>
      <c r="K12" s="386" t="s">
        <v>757</v>
      </c>
      <c r="L12" s="386" t="s">
        <v>15</v>
      </c>
      <c r="M12" s="386" t="s">
        <v>16</v>
      </c>
    </row>
    <row r="13" spans="1:13" x14ac:dyDescent="0.25">
      <c r="A13" s="565">
        <v>14</v>
      </c>
      <c r="B13" s="565">
        <v>0</v>
      </c>
      <c r="C13" s="565">
        <v>0</v>
      </c>
      <c r="E13" s="500" t="str">
        <f>E10</f>
        <v>Drug</v>
      </c>
      <c r="F13" s="500" t="e">
        <f ca="1">F10</f>
        <v>#NAME?</v>
      </c>
      <c r="G13" s="500" t="e">
        <f ca="1">G10</f>
        <v>#NAME?</v>
      </c>
      <c r="H13" s="500" t="e">
        <f ca="1">2*NORMSDIST(-ABS(F13/G13))</f>
        <v>#NAME?</v>
      </c>
      <c r="I13" s="500" t="e">
        <f ca="1">F13-G13*NORMSINV(1-$I$5/2)</f>
        <v>#NAME?</v>
      </c>
      <c r="J13" s="500" t="e">
        <f ca="1">F13+G13*NORMSINV(1-$I$5/2)</f>
        <v>#NAME?</v>
      </c>
      <c r="K13" s="500" t="e">
        <f ca="1">EXP(F13)</f>
        <v>#NAME?</v>
      </c>
      <c r="L13" s="500" t="e">
        <f ca="1">EXP(I13)</f>
        <v>#NAME?</v>
      </c>
      <c r="M13" s="500" t="e">
        <f ca="1">EXP(J13)</f>
        <v>#NAME?</v>
      </c>
    </row>
    <row r="14" spans="1:13" x14ac:dyDescent="0.25">
      <c r="A14" s="565">
        <v>2</v>
      </c>
      <c r="B14" s="565">
        <v>1</v>
      </c>
      <c r="C14" s="565">
        <v>0</v>
      </c>
    </row>
    <row r="15" spans="1:13" x14ac:dyDescent="0.25">
      <c r="A15" s="565">
        <v>11</v>
      </c>
      <c r="B15" s="565">
        <v>1</v>
      </c>
      <c r="C15" s="565">
        <v>0</v>
      </c>
    </row>
    <row r="16" spans="1:13" x14ac:dyDescent="0.25">
      <c r="A16" s="565">
        <v>10</v>
      </c>
      <c r="B16" s="565">
        <v>0</v>
      </c>
      <c r="C16" s="565">
        <v>0</v>
      </c>
    </row>
    <row r="17" spans="1:3" x14ac:dyDescent="0.25">
      <c r="A17" s="565">
        <v>9</v>
      </c>
      <c r="B17" s="565">
        <v>0</v>
      </c>
      <c r="C17" s="565">
        <v>0</v>
      </c>
    </row>
    <row r="18" spans="1:3" x14ac:dyDescent="0.25">
      <c r="A18" s="565">
        <v>12</v>
      </c>
      <c r="B18" s="565">
        <v>1</v>
      </c>
      <c r="C18" s="565">
        <v>0</v>
      </c>
    </row>
    <row r="19" spans="1:3" x14ac:dyDescent="0.25">
      <c r="A19" s="565">
        <v>5</v>
      </c>
      <c r="B19" s="565">
        <v>1</v>
      </c>
      <c r="C19" s="565">
        <v>0</v>
      </c>
    </row>
    <row r="20" spans="1:3" x14ac:dyDescent="0.25">
      <c r="A20" s="565">
        <v>8</v>
      </c>
      <c r="B20" s="565">
        <v>1</v>
      </c>
      <c r="C20" s="565">
        <v>0</v>
      </c>
    </row>
    <row r="21" spans="1:3" x14ac:dyDescent="0.25">
      <c r="A21" s="566">
        <v>11</v>
      </c>
      <c r="B21" s="566">
        <v>1</v>
      </c>
      <c r="C21" s="565">
        <v>0</v>
      </c>
    </row>
    <row r="22" spans="1:3" x14ac:dyDescent="0.25">
      <c r="A22" s="566">
        <v>1</v>
      </c>
      <c r="B22" s="566">
        <v>1</v>
      </c>
      <c r="C22" s="565">
        <v>1</v>
      </c>
    </row>
    <row r="23" spans="1:3" x14ac:dyDescent="0.25">
      <c r="A23" s="565">
        <v>4</v>
      </c>
      <c r="B23" s="565">
        <v>1</v>
      </c>
      <c r="C23" s="565">
        <v>1</v>
      </c>
    </row>
    <row r="24" spans="1:3" x14ac:dyDescent="0.25">
      <c r="A24" s="565">
        <v>9</v>
      </c>
      <c r="B24" s="565">
        <v>0</v>
      </c>
      <c r="C24" s="565">
        <v>1</v>
      </c>
    </row>
    <row r="25" spans="1:3" x14ac:dyDescent="0.25">
      <c r="A25" s="565">
        <v>10</v>
      </c>
      <c r="B25" s="565">
        <v>0</v>
      </c>
      <c r="C25" s="565">
        <v>1</v>
      </c>
    </row>
    <row r="26" spans="1:3" x14ac:dyDescent="0.25">
      <c r="A26" s="565">
        <v>6</v>
      </c>
      <c r="B26" s="565">
        <v>1</v>
      </c>
      <c r="C26" s="565">
        <v>1</v>
      </c>
    </row>
    <row r="27" spans="1:3" x14ac:dyDescent="0.25">
      <c r="A27" s="565">
        <v>6</v>
      </c>
      <c r="B27" s="565">
        <v>0</v>
      </c>
      <c r="C27" s="565">
        <v>1</v>
      </c>
    </row>
    <row r="28" spans="1:3" x14ac:dyDescent="0.25">
      <c r="A28" s="565">
        <v>10</v>
      </c>
      <c r="B28" s="565">
        <v>1</v>
      </c>
      <c r="C28" s="565">
        <v>1</v>
      </c>
    </row>
    <row r="29" spans="1:3" x14ac:dyDescent="0.25">
      <c r="A29" s="565">
        <v>10</v>
      </c>
      <c r="B29" s="565">
        <v>1</v>
      </c>
      <c r="C29" s="565">
        <v>1</v>
      </c>
    </row>
    <row r="30" spans="1:3" x14ac:dyDescent="0.25">
      <c r="A30" s="565">
        <v>12</v>
      </c>
      <c r="B30" s="565">
        <v>0</v>
      </c>
      <c r="C30" s="565">
        <v>1</v>
      </c>
    </row>
    <row r="31" spans="1:3" x14ac:dyDescent="0.25">
      <c r="A31" s="565">
        <v>13</v>
      </c>
      <c r="B31" s="565">
        <v>0</v>
      </c>
      <c r="C31" s="565">
        <v>1</v>
      </c>
    </row>
    <row r="32" spans="1:3" x14ac:dyDescent="0.25">
      <c r="A32" s="565">
        <v>3</v>
      </c>
      <c r="B32" s="565">
        <v>1</v>
      </c>
      <c r="C32" s="565">
        <v>1</v>
      </c>
    </row>
    <row r="33" spans="1:3" x14ac:dyDescent="0.25">
      <c r="A33" s="565">
        <v>13</v>
      </c>
      <c r="B33" s="565">
        <v>0</v>
      </c>
      <c r="C33" s="565">
        <v>1</v>
      </c>
    </row>
    <row r="34" spans="1:3" x14ac:dyDescent="0.25">
      <c r="A34" s="565">
        <v>8</v>
      </c>
      <c r="B34" s="565">
        <v>0</v>
      </c>
      <c r="C34" s="565">
        <v>1</v>
      </c>
    </row>
    <row r="35" spans="1:3" x14ac:dyDescent="0.25">
      <c r="A35" s="565">
        <v>10</v>
      </c>
      <c r="B35" s="565">
        <v>0</v>
      </c>
      <c r="C35" s="565">
        <v>1</v>
      </c>
    </row>
    <row r="36" spans="1:3" x14ac:dyDescent="0.25">
      <c r="A36" s="565">
        <v>13</v>
      </c>
      <c r="B36" s="565">
        <v>1</v>
      </c>
      <c r="C36" s="565">
        <v>1</v>
      </c>
    </row>
    <row r="37" spans="1:3" x14ac:dyDescent="0.25">
      <c r="A37" s="565">
        <v>6</v>
      </c>
      <c r="B37" s="565">
        <v>0</v>
      </c>
      <c r="C37" s="565">
        <v>1</v>
      </c>
    </row>
    <row r="38" spans="1:3" x14ac:dyDescent="0.25">
      <c r="A38" s="565">
        <v>8</v>
      </c>
      <c r="B38" s="565">
        <v>1</v>
      </c>
      <c r="C38" s="565">
        <v>1</v>
      </c>
    </row>
    <row r="39" spans="1:3" x14ac:dyDescent="0.25">
      <c r="A39" s="567">
        <v>12</v>
      </c>
      <c r="B39" s="567">
        <v>0</v>
      </c>
      <c r="C39" s="567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43"/>
  <sheetViews>
    <sheetView workbookViewId="0"/>
  </sheetViews>
  <sheetFormatPr defaultRowHeight="15" x14ac:dyDescent="0.25"/>
  <sheetData>
    <row r="1" spans="1:24" x14ac:dyDescent="0.25">
      <c r="A1" s="1" t="s">
        <v>1349</v>
      </c>
    </row>
    <row r="3" spans="1:24" x14ac:dyDescent="0.25">
      <c r="A3" s="595" t="s">
        <v>44</v>
      </c>
      <c r="B3" s="595" t="s">
        <v>28</v>
      </c>
      <c r="C3" s="595" t="s">
        <v>933</v>
      </c>
      <c r="D3" s="595" t="s">
        <v>1347</v>
      </c>
      <c r="E3" s="595" t="s">
        <v>1348</v>
      </c>
      <c r="F3" s="595" t="s">
        <v>1283</v>
      </c>
      <c r="H3" t="s">
        <v>1312</v>
      </c>
      <c r="S3" s="595" t="s">
        <v>44</v>
      </c>
      <c r="T3" s="595" t="s">
        <v>28</v>
      </c>
      <c r="U3" s="595" t="s">
        <v>933</v>
      </c>
      <c r="V3" s="595" t="s">
        <v>1347</v>
      </c>
      <c r="W3" s="595" t="s">
        <v>1348</v>
      </c>
      <c r="X3" s="595" t="s">
        <v>1283</v>
      </c>
    </row>
    <row r="4" spans="1:24" x14ac:dyDescent="0.25">
      <c r="A4">
        <v>14</v>
      </c>
      <c r="B4">
        <v>1</v>
      </c>
      <c r="C4">
        <v>60</v>
      </c>
      <c r="D4">
        <v>0</v>
      </c>
      <c r="E4">
        <v>17</v>
      </c>
      <c r="F4">
        <v>9.3000000000000007</v>
      </c>
      <c r="S4" t="e">
        <f t="array" aca="1" ref="S4:X43" ca="1">QSORT2RowsMixed(A4:F43)</f>
        <v>#NAME?</v>
      </c>
      <c r="T4" t="e">
        <f ca="1"/>
        <v>#NAME?</v>
      </c>
      <c r="U4" t="e">
        <f ca="1"/>
        <v>#NAME?</v>
      </c>
      <c r="V4" t="e">
        <f ca="1"/>
        <v>#NAME?</v>
      </c>
      <c r="W4" t="e">
        <f ca="1"/>
        <v>#NAME?</v>
      </c>
      <c r="X4" t="e">
        <f ca="1"/>
        <v>#NAME?</v>
      </c>
    </row>
    <row r="5" spans="1:24" ht="15.75" thickBot="1" x14ac:dyDescent="0.3">
      <c r="A5">
        <v>53</v>
      </c>
      <c r="B5">
        <v>0</v>
      </c>
      <c r="C5">
        <v>67</v>
      </c>
      <c r="D5">
        <v>0</v>
      </c>
      <c r="E5">
        <v>12</v>
      </c>
      <c r="F5">
        <v>6.7</v>
      </c>
      <c r="H5" t="s">
        <v>1341</v>
      </c>
      <c r="K5" t="s">
        <v>1342</v>
      </c>
      <c r="S5" t="e">
        <f ca="1"/>
        <v>#NAME?</v>
      </c>
      <c r="T5" t="e">
        <f ca="1"/>
        <v>#NAME?</v>
      </c>
      <c r="U5" t="e">
        <f ca="1"/>
        <v>#NAME?</v>
      </c>
      <c r="V5" t="e">
        <f ca="1"/>
        <v>#NAME?</v>
      </c>
      <c r="W5" t="e">
        <f ca="1"/>
        <v>#NAME?</v>
      </c>
      <c r="X5" t="e">
        <f ca="1"/>
        <v>#NAME?</v>
      </c>
    </row>
    <row r="6" spans="1:24" ht="15.75" thickTop="1" x14ac:dyDescent="0.25">
      <c r="A6">
        <v>7</v>
      </c>
      <c r="B6">
        <v>1</v>
      </c>
      <c r="C6">
        <v>54</v>
      </c>
      <c r="D6">
        <v>1</v>
      </c>
      <c r="E6">
        <v>14</v>
      </c>
      <c r="F6">
        <v>6.1000000000000005</v>
      </c>
      <c r="H6" s="172" t="s">
        <v>112</v>
      </c>
      <c r="I6" s="172" t="e">
        <f ca="1">2*(L11-M11)</f>
        <v>#NAME?</v>
      </c>
      <c r="K6" s="172" t="s">
        <v>18</v>
      </c>
      <c r="L6" s="172">
        <v>0.05</v>
      </c>
      <c r="S6" t="e">
        <f ca="1"/>
        <v>#NAME?</v>
      </c>
      <c r="T6" t="e">
        <f ca="1"/>
        <v>#NAME?</v>
      </c>
      <c r="U6" t="e">
        <f ca="1"/>
        <v>#NAME?</v>
      </c>
      <c r="V6" t="e">
        <f ca="1"/>
        <v>#NAME?</v>
      </c>
      <c r="W6" t="e">
        <f ca="1"/>
        <v>#NAME?</v>
      </c>
      <c r="X6" t="e">
        <f ca="1"/>
        <v>#NAME?</v>
      </c>
    </row>
    <row r="7" spans="1:24" x14ac:dyDescent="0.25">
      <c r="A7">
        <v>41</v>
      </c>
      <c r="B7">
        <v>1</v>
      </c>
      <c r="C7">
        <v>70</v>
      </c>
      <c r="D7">
        <v>0</v>
      </c>
      <c r="E7">
        <v>10</v>
      </c>
      <c r="F7">
        <v>4.8999999999999995</v>
      </c>
      <c r="H7" t="s">
        <v>41</v>
      </c>
      <c r="I7">
        <f>COUNT(A4:F4)-2</f>
        <v>4</v>
      </c>
      <c r="K7" s="354" t="s">
        <v>1343</v>
      </c>
      <c r="L7" s="354">
        <v>20</v>
      </c>
      <c r="S7" t="e">
        <f ca="1"/>
        <v>#NAME?</v>
      </c>
      <c r="T7" t="e">
        <f ca="1"/>
        <v>#NAME?</v>
      </c>
      <c r="U7" t="e">
        <f ca="1"/>
        <v>#NAME?</v>
      </c>
      <c r="V7" t="e">
        <f ca="1"/>
        <v>#NAME?</v>
      </c>
      <c r="W7" t="e">
        <f ca="1"/>
        <v>#NAME?</v>
      </c>
      <c r="X7" t="e">
        <f ca="1"/>
        <v>#NAME?</v>
      </c>
    </row>
    <row r="8" spans="1:24" x14ac:dyDescent="0.25">
      <c r="A8">
        <v>11</v>
      </c>
      <c r="B8">
        <v>1</v>
      </c>
      <c r="C8">
        <v>66</v>
      </c>
      <c r="D8">
        <v>0</v>
      </c>
      <c r="E8">
        <v>15</v>
      </c>
      <c r="F8">
        <v>7.8999999999999995</v>
      </c>
      <c r="H8" s="354" t="s">
        <v>48</v>
      </c>
      <c r="I8" s="354" t="e">
        <f ca="1">CHIDIST(I6,I7)</f>
        <v>#NAME?</v>
      </c>
      <c r="S8" t="e">
        <f ca="1"/>
        <v>#NAME?</v>
      </c>
      <c r="T8" t="e">
        <f ca="1"/>
        <v>#NAME?</v>
      </c>
      <c r="U8" t="e">
        <f ca="1"/>
        <v>#NAME?</v>
      </c>
      <c r="V8" t="e">
        <f ca="1"/>
        <v>#NAME?</v>
      </c>
      <c r="W8" t="e">
        <f ca="1"/>
        <v>#NAME?</v>
      </c>
      <c r="X8" t="e">
        <f ca="1"/>
        <v>#NAME?</v>
      </c>
    </row>
    <row r="9" spans="1:24" ht="15.75" thickBot="1" x14ac:dyDescent="0.3">
      <c r="A9">
        <v>8</v>
      </c>
      <c r="B9">
        <v>0</v>
      </c>
      <c r="C9">
        <v>58</v>
      </c>
      <c r="D9">
        <v>1</v>
      </c>
      <c r="E9">
        <v>5</v>
      </c>
      <c r="F9">
        <v>4.6000000000000005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t="e">
        <f ca="1"/>
        <v>#NAME?</v>
      </c>
    </row>
    <row r="10" spans="1:24" ht="15.75" thickTop="1" x14ac:dyDescent="0.25">
      <c r="A10">
        <v>67</v>
      </c>
      <c r="B10">
        <v>1</v>
      </c>
      <c r="C10">
        <v>53</v>
      </c>
      <c r="D10">
        <v>0</v>
      </c>
      <c r="E10">
        <v>15</v>
      </c>
      <c r="F10">
        <v>7.5000000000000009</v>
      </c>
      <c r="H10" s="386"/>
      <c r="I10" s="386" t="s">
        <v>797</v>
      </c>
      <c r="J10" s="386" t="s">
        <v>148</v>
      </c>
      <c r="K10" s="386" t="s">
        <v>1344</v>
      </c>
      <c r="L10" s="386" t="s">
        <v>626</v>
      </c>
      <c r="M10" s="386" t="s">
        <v>625</v>
      </c>
      <c r="N10" s="594" t="s">
        <v>1345</v>
      </c>
      <c r="O10" s="386"/>
      <c r="P10" s="386"/>
      <c r="Q10" s="386"/>
      <c r="S10" t="e">
        <f ca="1"/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</row>
    <row r="11" spans="1:24" x14ac:dyDescent="0.25">
      <c r="A11">
        <v>11</v>
      </c>
      <c r="B11">
        <v>0</v>
      </c>
      <c r="C11">
        <v>61</v>
      </c>
      <c r="D11">
        <v>0</v>
      </c>
      <c r="E11">
        <v>25</v>
      </c>
      <c r="F11">
        <v>8.6999999999999993</v>
      </c>
      <c r="H11" s="387" t="str">
        <f t="array" ref="H11:H14">TRANSPOSE(C3:F3)</f>
        <v>age</v>
      </c>
      <c r="I11" s="387" t="e">
        <f t="array" aca="1" ref="I11:Q14" ca="1">CoxEST(A4:F43,1,20)</f>
        <v>#NAME?</v>
      </c>
      <c r="J11" s="387" t="e">
        <f ca="1"/>
        <v>#NAME?</v>
      </c>
      <c r="K11" s="387" t="e">
        <f ca="1"/>
        <v>#NAME?</v>
      </c>
      <c r="L11" s="387" t="e">
        <f ca="1"/>
        <v>#NAME?</v>
      </c>
      <c r="M11" s="387" t="e">
        <f ca="1"/>
        <v>#NAME?</v>
      </c>
      <c r="N11" s="387" t="e">
        <f ca="1"/>
        <v>#NAME?</v>
      </c>
      <c r="O11" s="387" t="e">
        <f ca="1"/>
        <v>#NAME?</v>
      </c>
      <c r="P11" s="387" t="e">
        <f ca="1"/>
        <v>#NAME?</v>
      </c>
      <c r="Q11" s="387" t="e">
        <f ca="1"/>
        <v>#NAME?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</row>
    <row r="12" spans="1:24" x14ac:dyDescent="0.25">
      <c r="A12">
        <v>15</v>
      </c>
      <c r="B12">
        <v>1</v>
      </c>
      <c r="C12">
        <v>71</v>
      </c>
      <c r="D12">
        <v>0</v>
      </c>
      <c r="E12">
        <v>30</v>
      </c>
      <c r="F12">
        <v>5.3</v>
      </c>
      <c r="H12" s="7" t="str">
        <v>sex</v>
      </c>
      <c r="I12" s="7" t="e">
        <f ca="1"/>
        <v>#NAME?</v>
      </c>
      <c r="J12" s="7" t="e">
        <f ca="1"/>
        <v>#NAME?</v>
      </c>
      <c r="K12" s="7" t="e">
        <f ca="1"/>
        <v>#NAME?</v>
      </c>
      <c r="L12" s="7" t="e">
        <f ca="1"/>
        <v>#NAME?</v>
      </c>
      <c r="M12" s="7" t="e">
        <f ca="1"/>
        <v>#NAME?</v>
      </c>
      <c r="N12" s="7" t="e">
        <f ca="1"/>
        <v>#NAME?</v>
      </c>
      <c r="O12" s="7" t="e">
        <f ca="1"/>
        <v>#NAME?</v>
      </c>
      <c r="P12" s="7" t="e">
        <f ca="1"/>
        <v>#NAME?</v>
      </c>
      <c r="Q12" s="7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</row>
    <row r="13" spans="1:24" x14ac:dyDescent="0.25">
      <c r="A13">
        <v>17</v>
      </c>
      <c r="B13">
        <v>1</v>
      </c>
      <c r="C13">
        <v>69</v>
      </c>
      <c r="D13">
        <v>0</v>
      </c>
      <c r="E13">
        <v>24</v>
      </c>
      <c r="F13">
        <v>5.8999999999999995</v>
      </c>
      <c r="H13" s="7" t="str">
        <v>blood</v>
      </c>
      <c r="I13" s="7" t="e">
        <f ca="1"/>
        <v>#NAME?</v>
      </c>
      <c r="J13" s="7" t="e">
        <f ca="1"/>
        <v>#NAME?</v>
      </c>
      <c r="K13" s="7" t="e">
        <f ca="1"/>
        <v>#NAME?</v>
      </c>
      <c r="L13" s="7" t="e">
        <f ca="1"/>
        <v>#NAME?</v>
      </c>
      <c r="M13" s="7" t="e">
        <f ca="1"/>
        <v>#NAME?</v>
      </c>
      <c r="N13" s="7" t="e">
        <f ca="1"/>
        <v>#NAME?</v>
      </c>
      <c r="O13" s="7" t="e">
        <f ca="1"/>
        <v>#NAME?</v>
      </c>
      <c r="P13" s="7" t="e">
        <f ca="1"/>
        <v>#NAME?</v>
      </c>
      <c r="Q13" s="7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</row>
    <row r="14" spans="1:24" x14ac:dyDescent="0.25">
      <c r="A14">
        <v>67</v>
      </c>
      <c r="B14">
        <v>1</v>
      </c>
      <c r="C14">
        <v>60</v>
      </c>
      <c r="D14">
        <v>1</v>
      </c>
      <c r="E14">
        <v>18</v>
      </c>
      <c r="F14">
        <v>1.2999999999999998</v>
      </c>
      <c r="H14" s="354" t="str">
        <v>size</v>
      </c>
      <c r="I14" s="354" t="e">
        <f ca="1"/>
        <v>#NAME?</v>
      </c>
      <c r="J14" s="354" t="e">
        <f ca="1"/>
        <v>#NAME?</v>
      </c>
      <c r="K14" s="354" t="e">
        <f ca="1"/>
        <v>#NAME?</v>
      </c>
      <c r="L14" s="354" t="e">
        <f ca="1"/>
        <v>#NAME?</v>
      </c>
      <c r="M14" s="354" t="e">
        <f ca="1"/>
        <v>#NAME?</v>
      </c>
      <c r="N14" s="354" t="e">
        <f ca="1"/>
        <v>#NAME?</v>
      </c>
      <c r="O14" s="354" t="e">
        <f ca="1"/>
        <v>#NAME?</v>
      </c>
      <c r="P14" s="354" t="e">
        <f ca="1"/>
        <v>#NAME?</v>
      </c>
      <c r="Q14" s="354" t="e">
        <f ca="1"/>
        <v>#NAME?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</row>
    <row r="15" spans="1:24" ht="15.75" thickBot="1" x14ac:dyDescent="0.3">
      <c r="A15">
        <v>6</v>
      </c>
      <c r="B15">
        <v>1</v>
      </c>
      <c r="C15">
        <v>55</v>
      </c>
      <c r="D15">
        <v>0</v>
      </c>
      <c r="E15">
        <v>11</v>
      </c>
      <c r="F15">
        <v>4.3999999999999995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</row>
    <row r="16" spans="1:24" ht="15.75" thickTop="1" x14ac:dyDescent="0.25">
      <c r="A16">
        <v>12</v>
      </c>
      <c r="B16">
        <v>0</v>
      </c>
      <c r="C16">
        <v>67</v>
      </c>
      <c r="D16">
        <v>1</v>
      </c>
      <c r="E16">
        <v>17</v>
      </c>
      <c r="F16">
        <v>3.5000000000000009</v>
      </c>
      <c r="H16" s="386"/>
      <c r="I16" s="386" t="s">
        <v>26</v>
      </c>
      <c r="J16" s="386" t="s">
        <v>148</v>
      </c>
      <c r="K16" s="386" t="s">
        <v>48</v>
      </c>
      <c r="L16" s="386" t="s">
        <v>15</v>
      </c>
      <c r="M16" s="386" t="s">
        <v>16</v>
      </c>
      <c r="N16" s="386" t="s">
        <v>757</v>
      </c>
      <c r="O16" s="386" t="s">
        <v>15</v>
      </c>
      <c r="P16" s="386" t="s">
        <v>16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</row>
    <row r="17" spans="1:24" x14ac:dyDescent="0.25">
      <c r="A17">
        <v>11</v>
      </c>
      <c r="B17">
        <v>1</v>
      </c>
      <c r="C17">
        <v>52</v>
      </c>
      <c r="D17">
        <v>1</v>
      </c>
      <c r="E17">
        <v>16</v>
      </c>
      <c r="F17">
        <v>4.3</v>
      </c>
      <c r="H17" s="387" t="str">
        <f t="shared" ref="H17:J20" si="0">H11</f>
        <v>age</v>
      </c>
      <c r="I17" s="387" t="e">
        <f t="shared" ca="1" si="0"/>
        <v>#NAME?</v>
      </c>
      <c r="J17" s="387" t="e">
        <f t="shared" ca="1" si="0"/>
        <v>#NAME?</v>
      </c>
      <c r="K17" s="387" t="e">
        <f ca="1">2*NORMSDIST(-ABS(I17/J17))</f>
        <v>#NAME?</v>
      </c>
      <c r="L17" s="387" t="e">
        <f ca="1">I17-J17*NORMSINV(1-$L$6/2)</f>
        <v>#NAME?</v>
      </c>
      <c r="M17" s="387" t="e">
        <f ca="1">I17+J17*NORMSINV(1-$L$6/2)</f>
        <v>#NAME?</v>
      </c>
      <c r="N17" s="387" t="e">
        <f ca="1">EXP(I17)</f>
        <v>#NAME?</v>
      </c>
      <c r="O17" s="387" t="e">
        <f t="shared" ref="O17:P20" ca="1" si="1">EXP(L17)</f>
        <v>#NAME?</v>
      </c>
      <c r="P17" s="387" t="e">
        <f t="shared" ca="1" si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</row>
    <row r="18" spans="1:24" x14ac:dyDescent="0.25">
      <c r="A18">
        <v>16</v>
      </c>
      <c r="B18">
        <v>0</v>
      </c>
      <c r="C18">
        <v>56</v>
      </c>
      <c r="D18">
        <v>0</v>
      </c>
      <c r="E18">
        <v>11</v>
      </c>
      <c r="F18">
        <v>7.7</v>
      </c>
      <c r="H18" s="7" t="str">
        <f t="shared" si="0"/>
        <v>sex</v>
      </c>
      <c r="I18" s="7" t="e">
        <f t="shared" ca="1" si="0"/>
        <v>#NAME?</v>
      </c>
      <c r="J18" s="7" t="e">
        <f t="shared" ca="1" si="0"/>
        <v>#NAME?</v>
      </c>
      <c r="K18" s="7" t="e">
        <f ca="1">2*NORMSDIST(-ABS(I18/J18))</f>
        <v>#NAME?</v>
      </c>
      <c r="L18" s="7" t="e">
        <f ca="1">I18-J18*NORMSINV(1-$L$6/2)</f>
        <v>#NAME?</v>
      </c>
      <c r="M18" s="7" t="e">
        <f ca="1">I18+J18*NORMSINV(1-$L$6/2)</f>
        <v>#NAME?</v>
      </c>
      <c r="N18" s="7" t="e">
        <f ca="1">EXP(I18)</f>
        <v>#NAME?</v>
      </c>
      <c r="O18" s="7" t="e">
        <f t="shared" ca="1" si="1"/>
        <v>#NAME?</v>
      </c>
      <c r="P18" s="7" t="e">
        <f t="shared" ca="1" si="1"/>
        <v>#NAME?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</row>
    <row r="19" spans="1:24" x14ac:dyDescent="0.25">
      <c r="A19">
        <v>6</v>
      </c>
      <c r="B19">
        <v>1</v>
      </c>
      <c r="C19">
        <v>68</v>
      </c>
      <c r="D19">
        <v>1</v>
      </c>
      <c r="E19">
        <v>23</v>
      </c>
      <c r="F19">
        <v>5.1000000000000005</v>
      </c>
      <c r="H19" s="7" t="str">
        <f t="shared" si="0"/>
        <v>blood</v>
      </c>
      <c r="I19" s="7" t="e">
        <f t="shared" ca="1" si="0"/>
        <v>#NAME?</v>
      </c>
      <c r="J19" s="7" t="e">
        <f t="shared" ca="1" si="0"/>
        <v>#NAME?</v>
      </c>
      <c r="K19" s="7" t="e">
        <f ca="1">2*NORMSDIST(-ABS(I19/J19))</f>
        <v>#NAME?</v>
      </c>
      <c r="L19" s="7" t="e">
        <f ca="1">I19-J19*NORMSINV(1-$L$6/2)</f>
        <v>#NAME?</v>
      </c>
      <c r="M19" s="7" t="e">
        <f ca="1">I19+J19*NORMSINV(1-$L$6/2)</f>
        <v>#NAME?</v>
      </c>
      <c r="N19" s="7" t="e">
        <f ca="1">EXP(I19)</f>
        <v>#NAME?</v>
      </c>
      <c r="O19" s="7" t="e">
        <f t="shared" ca="1" si="1"/>
        <v>#NAME?</v>
      </c>
      <c r="P19" s="7" t="e">
        <f t="shared" ca="1" si="1"/>
        <v>#NAME?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</row>
    <row r="20" spans="1:24" x14ac:dyDescent="0.25">
      <c r="A20">
        <v>77</v>
      </c>
      <c r="B20">
        <v>0</v>
      </c>
      <c r="C20">
        <v>61</v>
      </c>
      <c r="D20">
        <v>0</v>
      </c>
      <c r="E20">
        <v>12</v>
      </c>
      <c r="F20">
        <v>8.6999999999999993</v>
      </c>
      <c r="H20" s="354" t="str">
        <f t="shared" si="0"/>
        <v>size</v>
      </c>
      <c r="I20" s="354" t="e">
        <f t="shared" ca="1" si="0"/>
        <v>#NAME?</v>
      </c>
      <c r="J20" s="354" t="e">
        <f t="shared" ca="1" si="0"/>
        <v>#NAME?</v>
      </c>
      <c r="K20" s="354" t="e">
        <f ca="1">2*NORMSDIST(-ABS(I20/J20))</f>
        <v>#NAME?</v>
      </c>
      <c r="L20" s="354" t="e">
        <f ca="1">I20-J20*NORMSINV(1-$L$6/2)</f>
        <v>#NAME?</v>
      </c>
      <c r="M20" s="354" t="e">
        <f ca="1">I20+J20*NORMSINV(1-$L$6/2)</f>
        <v>#NAME?</v>
      </c>
      <c r="N20" s="354" t="e">
        <f ca="1">EXP(I20)</f>
        <v>#NAME?</v>
      </c>
      <c r="O20" s="354" t="e">
        <f t="shared" ca="1" si="1"/>
        <v>#NAME?</v>
      </c>
      <c r="P20" s="354" t="e">
        <f t="shared" ca="1" si="1"/>
        <v>#NAME?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</row>
    <row r="21" spans="1:24" x14ac:dyDescent="0.25">
      <c r="A21">
        <v>57</v>
      </c>
      <c r="B21">
        <v>0</v>
      </c>
      <c r="C21">
        <v>70</v>
      </c>
      <c r="D21">
        <v>0</v>
      </c>
      <c r="E21">
        <v>14</v>
      </c>
      <c r="F21">
        <v>7.2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</row>
    <row r="22" spans="1:24" x14ac:dyDescent="0.25">
      <c r="A22">
        <v>52</v>
      </c>
      <c r="B22">
        <v>1</v>
      </c>
      <c r="C22">
        <v>61</v>
      </c>
      <c r="D22">
        <v>1</v>
      </c>
      <c r="E22">
        <v>10</v>
      </c>
      <c r="F22">
        <v>4.8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</row>
    <row r="23" spans="1:24" x14ac:dyDescent="0.25">
      <c r="A23">
        <v>41</v>
      </c>
      <c r="B23">
        <v>0</v>
      </c>
      <c r="C23">
        <v>73</v>
      </c>
      <c r="D23">
        <v>0</v>
      </c>
      <c r="E23">
        <v>25</v>
      </c>
      <c r="F23">
        <v>7.5000000000000009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</row>
    <row r="24" spans="1:24" x14ac:dyDescent="0.25">
      <c r="A24">
        <v>9</v>
      </c>
      <c r="B24">
        <v>1</v>
      </c>
      <c r="C24">
        <v>54</v>
      </c>
      <c r="D24">
        <v>0</v>
      </c>
      <c r="E24">
        <v>32</v>
      </c>
      <c r="F24">
        <v>2.8999999999999995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</row>
    <row r="25" spans="1:24" x14ac:dyDescent="0.25">
      <c r="A25">
        <v>19</v>
      </c>
      <c r="B25">
        <v>1</v>
      </c>
      <c r="C25">
        <v>52</v>
      </c>
      <c r="D25">
        <v>0</v>
      </c>
      <c r="E25">
        <v>13</v>
      </c>
      <c r="F25">
        <v>9.1000000000000014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</row>
    <row r="26" spans="1:24" x14ac:dyDescent="0.25">
      <c r="A26">
        <v>6</v>
      </c>
      <c r="B26">
        <v>1</v>
      </c>
      <c r="C26">
        <v>75</v>
      </c>
      <c r="D26">
        <v>1</v>
      </c>
      <c r="E26">
        <v>69</v>
      </c>
      <c r="F26">
        <v>4.8999999999999995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</row>
    <row r="27" spans="1:24" x14ac:dyDescent="0.25">
      <c r="A27">
        <v>17</v>
      </c>
      <c r="B27">
        <v>1</v>
      </c>
      <c r="C27">
        <v>54</v>
      </c>
      <c r="D27">
        <v>0</v>
      </c>
      <c r="E27">
        <v>13</v>
      </c>
      <c r="F27">
        <v>4.7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</row>
    <row r="28" spans="1:24" x14ac:dyDescent="0.25">
      <c r="A28">
        <v>51</v>
      </c>
      <c r="B28">
        <v>1</v>
      </c>
      <c r="C28">
        <v>80</v>
      </c>
      <c r="D28">
        <v>0</v>
      </c>
      <c r="E28">
        <v>25</v>
      </c>
      <c r="F28">
        <v>2.4000000000000004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</row>
    <row r="29" spans="1:24" x14ac:dyDescent="0.25">
      <c r="A29">
        <v>41</v>
      </c>
      <c r="B29">
        <v>1</v>
      </c>
      <c r="C29">
        <v>75</v>
      </c>
      <c r="D29">
        <v>1</v>
      </c>
      <c r="E29">
        <v>11</v>
      </c>
      <c r="F29">
        <v>0.3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</row>
    <row r="30" spans="1:24" x14ac:dyDescent="0.25">
      <c r="A30">
        <v>37</v>
      </c>
      <c r="B30">
        <v>1</v>
      </c>
      <c r="C30">
        <v>64</v>
      </c>
      <c r="D30">
        <v>0</v>
      </c>
      <c r="E30">
        <v>20</v>
      </c>
      <c r="F30">
        <v>5.7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</row>
    <row r="31" spans="1:24" x14ac:dyDescent="0.25">
      <c r="A31">
        <v>6</v>
      </c>
      <c r="B31">
        <v>1</v>
      </c>
      <c r="C31">
        <v>78</v>
      </c>
      <c r="D31">
        <v>0</v>
      </c>
      <c r="E31">
        <v>15</v>
      </c>
      <c r="F31">
        <v>3.7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</row>
    <row r="32" spans="1:24" x14ac:dyDescent="0.25">
      <c r="A32">
        <v>11</v>
      </c>
      <c r="B32">
        <v>1</v>
      </c>
      <c r="C32">
        <v>62</v>
      </c>
      <c r="D32">
        <v>0</v>
      </c>
      <c r="E32">
        <v>17</v>
      </c>
      <c r="F32">
        <v>8.6999999999999993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</row>
    <row r="33" spans="1:24" x14ac:dyDescent="0.25">
      <c r="A33">
        <v>80</v>
      </c>
      <c r="B33">
        <v>1</v>
      </c>
      <c r="C33">
        <v>59</v>
      </c>
      <c r="D33">
        <v>1</v>
      </c>
      <c r="E33">
        <v>19</v>
      </c>
      <c r="F33">
        <v>5.7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</row>
    <row r="34" spans="1:24" x14ac:dyDescent="0.25">
      <c r="A34">
        <v>19</v>
      </c>
      <c r="B34">
        <v>0</v>
      </c>
      <c r="C34">
        <v>70</v>
      </c>
      <c r="D34">
        <v>1</v>
      </c>
      <c r="E34">
        <v>15</v>
      </c>
      <c r="F34">
        <v>5.5000000000000009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</row>
    <row r="35" spans="1:24" x14ac:dyDescent="0.25">
      <c r="A35">
        <v>2</v>
      </c>
      <c r="B35">
        <v>1</v>
      </c>
      <c r="C35">
        <v>58</v>
      </c>
      <c r="D35">
        <v>0</v>
      </c>
      <c r="E35">
        <v>14</v>
      </c>
      <c r="F35">
        <v>0.2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</row>
    <row r="36" spans="1:24" x14ac:dyDescent="0.25">
      <c r="A36">
        <v>19</v>
      </c>
      <c r="B36">
        <v>0</v>
      </c>
      <c r="C36">
        <v>60</v>
      </c>
      <c r="D36">
        <v>1</v>
      </c>
      <c r="E36">
        <v>15</v>
      </c>
      <c r="F36">
        <v>7.7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</row>
    <row r="37" spans="1:24" x14ac:dyDescent="0.25">
      <c r="A37">
        <v>7</v>
      </c>
      <c r="B37">
        <v>1</v>
      </c>
      <c r="C37">
        <v>62</v>
      </c>
      <c r="D37">
        <v>1</v>
      </c>
      <c r="E37">
        <v>10</v>
      </c>
      <c r="F37">
        <v>0.7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</row>
    <row r="38" spans="1:24" x14ac:dyDescent="0.25">
      <c r="A38">
        <v>2</v>
      </c>
      <c r="B38">
        <v>1</v>
      </c>
      <c r="C38">
        <v>76</v>
      </c>
      <c r="D38">
        <v>0</v>
      </c>
      <c r="E38">
        <v>34</v>
      </c>
      <c r="F38">
        <v>6.0000000000000009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</row>
    <row r="39" spans="1:24" x14ac:dyDescent="0.25">
      <c r="A39">
        <v>16</v>
      </c>
      <c r="B39">
        <v>1</v>
      </c>
      <c r="C39">
        <v>63</v>
      </c>
      <c r="D39">
        <v>1</v>
      </c>
      <c r="E39">
        <v>15</v>
      </c>
      <c r="F39">
        <v>3.5000000000000009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</row>
    <row r="40" spans="1:24" x14ac:dyDescent="0.25">
      <c r="A40">
        <v>19</v>
      </c>
      <c r="B40">
        <v>1</v>
      </c>
      <c r="C40">
        <v>61</v>
      </c>
      <c r="D40">
        <v>1</v>
      </c>
      <c r="E40">
        <v>13</v>
      </c>
      <c r="F40">
        <v>2.2000000000000002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</row>
    <row r="41" spans="1:24" x14ac:dyDescent="0.25">
      <c r="A41">
        <v>13</v>
      </c>
      <c r="B41">
        <v>0</v>
      </c>
      <c r="C41">
        <v>72</v>
      </c>
      <c r="D41">
        <v>1</v>
      </c>
      <c r="E41">
        <v>27</v>
      </c>
      <c r="F41">
        <v>1.1000000000000001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</row>
    <row r="42" spans="1:24" x14ac:dyDescent="0.25">
      <c r="A42">
        <v>13</v>
      </c>
      <c r="B42">
        <v>1</v>
      </c>
      <c r="C42">
        <v>61</v>
      </c>
      <c r="D42">
        <v>1</v>
      </c>
      <c r="E42">
        <v>8</v>
      </c>
      <c r="F42">
        <v>0.20000000000000018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</row>
    <row r="43" spans="1:24" x14ac:dyDescent="0.25">
      <c r="A43" s="354">
        <v>18</v>
      </c>
      <c r="B43" s="354">
        <v>1</v>
      </c>
      <c r="C43" s="354">
        <v>66</v>
      </c>
      <c r="D43" s="354">
        <v>1</v>
      </c>
      <c r="E43" s="354">
        <v>18</v>
      </c>
      <c r="F43" s="354">
        <v>2.2000000000000002</v>
      </c>
      <c r="S43" s="354" t="e">
        <f ca="1"/>
        <v>#NAME?</v>
      </c>
      <c r="T43" s="354" t="e">
        <f ca="1"/>
        <v>#NAME?</v>
      </c>
      <c r="U43" s="354" t="e">
        <f ca="1"/>
        <v>#NAME?</v>
      </c>
      <c r="V43" s="354" t="e">
        <f ca="1"/>
        <v>#NAME?</v>
      </c>
      <c r="W43" s="354" t="e">
        <f ca="1"/>
        <v>#NAME?</v>
      </c>
      <c r="X43" s="354" t="e">
        <f ca="1"/>
        <v>#NAME?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V23"/>
  <sheetViews>
    <sheetView workbookViewId="0"/>
  </sheetViews>
  <sheetFormatPr defaultRowHeight="15" x14ac:dyDescent="0.25"/>
  <cols>
    <col min="7" max="7" width="15.7109375" customWidth="1"/>
  </cols>
  <sheetData>
    <row r="1" spans="1:22" x14ac:dyDescent="0.25">
      <c r="A1" s="1" t="s">
        <v>1159</v>
      </c>
      <c r="G1" t="s">
        <v>151</v>
      </c>
    </row>
    <row r="3" spans="1:22" ht="15.75" thickBot="1" x14ac:dyDescent="0.3">
      <c r="A3" s="12" t="s">
        <v>1164</v>
      </c>
      <c r="B3" s="12" t="s">
        <v>1160</v>
      </c>
      <c r="C3" s="12" t="s">
        <v>1161</v>
      </c>
      <c r="D3" s="12" t="s">
        <v>1162</v>
      </c>
      <c r="E3" s="12" t="s">
        <v>1163</v>
      </c>
      <c r="G3" t="s">
        <v>152</v>
      </c>
      <c r="L3" t="s">
        <v>18</v>
      </c>
      <c r="M3">
        <v>0.05</v>
      </c>
    </row>
    <row r="4" spans="1:22" ht="15.75" thickTop="1" x14ac:dyDescent="0.25">
      <c r="A4" s="494">
        <v>34.5</v>
      </c>
      <c r="B4" s="476">
        <v>48.9</v>
      </c>
      <c r="C4" s="476">
        <v>57.7</v>
      </c>
      <c r="D4" s="476">
        <v>41.6</v>
      </c>
      <c r="E4" s="495">
        <v>13.7</v>
      </c>
      <c r="G4" s="386" t="s">
        <v>53</v>
      </c>
      <c r="H4" s="386" t="s">
        <v>12</v>
      </c>
      <c r="I4" s="386" t="s">
        <v>11</v>
      </c>
      <c r="J4" s="386" t="s">
        <v>9</v>
      </c>
      <c r="K4" s="386" t="s">
        <v>54</v>
      </c>
      <c r="L4" s="386" t="s">
        <v>111</v>
      </c>
      <c r="M4" s="386" t="s">
        <v>40</v>
      </c>
      <c r="N4" s="386" t="s">
        <v>135</v>
      </c>
      <c r="O4" s="386" t="s">
        <v>136</v>
      </c>
      <c r="Q4" t="s">
        <v>789</v>
      </c>
    </row>
    <row r="5" spans="1:22" x14ac:dyDescent="0.25">
      <c r="A5" s="284">
        <v>24.9</v>
      </c>
      <c r="B5" s="48">
        <v>65</v>
      </c>
      <c r="C5" s="48">
        <v>29.6</v>
      </c>
      <c r="D5" s="48">
        <v>32.799999999999997</v>
      </c>
      <c r="E5" s="478">
        <v>27.9</v>
      </c>
      <c r="G5" t="str">
        <f>A3</f>
        <v>Region 1</v>
      </c>
      <c r="H5">
        <f>COUNT(A4:A13)</f>
        <v>10</v>
      </c>
      <c r="I5" s="23">
        <f>SUM(A4:A13)</f>
        <v>405.3</v>
      </c>
      <c r="J5" s="23">
        <f>AVERAGE(A4:A13)</f>
        <v>40.53</v>
      </c>
      <c r="K5">
        <f>VAR(A4:A13)</f>
        <v>195.61788888888864</v>
      </c>
      <c r="L5">
        <f>DEVSQ(A4:A13)</f>
        <v>1760.5609999999999</v>
      </c>
      <c r="M5">
        <f>SQRT(J14/H5)</f>
        <v>4.2808506423632933</v>
      </c>
      <c r="N5">
        <f>J5-M5*TINV(M3,H5-1)</f>
        <v>30.846043056508577</v>
      </c>
      <c r="O5">
        <f>J5+M5*TINV(M3,H5-1)</f>
        <v>50.213956943491425</v>
      </c>
    </row>
    <row r="6" spans="1:22" x14ac:dyDescent="0.25">
      <c r="A6" s="284">
        <v>40.4</v>
      </c>
      <c r="B6" s="48">
        <v>35.6</v>
      </c>
      <c r="C6" s="48">
        <v>38.799999999999997</v>
      </c>
      <c r="D6" s="48">
        <v>59.2</v>
      </c>
      <c r="E6" s="478">
        <v>37.799999999999997</v>
      </c>
      <c r="G6" t="str">
        <f>B3</f>
        <v>Region 2</v>
      </c>
      <c r="H6">
        <f>COUNT(B4:B13)</f>
        <v>10</v>
      </c>
      <c r="I6" s="23">
        <f>SUM(B4:B13)</f>
        <v>520.79999999999995</v>
      </c>
      <c r="J6" s="23">
        <f>AVERAGE(B4:B13)</f>
        <v>52.08</v>
      </c>
      <c r="K6">
        <f>VAR(B4:B13)</f>
        <v>193.29733333333408</v>
      </c>
      <c r="L6">
        <f>DEVSQ(B4:B13)</f>
        <v>1739.6759999999999</v>
      </c>
      <c r="M6">
        <f>SQRT(J14/H6)</f>
        <v>4.2808506423632933</v>
      </c>
      <c r="N6">
        <f>J6-M6*TINV(M3,H6-1)</f>
        <v>42.396043056508574</v>
      </c>
      <c r="O6">
        <f>J6+M6*TINV(M3,H6-1)</f>
        <v>61.763956943491422</v>
      </c>
      <c r="Q6" s="473"/>
      <c r="R6" s="473" t="str">
        <f>A3</f>
        <v>Region 1</v>
      </c>
      <c r="S6" s="473" t="str">
        <f>B3</f>
        <v>Region 2</v>
      </c>
      <c r="T6" s="473" t="str">
        <f>C3</f>
        <v>Region 3</v>
      </c>
      <c r="U6" s="473" t="str">
        <f>D3</f>
        <v>Region 4</v>
      </c>
      <c r="V6" s="473" t="str">
        <f>E3</f>
        <v>Region 5</v>
      </c>
    </row>
    <row r="7" spans="1:22" x14ac:dyDescent="0.25">
      <c r="A7" s="284">
        <v>42.5</v>
      </c>
      <c r="B7" s="48">
        <v>39.700000000000003</v>
      </c>
      <c r="C7" s="48">
        <v>34.6</v>
      </c>
      <c r="D7" s="48">
        <v>45</v>
      </c>
      <c r="E7" s="478">
        <v>41.5</v>
      </c>
      <c r="G7" t="str">
        <f>C3</f>
        <v>Region 3</v>
      </c>
      <c r="H7">
        <f>COUNT(C4:C13)</f>
        <v>10</v>
      </c>
      <c r="I7" s="23">
        <f>SUM(C4:C13)</f>
        <v>455.60000000000008</v>
      </c>
      <c r="J7" s="23">
        <f>AVERAGE(C4:C13)</f>
        <v>45.560000000000009</v>
      </c>
      <c r="K7">
        <f>VAR(C4:C13)</f>
        <v>177.63822222222129</v>
      </c>
      <c r="L7">
        <f>DEVSQ(C4:C13)</f>
        <v>1598.7439999999997</v>
      </c>
      <c r="M7">
        <f>SQRT(J14/H7)</f>
        <v>4.2808506423632933</v>
      </c>
      <c r="N7">
        <f>J7-M7*TINV(M3,H7-1)</f>
        <v>35.876043056508585</v>
      </c>
      <c r="O7">
        <f>J7+M7*TINV(M3,H7-1)</f>
        <v>55.243956943491433</v>
      </c>
      <c r="Q7" t="s">
        <v>434</v>
      </c>
      <c r="R7" t="e">
        <f ca="1">SHAPIRO(A4:A13)</f>
        <v>#NAME?</v>
      </c>
      <c r="S7" t="e">
        <f ca="1">SHAPIRO(B4:B13)</f>
        <v>#NAME?</v>
      </c>
      <c r="T7" t="e">
        <f ca="1">SHAPIRO(C4:C13)</f>
        <v>#NAME?</v>
      </c>
      <c r="U7" t="e">
        <f ca="1">SHAPIRO(D4:D13)</f>
        <v>#NAME?</v>
      </c>
      <c r="V7" t="e">
        <f ca="1">SHAPIRO(E4:E13)</f>
        <v>#NAME?</v>
      </c>
    </row>
    <row r="8" spans="1:22" x14ac:dyDescent="0.25">
      <c r="A8" s="284">
        <v>31</v>
      </c>
      <c r="B8" s="48">
        <v>58.6</v>
      </c>
      <c r="C8" s="48">
        <v>46.7</v>
      </c>
      <c r="D8" s="48">
        <v>67.599999999999994</v>
      </c>
      <c r="E8" s="478">
        <v>23.4</v>
      </c>
      <c r="G8" t="str">
        <f>D3</f>
        <v>Region 4</v>
      </c>
      <c r="H8">
        <f>COUNT(D4:D13)</f>
        <v>10</v>
      </c>
      <c r="I8" s="23">
        <f>SUM(D4:D13)</f>
        <v>535.20000000000005</v>
      </c>
      <c r="J8" s="23">
        <f>AVERAGE(D4:D13)</f>
        <v>53.52</v>
      </c>
      <c r="K8">
        <f>VAR(D4:D13)</f>
        <v>182.73733333333317</v>
      </c>
      <c r="L8">
        <f>DEVSQ(D4:D13)</f>
        <v>1644.636</v>
      </c>
      <c r="M8">
        <f>SQRT(J14/H8)</f>
        <v>4.2808506423632933</v>
      </c>
      <c r="N8">
        <f>J8-M8*TINV(M3,H8-1)</f>
        <v>43.836043056508579</v>
      </c>
      <c r="O8">
        <f>J8+M8*TINV(M3,H8-1)</f>
        <v>63.203956943491427</v>
      </c>
      <c r="Q8" t="s">
        <v>48</v>
      </c>
      <c r="R8" t="e">
        <f ca="1">SWTEST(A4:A13)</f>
        <v>#NAME?</v>
      </c>
      <c r="S8" t="e">
        <f ca="1">SWTEST(B4:B13)</f>
        <v>#NAME?</v>
      </c>
      <c r="T8" t="e">
        <f ca="1">SWTEST(C4:C13)</f>
        <v>#NAME?</v>
      </c>
      <c r="U8" t="e">
        <f ca="1">SWTEST(D4:D13)</f>
        <v>#NAME?</v>
      </c>
      <c r="V8" t="e">
        <f ca="1">SWTEST(E4:E13)</f>
        <v>#NAME?</v>
      </c>
    </row>
    <row r="9" spans="1:22" x14ac:dyDescent="0.25">
      <c r="A9" s="284">
        <v>34.6</v>
      </c>
      <c r="B9" s="48">
        <v>60.1</v>
      </c>
      <c r="C9" s="48">
        <v>42.3</v>
      </c>
      <c r="D9" s="48">
        <v>67.400000000000006</v>
      </c>
      <c r="E9" s="478">
        <v>39.299999999999997</v>
      </c>
      <c r="G9" t="str">
        <f>E3</f>
        <v>Region 5</v>
      </c>
      <c r="H9">
        <f>COUNT(E4:E13)</f>
        <v>10</v>
      </c>
      <c r="I9" s="23">
        <f>SUM(E4:E13)</f>
        <v>346.99999999999994</v>
      </c>
      <c r="J9" s="23">
        <f>AVERAGE(E4:E13)</f>
        <v>34.699999999999996</v>
      </c>
      <c r="K9">
        <f>VAR(E4:E13)</f>
        <v>166.9933333333336</v>
      </c>
      <c r="L9">
        <f>DEVSQ(E4:E13)</f>
        <v>1502.9399999999998</v>
      </c>
      <c r="M9">
        <f>SQRT(J14/H9)</f>
        <v>4.2808506423632933</v>
      </c>
      <c r="N9">
        <f>J9-M9*TINV(M3,H9-1)</f>
        <v>25.016043056508572</v>
      </c>
      <c r="O9">
        <f>J9+M9*TINV(M3,H9-1)</f>
        <v>44.38395694349142</v>
      </c>
      <c r="Q9" t="s">
        <v>70</v>
      </c>
      <c r="R9">
        <v>0.05</v>
      </c>
      <c r="S9">
        <v>0.05</v>
      </c>
      <c r="T9">
        <v>0.05</v>
      </c>
      <c r="U9">
        <v>0.05</v>
      </c>
      <c r="V9">
        <v>0.05</v>
      </c>
    </row>
    <row r="10" spans="1:22" x14ac:dyDescent="0.25">
      <c r="A10" s="284">
        <v>21.8</v>
      </c>
      <c r="B10" s="48">
        <v>64.7</v>
      </c>
      <c r="C10" s="48">
        <v>39.6</v>
      </c>
      <c r="D10" s="48">
        <v>63.1</v>
      </c>
      <c r="E10" s="478">
        <v>36.9</v>
      </c>
      <c r="G10" s="387"/>
      <c r="H10" s="387"/>
      <c r="I10" s="387"/>
      <c r="J10" s="387"/>
      <c r="K10" s="387"/>
      <c r="L10" s="387"/>
      <c r="M10" s="387"/>
      <c r="N10" s="387"/>
      <c r="O10" s="387"/>
      <c r="Q10" s="354" t="s">
        <v>790</v>
      </c>
      <c r="R10" s="428" t="e">
        <f ca="1">IF(R8&lt;R9,"no","yes")</f>
        <v>#NAME?</v>
      </c>
      <c r="S10" s="428" t="e">
        <f ca="1">IF(S8&lt;S9,"no","yes")</f>
        <v>#NAME?</v>
      </c>
      <c r="T10" s="428" t="e">
        <f ca="1">IF(T8&lt;T9,"no","yes")</f>
        <v>#NAME?</v>
      </c>
      <c r="U10" s="428" t="e">
        <f ca="1">IF(U8&lt;U9,"no","yes")</f>
        <v>#NAME?</v>
      </c>
      <c r="V10" s="428" t="e">
        <f ca="1">IF(V8&lt;V9,"no","yes")</f>
        <v>#NAME?</v>
      </c>
    </row>
    <row r="11" spans="1:22" ht="15.75" thickBot="1" x14ac:dyDescent="0.3">
      <c r="A11" s="284">
        <v>62</v>
      </c>
      <c r="B11" s="48">
        <v>59.3</v>
      </c>
      <c r="C11" s="48">
        <v>61.8</v>
      </c>
      <c r="D11" s="48">
        <v>65.599999999999994</v>
      </c>
      <c r="E11" s="478">
        <v>61.3</v>
      </c>
      <c r="G11" t="s">
        <v>125</v>
      </c>
    </row>
    <row r="12" spans="1:22" ht="15.75" thickTop="1" x14ac:dyDescent="0.25">
      <c r="A12" s="284">
        <v>54.7</v>
      </c>
      <c r="B12" s="48">
        <v>63.2</v>
      </c>
      <c r="C12" s="48">
        <v>70</v>
      </c>
      <c r="D12" s="48">
        <v>57.4</v>
      </c>
      <c r="E12" s="478">
        <v>25.9</v>
      </c>
      <c r="G12" s="386" t="s">
        <v>153</v>
      </c>
      <c r="H12" s="386" t="s">
        <v>111</v>
      </c>
      <c r="I12" s="386" t="s">
        <v>41</v>
      </c>
      <c r="J12" s="386" t="s">
        <v>115</v>
      </c>
      <c r="K12" s="386" t="s">
        <v>98</v>
      </c>
      <c r="L12" s="386" t="s">
        <v>154</v>
      </c>
      <c r="M12" s="386" t="s">
        <v>161</v>
      </c>
      <c r="N12" s="386" t="s">
        <v>616</v>
      </c>
      <c r="O12" s="386" t="s">
        <v>617</v>
      </c>
    </row>
    <row r="13" spans="1:22" x14ac:dyDescent="0.25">
      <c r="A13" s="379">
        <v>58.9</v>
      </c>
      <c r="B13" s="474">
        <v>25.7</v>
      </c>
      <c r="C13" s="474">
        <v>34.5</v>
      </c>
      <c r="D13" s="474">
        <v>35.5</v>
      </c>
      <c r="E13" s="479">
        <v>39.299999999999997</v>
      </c>
      <c r="G13" t="s">
        <v>156</v>
      </c>
      <c r="H13">
        <f>H15-H14</f>
        <v>2487.148799999999</v>
      </c>
      <c r="I13">
        <f>COUNTA(G5:G9)-1</f>
        <v>4</v>
      </c>
      <c r="J13">
        <f>H13/I13</f>
        <v>621.78719999999976</v>
      </c>
      <c r="K13">
        <f>J13/J14</f>
        <v>3.3929825501721491</v>
      </c>
      <c r="L13">
        <f>FDIST(K13,I13,I14)</f>
        <v>1.6504701725843174E-2</v>
      </c>
      <c r="M13">
        <f>FINV(M3,I13,I14)</f>
        <v>2.5787391843115586</v>
      </c>
      <c r="N13">
        <f>SQRT(DEVSQ(J5:J9)/(J14*I13))</f>
        <v>0.58249313731340668</v>
      </c>
      <c r="O13">
        <f>(H15-I15*J14)/(H15+J14)</f>
        <v>0.16067853044952968</v>
      </c>
    </row>
    <row r="14" spans="1:22" x14ac:dyDescent="0.25">
      <c r="G14" t="s">
        <v>157</v>
      </c>
      <c r="H14">
        <f>SUM(L5:L9)</f>
        <v>8246.5570000000007</v>
      </c>
      <c r="I14">
        <f>I15-I13</f>
        <v>45</v>
      </c>
      <c r="J14">
        <f>H14/I14</f>
        <v>183.25682222222224</v>
      </c>
    </row>
    <row r="15" spans="1:22" x14ac:dyDescent="0.25">
      <c r="G15" s="354" t="s">
        <v>1</v>
      </c>
      <c r="H15" s="354">
        <f>DEVSQ(A4:E13)</f>
        <v>10733.7058</v>
      </c>
      <c r="I15" s="354">
        <f>COUNT(A4:E13)-1</f>
        <v>49</v>
      </c>
      <c r="J15" s="354">
        <f>H15/I15</f>
        <v>219.05522040816325</v>
      </c>
      <c r="K15" s="354"/>
      <c r="L15" s="354"/>
      <c r="M15" s="354"/>
      <c r="N15" s="354"/>
      <c r="O15" s="354"/>
    </row>
    <row r="17" spans="7:13" ht="15.75" thickBot="1" x14ac:dyDescent="0.3">
      <c r="G17" t="s">
        <v>1171</v>
      </c>
    </row>
    <row r="18" spans="7:13" ht="15.75" thickTop="1" x14ac:dyDescent="0.25">
      <c r="G18" s="386" t="s">
        <v>54</v>
      </c>
      <c r="H18" s="386" t="s">
        <v>1172</v>
      </c>
      <c r="I18" s="386" t="s">
        <v>41</v>
      </c>
      <c r="J18" s="386" t="s">
        <v>1173</v>
      </c>
      <c r="K18" s="386" t="s">
        <v>1174</v>
      </c>
      <c r="L18" s="386" t="s">
        <v>135</v>
      </c>
      <c r="M18" s="386" t="s">
        <v>136</v>
      </c>
    </row>
    <row r="19" spans="7:13" x14ac:dyDescent="0.25">
      <c r="G19" t="s">
        <v>563</v>
      </c>
      <c r="H19">
        <f>(J13-J14)/H5</f>
        <v>43.85303777777775</v>
      </c>
      <c r="I19">
        <f>(H19*H5)^2/(J13^2/I13-J14^2/I14)</f>
        <v>2.0051279246220481</v>
      </c>
      <c r="J19" t="e">
        <f ca="1">CHISQ_INV(M3/2,I19)</f>
        <v>#NAME?</v>
      </c>
      <c r="K19" t="e">
        <f ca="1">CHISQ_INV(1-M3/2,I19)</f>
        <v>#NAME?</v>
      </c>
      <c r="L19" t="e">
        <f ca="1">H19*I19/K19</f>
        <v>#NAME?</v>
      </c>
      <c r="M19" t="e">
        <f ca="1">H19*I19/J19</f>
        <v>#NAME?</v>
      </c>
    </row>
    <row r="20" spans="7:13" x14ac:dyDescent="0.25">
      <c r="G20" s="354" t="s">
        <v>176</v>
      </c>
      <c r="H20" s="354">
        <f>J14</f>
        <v>183.25682222222224</v>
      </c>
      <c r="I20" s="354">
        <f>I14</f>
        <v>45</v>
      </c>
      <c r="J20" s="354" t="e">
        <f ca="1">CHISQ_INV(M3/2,I20)</f>
        <v>#NAME?</v>
      </c>
      <c r="K20" s="354" t="e">
        <f ca="1">CHISQ_INV(1-M3/2,I20)</f>
        <v>#NAME?</v>
      </c>
      <c r="L20" s="354" t="e">
        <f ca="1">H20*I20/K20</f>
        <v>#NAME?</v>
      </c>
      <c r="M20" s="354" t="e">
        <f ca="1">H20*I20/J20</f>
        <v>#NAME?</v>
      </c>
    </row>
    <row r="21" spans="7:13" ht="15.75" thickBot="1" x14ac:dyDescent="0.3"/>
    <row r="22" spans="7:13" ht="15.75" thickTop="1" x14ac:dyDescent="0.25">
      <c r="G22" s="386"/>
      <c r="H22" s="386" t="s">
        <v>1172</v>
      </c>
      <c r="I22" s="386" t="s">
        <v>54</v>
      </c>
      <c r="J22" s="386" t="s">
        <v>49</v>
      </c>
      <c r="K22" s="386" t="s">
        <v>135</v>
      </c>
      <c r="L22" s="386" t="s">
        <v>136</v>
      </c>
    </row>
    <row r="23" spans="7:13" x14ac:dyDescent="0.25">
      <c r="G23" s="500" t="s">
        <v>9</v>
      </c>
      <c r="H23" s="501">
        <f>AVERAGE(A4:E13)</f>
        <v>45.277999999999999</v>
      </c>
      <c r="I23" s="500">
        <f>J13/(H5*(I13+1))</f>
        <v>12.435743999999994</v>
      </c>
      <c r="J23" s="500">
        <f>TINV(M3,I13)</f>
        <v>2.7764451051977934</v>
      </c>
      <c r="K23" s="500">
        <f>H23-SQRT(I23)*J23</f>
        <v>35.487046730351004</v>
      </c>
      <c r="L23" s="500">
        <f>H23+SQRT(I23)*J23</f>
        <v>55.068953269648993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AH50"/>
  <sheetViews>
    <sheetView zoomScaleNormal="100" workbookViewId="0"/>
  </sheetViews>
  <sheetFormatPr defaultRowHeight="15" x14ac:dyDescent="0.25"/>
  <cols>
    <col min="6" max="6" width="9.140625" customWidth="1"/>
  </cols>
  <sheetData>
    <row r="1" spans="1:34" x14ac:dyDescent="0.25">
      <c r="A1" s="1" t="s">
        <v>1189</v>
      </c>
    </row>
    <row r="3" spans="1:34" x14ac:dyDescent="0.25">
      <c r="B3" s="493" t="s">
        <v>1143</v>
      </c>
      <c r="C3" s="493" t="s">
        <v>1144</v>
      </c>
      <c r="D3" s="493" t="s">
        <v>1145</v>
      </c>
      <c r="E3" s="493" t="s">
        <v>1146</v>
      </c>
      <c r="G3" t="s">
        <v>13</v>
      </c>
      <c r="N3" t="s">
        <v>823</v>
      </c>
      <c r="V3" s="782" t="s">
        <v>1143</v>
      </c>
      <c r="W3" s="783"/>
      <c r="X3" s="783"/>
      <c r="Y3" s="782" t="s">
        <v>1144</v>
      </c>
      <c r="Z3" s="783"/>
      <c r="AA3" s="784"/>
      <c r="AB3" s="783" t="s">
        <v>1145</v>
      </c>
      <c r="AC3" s="783"/>
      <c r="AD3" s="784"/>
      <c r="AE3" s="783" t="s">
        <v>1146</v>
      </c>
      <c r="AF3" s="783"/>
      <c r="AG3" s="784"/>
      <c r="AH3" s="488"/>
    </row>
    <row r="4" spans="1:34" x14ac:dyDescent="0.25">
      <c r="A4" s="480" t="s">
        <v>1153</v>
      </c>
      <c r="B4" s="480">
        <v>34</v>
      </c>
      <c r="C4" s="480">
        <v>46</v>
      </c>
      <c r="D4" s="480">
        <v>23</v>
      </c>
      <c r="E4" s="480">
        <v>50</v>
      </c>
      <c r="V4" s="261" t="s">
        <v>1153</v>
      </c>
      <c r="W4" s="486" t="s">
        <v>1154</v>
      </c>
      <c r="X4" s="324" t="s">
        <v>1152</v>
      </c>
      <c r="Y4" s="261" t="s">
        <v>1153</v>
      </c>
      <c r="Z4" s="486" t="s">
        <v>1154</v>
      </c>
      <c r="AA4" s="324" t="s">
        <v>1152</v>
      </c>
      <c r="AB4" s="261" t="s">
        <v>1153</v>
      </c>
      <c r="AC4" s="486" t="s">
        <v>1154</v>
      </c>
      <c r="AD4" s="324" t="s">
        <v>1152</v>
      </c>
      <c r="AE4" s="261" t="s">
        <v>1153</v>
      </c>
      <c r="AF4" s="486" t="s">
        <v>1154</v>
      </c>
      <c r="AG4" s="324" t="s">
        <v>1152</v>
      </c>
      <c r="AH4" s="488"/>
    </row>
    <row r="5" spans="1:34" ht="15.75" thickBot="1" x14ac:dyDescent="0.3">
      <c r="A5" s="322"/>
      <c r="B5" s="322">
        <v>56</v>
      </c>
      <c r="C5" s="322">
        <v>19</v>
      </c>
      <c r="D5" s="322">
        <v>32</v>
      </c>
      <c r="E5" s="322">
        <v>72</v>
      </c>
      <c r="G5" t="s">
        <v>820</v>
      </c>
      <c r="H5" t="str">
        <f>IF(COUNTIF(H7:K9,H7)=COUNT(H7:K9),"balanced","unbalanced")</f>
        <v>balanced</v>
      </c>
      <c r="N5" t="s">
        <v>125</v>
      </c>
      <c r="R5" s="485" t="s">
        <v>18</v>
      </c>
      <c r="S5" s="485">
        <v>0.05</v>
      </c>
      <c r="V5" s="418">
        <v>34</v>
      </c>
      <c r="W5" s="416">
        <v>45</v>
      </c>
      <c r="X5" s="419">
        <v>40</v>
      </c>
      <c r="Y5" s="418">
        <v>46</v>
      </c>
      <c r="Z5" s="416">
        <v>23</v>
      </c>
      <c r="AA5" s="416">
        <v>75</v>
      </c>
      <c r="AB5" s="418">
        <v>23</v>
      </c>
      <c r="AC5" s="416">
        <v>75</v>
      </c>
      <c r="AD5" s="419">
        <v>55</v>
      </c>
      <c r="AE5" s="418">
        <v>48</v>
      </c>
      <c r="AF5" s="492">
        <v>73</v>
      </c>
      <c r="AG5" s="419">
        <v>53</v>
      </c>
      <c r="AH5" s="7"/>
    </row>
    <row r="6" spans="1:34" ht="15.75" thickTop="1" x14ac:dyDescent="0.25">
      <c r="A6" s="322"/>
      <c r="B6" s="322">
        <v>78</v>
      </c>
      <c r="C6" s="322">
        <v>56</v>
      </c>
      <c r="D6" s="322">
        <v>42</v>
      </c>
      <c r="E6" s="322">
        <v>30</v>
      </c>
      <c r="H6" s="485" t="str">
        <f>B3</f>
        <v>Office 1</v>
      </c>
      <c r="I6" s="485" t="str">
        <f>C3</f>
        <v>Office 2</v>
      </c>
      <c r="J6" s="485" t="str">
        <f>D3</f>
        <v>Office 3</v>
      </c>
      <c r="K6" s="485" t="str">
        <f>E3</f>
        <v>Office 4</v>
      </c>
      <c r="N6" s="386"/>
      <c r="O6" s="386" t="s">
        <v>111</v>
      </c>
      <c r="P6" s="386" t="s">
        <v>41</v>
      </c>
      <c r="Q6" s="386" t="s">
        <v>115</v>
      </c>
      <c r="R6" s="386" t="s">
        <v>98</v>
      </c>
      <c r="S6" s="386" t="s">
        <v>48</v>
      </c>
      <c r="T6" s="386" t="s">
        <v>164</v>
      </c>
      <c r="V6" s="214">
        <v>56</v>
      </c>
      <c r="W6" s="7">
        <v>76</v>
      </c>
      <c r="X6" s="215">
        <v>39</v>
      </c>
      <c r="Y6" s="214">
        <v>32</v>
      </c>
      <c r="Z6" s="25">
        <v>56</v>
      </c>
      <c r="AA6" s="7">
        <v>57</v>
      </c>
      <c r="AB6" s="238">
        <v>56</v>
      </c>
      <c r="AC6" s="7">
        <v>57</v>
      </c>
      <c r="AD6" s="215">
        <v>73</v>
      </c>
      <c r="AE6" s="214">
        <v>72</v>
      </c>
      <c r="AF6" s="25">
        <v>68</v>
      </c>
      <c r="AG6" s="215">
        <v>51</v>
      </c>
      <c r="AH6" s="7"/>
    </row>
    <row r="7" spans="1:34" x14ac:dyDescent="0.25">
      <c r="A7" s="322"/>
      <c r="B7" s="322">
        <v>40</v>
      </c>
      <c r="C7" s="322">
        <v>52</v>
      </c>
      <c r="D7" s="322">
        <v>34</v>
      </c>
      <c r="E7" s="322">
        <v>52</v>
      </c>
      <c r="G7" t="str">
        <f>A4</f>
        <v>Conflict</v>
      </c>
      <c r="H7" s="414">
        <f>COUNT(B4:B8)</f>
        <v>5</v>
      </c>
      <c r="I7" s="358">
        <f>COUNT(C4:C8)</f>
        <v>5</v>
      </c>
      <c r="J7" s="358">
        <f>COUNT(D4:D8)</f>
        <v>5</v>
      </c>
      <c r="K7" s="415">
        <f>COUNT(E4:E8)</f>
        <v>5</v>
      </c>
      <c r="L7">
        <f>COUNT(B4:E8)</f>
        <v>20</v>
      </c>
      <c r="N7" t="s">
        <v>99</v>
      </c>
      <c r="O7">
        <f>DEVSQ(L14:L16)*L7</f>
        <v>1691.7333333333327</v>
      </c>
      <c r="P7">
        <f>COUNT(L14:L16)-1</f>
        <v>2</v>
      </c>
      <c r="Q7">
        <f>O7/P7</f>
        <v>845.86666666666633</v>
      </c>
      <c r="R7">
        <f>Q7/Q10</f>
        <v>4.0041025641025625</v>
      </c>
      <c r="S7">
        <f>FDIST(R7,P7,P10)</f>
        <v>2.4646200167940314E-2</v>
      </c>
      <c r="T7" s="485" t="str">
        <f>IF(S7&lt;S5,"yes","no")</f>
        <v>yes</v>
      </c>
      <c r="V7" s="214">
        <v>78</v>
      </c>
      <c r="W7" s="7">
        <v>65</v>
      </c>
      <c r="X7" s="215">
        <v>78</v>
      </c>
      <c r="Y7" s="214">
        <v>56</v>
      </c>
      <c r="Z7" s="25">
        <v>61</v>
      </c>
      <c r="AA7" s="7">
        <v>63</v>
      </c>
      <c r="AB7" s="238">
        <v>61</v>
      </c>
      <c r="AC7" s="7">
        <v>63</v>
      </c>
      <c r="AD7" s="215">
        <v>69</v>
      </c>
      <c r="AE7" s="214">
        <v>51</v>
      </c>
      <c r="AF7" s="25">
        <v>71</v>
      </c>
      <c r="AG7" s="215">
        <v>32</v>
      </c>
      <c r="AH7" s="7"/>
    </row>
    <row r="8" spans="1:34" x14ac:dyDescent="0.25">
      <c r="A8" s="349"/>
      <c r="B8" s="349">
        <v>61</v>
      </c>
      <c r="C8" s="349">
        <v>42</v>
      </c>
      <c r="D8" s="349">
        <v>28</v>
      </c>
      <c r="E8" s="349">
        <v>43</v>
      </c>
      <c r="G8" t="str">
        <f>A9</f>
        <v>Psychol</v>
      </c>
      <c r="H8" s="183">
        <f>COUNT(B9:B13)</f>
        <v>5</v>
      </c>
      <c r="I8" s="7">
        <f>COUNT(C9:C13)</f>
        <v>5</v>
      </c>
      <c r="J8" s="7">
        <f>COUNT(D9:D13)</f>
        <v>5</v>
      </c>
      <c r="K8" s="43">
        <f>COUNT(E9:E13)</f>
        <v>5</v>
      </c>
      <c r="L8">
        <f>COUNT(B9:E13)</f>
        <v>20</v>
      </c>
      <c r="N8" t="s">
        <v>177</v>
      </c>
      <c r="O8">
        <f>DEVSQ(H17:K17)*H10</f>
        <v>609.79999999999973</v>
      </c>
      <c r="P8">
        <f>COUNT(H17:K17)-1</f>
        <v>3</v>
      </c>
      <c r="Q8">
        <f>O8/P8</f>
        <v>203.26666666666657</v>
      </c>
      <c r="R8">
        <f>Q8/Q10</f>
        <v>0.96220907297830327</v>
      </c>
      <c r="S8">
        <f>FDIST(R8,P8,P10)</f>
        <v>0.41826475115765016</v>
      </c>
      <c r="T8" s="485" t="str">
        <f>IF(S8&lt;S5,"yes","no")</f>
        <v>no</v>
      </c>
      <c r="V8" s="214">
        <v>67</v>
      </c>
      <c r="W8" s="25">
        <v>52</v>
      </c>
      <c r="X8" s="215">
        <v>24</v>
      </c>
      <c r="Y8" s="214">
        <v>52</v>
      </c>
      <c r="Z8" s="25">
        <v>34</v>
      </c>
      <c r="AA8" s="7">
        <v>25</v>
      </c>
      <c r="AB8" s="238">
        <v>34</v>
      </c>
      <c r="AC8" s="7">
        <v>25</v>
      </c>
      <c r="AD8" s="215">
        <v>64</v>
      </c>
      <c r="AE8" s="214">
        <v>52</v>
      </c>
      <c r="AF8" s="25">
        <v>59</v>
      </c>
      <c r="AG8" s="215">
        <v>41</v>
      </c>
      <c r="AH8" s="7"/>
    </row>
    <row r="9" spans="1:34" x14ac:dyDescent="0.25">
      <c r="A9" s="480" t="s">
        <v>1154</v>
      </c>
      <c r="B9" s="480">
        <v>45</v>
      </c>
      <c r="C9" s="480">
        <v>23</v>
      </c>
      <c r="D9" s="480">
        <v>75</v>
      </c>
      <c r="E9" s="480">
        <v>73</v>
      </c>
      <c r="G9" t="str">
        <f>A14</f>
        <v>Negot</v>
      </c>
      <c r="H9" s="351">
        <f>COUNT(B14:B18)</f>
        <v>5</v>
      </c>
      <c r="I9" s="352">
        <f>COUNT(C14:C18)</f>
        <v>5</v>
      </c>
      <c r="J9" s="352">
        <f>COUNT(D14:D18)</f>
        <v>5</v>
      </c>
      <c r="K9" s="353">
        <f>COUNT(E14:E18)</f>
        <v>5</v>
      </c>
      <c r="L9">
        <f>COUNT(B14:E18)</f>
        <v>20</v>
      </c>
      <c r="N9" t="s">
        <v>655</v>
      </c>
      <c r="O9">
        <f>O11-O7-O8-O10</f>
        <v>4155.2000000000044</v>
      </c>
      <c r="P9">
        <f>P8*P7</f>
        <v>6</v>
      </c>
      <c r="Q9">
        <f>O9/P9</f>
        <v>692.5333333333341</v>
      </c>
      <c r="R9">
        <f>Q9/Q10</f>
        <v>3.2782642998027649</v>
      </c>
      <c r="S9">
        <f>FDIST(R9,P9,P10)</f>
        <v>8.7718106561581848E-3</v>
      </c>
      <c r="T9" s="485" t="str">
        <f>IF(S9&lt;S5,"yes","no")</f>
        <v>yes</v>
      </c>
      <c r="V9" s="112">
        <v>61</v>
      </c>
      <c r="W9" s="403">
        <v>23</v>
      </c>
      <c r="X9" s="120">
        <v>59</v>
      </c>
      <c r="Y9" s="112">
        <v>79</v>
      </c>
      <c r="Z9" s="403">
        <v>28</v>
      </c>
      <c r="AA9" s="354">
        <v>60</v>
      </c>
      <c r="AB9" s="240">
        <v>28</v>
      </c>
      <c r="AC9" s="354">
        <v>60</v>
      </c>
      <c r="AD9" s="120">
        <v>59</v>
      </c>
      <c r="AE9" s="112">
        <v>43</v>
      </c>
      <c r="AF9" s="354">
        <v>80</v>
      </c>
      <c r="AG9" s="120">
        <v>45</v>
      </c>
      <c r="AH9" s="7"/>
    </row>
    <row r="10" spans="1:34" x14ac:dyDescent="0.25">
      <c r="A10" s="322"/>
      <c r="B10" s="322">
        <v>40</v>
      </c>
      <c r="C10" s="322">
        <v>56</v>
      </c>
      <c r="D10" s="322">
        <v>57</v>
      </c>
      <c r="E10" s="322">
        <v>68</v>
      </c>
      <c r="H10">
        <f>COUNT(B4:B18)</f>
        <v>15</v>
      </c>
      <c r="I10">
        <f>COUNT(C4:C18)</f>
        <v>15</v>
      </c>
      <c r="J10">
        <f>COUNT(D4:D18)</f>
        <v>15</v>
      </c>
      <c r="K10">
        <f>COUNT(E4:E18)</f>
        <v>15</v>
      </c>
      <c r="L10">
        <f>COUNT(B4:E18)</f>
        <v>60</v>
      </c>
      <c r="N10" t="s">
        <v>178</v>
      </c>
      <c r="O10">
        <f>SUM(H21:K23)*(H7-1)</f>
        <v>10140</v>
      </c>
      <c r="P10">
        <f>P11-P7-P8-P9</f>
        <v>48</v>
      </c>
      <c r="Q10">
        <f>O10/P10</f>
        <v>211.25</v>
      </c>
      <c r="V10">
        <f t="shared" ref="V10:AG10" si="0">AVERAGE(V5:V9)</f>
        <v>59.2</v>
      </c>
      <c r="W10">
        <f t="shared" si="0"/>
        <v>52.2</v>
      </c>
      <c r="X10">
        <f t="shared" si="0"/>
        <v>48</v>
      </c>
      <c r="Y10">
        <f t="shared" si="0"/>
        <v>53</v>
      </c>
      <c r="Z10">
        <f t="shared" si="0"/>
        <v>40.4</v>
      </c>
      <c r="AA10">
        <f t="shared" si="0"/>
        <v>56</v>
      </c>
      <c r="AB10">
        <f t="shared" si="0"/>
        <v>40.4</v>
      </c>
      <c r="AC10">
        <f t="shared" si="0"/>
        <v>56</v>
      </c>
      <c r="AD10">
        <f t="shared" si="0"/>
        <v>64</v>
      </c>
      <c r="AE10">
        <f t="shared" si="0"/>
        <v>53.2</v>
      </c>
      <c r="AF10">
        <f t="shared" si="0"/>
        <v>70.2</v>
      </c>
      <c r="AG10">
        <f t="shared" si="0"/>
        <v>44.4</v>
      </c>
    </row>
    <row r="11" spans="1:34" x14ac:dyDescent="0.25">
      <c r="A11" s="322"/>
      <c r="B11" s="322">
        <v>65</v>
      </c>
      <c r="C11" s="322">
        <v>61</v>
      </c>
      <c r="D11" s="322">
        <v>63</v>
      </c>
      <c r="E11" s="322">
        <v>71</v>
      </c>
      <c r="N11" s="354" t="s">
        <v>1</v>
      </c>
      <c r="O11" s="354">
        <f>Q11*P11</f>
        <v>16596.733333333337</v>
      </c>
      <c r="P11" s="354">
        <f>L10-1</f>
        <v>59</v>
      </c>
      <c r="Q11" s="354">
        <f>L24</f>
        <v>281.3005649717515</v>
      </c>
      <c r="R11" s="354"/>
      <c r="S11" s="354"/>
      <c r="T11" s="354"/>
    </row>
    <row r="12" spans="1:34" x14ac:dyDescent="0.25">
      <c r="A12" s="322"/>
      <c r="B12" s="322">
        <v>52</v>
      </c>
      <c r="C12" s="322">
        <v>34</v>
      </c>
      <c r="D12" s="322">
        <v>25</v>
      </c>
      <c r="E12" s="322">
        <v>59</v>
      </c>
      <c r="G12" t="s">
        <v>179</v>
      </c>
    </row>
    <row r="13" spans="1:34" x14ac:dyDescent="0.25">
      <c r="A13" s="349"/>
      <c r="B13" s="349">
        <v>23</v>
      </c>
      <c r="C13" s="349">
        <v>28</v>
      </c>
      <c r="D13" s="349">
        <v>60</v>
      </c>
      <c r="E13" s="349">
        <v>80</v>
      </c>
      <c r="H13" s="485" t="str">
        <f>B3</f>
        <v>Office 1</v>
      </c>
      <c r="I13" s="485" t="str">
        <f>C3</f>
        <v>Office 2</v>
      </c>
      <c r="J13" s="485" t="str">
        <f>D3</f>
        <v>Office 3</v>
      </c>
      <c r="K13" s="485" t="str">
        <f>E3</f>
        <v>Office 4</v>
      </c>
      <c r="N13" t="s">
        <v>1190</v>
      </c>
    </row>
    <row r="14" spans="1:34" x14ac:dyDescent="0.25">
      <c r="A14" s="480" t="s">
        <v>1152</v>
      </c>
      <c r="B14" s="480">
        <v>80</v>
      </c>
      <c r="C14" s="480">
        <v>75</v>
      </c>
      <c r="D14" s="480">
        <v>55</v>
      </c>
      <c r="E14" s="480">
        <v>53</v>
      </c>
      <c r="G14" t="str">
        <f>A4</f>
        <v>Conflict</v>
      </c>
      <c r="H14" s="414">
        <f>AVERAGE(B4:B8)</f>
        <v>53.8</v>
      </c>
      <c r="I14" s="358">
        <f>AVERAGE(C4:C8)</f>
        <v>43</v>
      </c>
      <c r="J14" s="358">
        <f>AVERAGE(D4:D8)</f>
        <v>31.8</v>
      </c>
      <c r="K14" s="415">
        <f>AVERAGE(E4:E8)</f>
        <v>49.4</v>
      </c>
      <c r="L14">
        <f>AVERAGE(B4:E8)</f>
        <v>44.5</v>
      </c>
    </row>
    <row r="15" spans="1:34" ht="15.75" thickBot="1" x14ac:dyDescent="0.3">
      <c r="A15" s="322"/>
      <c r="B15" s="322">
        <v>39</v>
      </c>
      <c r="C15" s="322">
        <v>57</v>
      </c>
      <c r="D15" s="322">
        <v>73</v>
      </c>
      <c r="E15" s="322">
        <v>51</v>
      </c>
      <c r="G15" t="str">
        <f>A9</f>
        <v>Psychol</v>
      </c>
      <c r="H15" s="183">
        <f>AVERAGE(B9:B13)</f>
        <v>45</v>
      </c>
      <c r="I15" s="7">
        <f>AVERAGE(C9:C13)</f>
        <v>40.4</v>
      </c>
      <c r="J15" s="7">
        <f>AVERAGE(D9:D13)</f>
        <v>56</v>
      </c>
      <c r="K15" s="43">
        <f>AVERAGE(E9:E13)</f>
        <v>70.2</v>
      </c>
      <c r="L15">
        <f>AVERAGE(B9:E13)</f>
        <v>52.9</v>
      </c>
      <c r="N15" t="s">
        <v>125</v>
      </c>
      <c r="R15" s="502" t="s">
        <v>18</v>
      </c>
      <c r="S15" s="502">
        <v>0.05</v>
      </c>
    </row>
    <row r="16" spans="1:34" ht="15.75" thickTop="1" x14ac:dyDescent="0.25">
      <c r="A16" s="322"/>
      <c r="B16" s="322">
        <v>78</v>
      </c>
      <c r="C16" s="322">
        <v>63</v>
      </c>
      <c r="D16" s="322">
        <v>69</v>
      </c>
      <c r="E16" s="322">
        <v>47</v>
      </c>
      <c r="G16" t="str">
        <f>A14</f>
        <v>Negot</v>
      </c>
      <c r="H16" s="351">
        <f>AVERAGE(B14:B18)</f>
        <v>60.2</v>
      </c>
      <c r="I16" s="352">
        <f>AVERAGE(C14:C18)</f>
        <v>57.6</v>
      </c>
      <c r="J16" s="352">
        <f>AVERAGE(D14:D18)</f>
        <v>64</v>
      </c>
      <c r="K16" s="353">
        <f>AVERAGE(E14:E18)</f>
        <v>47.4</v>
      </c>
      <c r="L16">
        <f>AVERAGE(B14:E18)</f>
        <v>57.3</v>
      </c>
      <c r="N16" s="386"/>
      <c r="O16" s="386" t="s">
        <v>111</v>
      </c>
      <c r="P16" s="386" t="s">
        <v>41</v>
      </c>
      <c r="Q16" s="386" t="s">
        <v>115</v>
      </c>
      <c r="R16" s="386" t="s">
        <v>98</v>
      </c>
      <c r="S16" s="386" t="s">
        <v>48</v>
      </c>
      <c r="T16" s="386" t="s">
        <v>164</v>
      </c>
    </row>
    <row r="17" spans="1:25" x14ac:dyDescent="0.25">
      <c r="A17" s="322"/>
      <c r="B17" s="322">
        <v>45</v>
      </c>
      <c r="C17" s="322">
        <v>25</v>
      </c>
      <c r="D17" s="322">
        <v>64</v>
      </c>
      <c r="E17" s="322">
        <v>41</v>
      </c>
      <c r="H17">
        <f>AVERAGE(B4:B18)</f>
        <v>53</v>
      </c>
      <c r="I17">
        <f>AVERAGE(C4:C18)</f>
        <v>47</v>
      </c>
      <c r="J17">
        <f>AVERAGE(D4:D18)</f>
        <v>50.6</v>
      </c>
      <c r="K17">
        <f>AVERAGE(E4:E18)</f>
        <v>55.666666666666664</v>
      </c>
      <c r="L17">
        <f>AVERAGE(B4:E18)</f>
        <v>51.56666666666667</v>
      </c>
      <c r="N17" t="s">
        <v>99</v>
      </c>
      <c r="O17">
        <f>O7</f>
        <v>1691.7333333333327</v>
      </c>
      <c r="P17">
        <f>P7</f>
        <v>2</v>
      </c>
      <c r="Q17">
        <f>O17/P17</f>
        <v>845.86666666666633</v>
      </c>
      <c r="R17">
        <f>Q17/Q19</f>
        <v>1.2214093184443571</v>
      </c>
      <c r="S17">
        <f>FDIST(R17,P17,P20)</f>
        <v>0.30381232788202905</v>
      </c>
      <c r="T17" s="502" t="str">
        <f>IF(S17&lt;S15,"yes","no")</f>
        <v>no</v>
      </c>
    </row>
    <row r="18" spans="1:25" x14ac:dyDescent="0.25">
      <c r="A18" s="349"/>
      <c r="B18" s="349">
        <v>59</v>
      </c>
      <c r="C18" s="349">
        <v>68</v>
      </c>
      <c r="D18" s="349">
        <v>59</v>
      </c>
      <c r="E18" s="349">
        <v>45</v>
      </c>
      <c r="N18" t="s">
        <v>177</v>
      </c>
      <c r="O18">
        <f t="shared" ref="O18:P21" si="1">O8</f>
        <v>609.79999999999973</v>
      </c>
      <c r="P18">
        <f t="shared" si="1"/>
        <v>3</v>
      </c>
      <c r="Q18">
        <f>O18/P18</f>
        <v>203.26666666666657</v>
      </c>
      <c r="R18">
        <f>Q18/Q19</f>
        <v>0.29351174432036919</v>
      </c>
      <c r="S18">
        <f>FDIST(R18,P18,P20)</f>
        <v>0.82987694589046246</v>
      </c>
      <c r="T18" s="502" t="str">
        <f>IF(S18&lt;S15,"yes","no")</f>
        <v>no</v>
      </c>
    </row>
    <row r="19" spans="1:25" x14ac:dyDescent="0.25">
      <c r="G19" t="s">
        <v>821</v>
      </c>
      <c r="N19" t="s">
        <v>655</v>
      </c>
      <c r="O19">
        <f t="shared" si="1"/>
        <v>4155.2000000000044</v>
      </c>
      <c r="P19">
        <f t="shared" si="1"/>
        <v>6</v>
      </c>
      <c r="Q19">
        <f>O19/P19</f>
        <v>692.5333333333341</v>
      </c>
      <c r="R19">
        <f>Q19/Q20</f>
        <v>3.2782642998027649</v>
      </c>
      <c r="S19">
        <f>FDIST(R19,P19,P20)</f>
        <v>8.7718106561581848E-3</v>
      </c>
      <c r="T19" s="502" t="str">
        <f>IF(S19&lt;S15,"yes","no")</f>
        <v>yes</v>
      </c>
    </row>
    <row r="20" spans="1:25" x14ac:dyDescent="0.25">
      <c r="H20" s="485" t="str">
        <f>B3</f>
        <v>Office 1</v>
      </c>
      <c r="I20" s="485" t="str">
        <f>C3</f>
        <v>Office 2</v>
      </c>
      <c r="J20" s="485" t="str">
        <f>D3</f>
        <v>Office 3</v>
      </c>
      <c r="K20" s="485" t="str">
        <f>E3</f>
        <v>Office 4</v>
      </c>
      <c r="N20" t="s">
        <v>178</v>
      </c>
      <c r="O20">
        <f t="shared" si="1"/>
        <v>10140</v>
      </c>
      <c r="P20">
        <f t="shared" si="1"/>
        <v>48</v>
      </c>
      <c r="Q20">
        <f>O20/P20</f>
        <v>211.25</v>
      </c>
    </row>
    <row r="21" spans="1:25" x14ac:dyDescent="0.25">
      <c r="G21" t="str">
        <f>A4</f>
        <v>Conflict</v>
      </c>
      <c r="H21" s="414">
        <f>VAR(B4:B8)</f>
        <v>306.19999999999982</v>
      </c>
      <c r="I21" s="358">
        <f>VAR(C4:C8)</f>
        <v>209</v>
      </c>
      <c r="J21" s="358">
        <f>VAR(D4:D8)</f>
        <v>50.200000000000045</v>
      </c>
      <c r="K21" s="415">
        <f>VAR(E4:E8)</f>
        <v>233.80000000000018</v>
      </c>
      <c r="L21">
        <f>VAR(B4:E8)</f>
        <v>240.36842105263159</v>
      </c>
      <c r="N21" s="354" t="s">
        <v>1</v>
      </c>
      <c r="O21" s="354">
        <f t="shared" si="1"/>
        <v>16596.733333333337</v>
      </c>
      <c r="P21" s="354">
        <f t="shared" si="1"/>
        <v>59</v>
      </c>
      <c r="Q21" s="354">
        <f>O21/P21</f>
        <v>281.3005649717515</v>
      </c>
      <c r="R21" s="354"/>
      <c r="S21" s="354"/>
      <c r="T21" s="354"/>
    </row>
    <row r="22" spans="1:25" x14ac:dyDescent="0.25">
      <c r="G22" t="str">
        <f>A9</f>
        <v>Psychol</v>
      </c>
      <c r="H22" s="183">
        <f>VAR(B9:B13)</f>
        <v>239.5</v>
      </c>
      <c r="I22" s="7">
        <f>VAR(C9:C13)</f>
        <v>291.29999999999995</v>
      </c>
      <c r="J22" s="7">
        <f>VAR(D9:D13)</f>
        <v>347</v>
      </c>
      <c r="K22" s="43">
        <f>VAR(E9:E13)</f>
        <v>58.7</v>
      </c>
      <c r="L22">
        <f>VAR(B9:E13)</f>
        <v>335.98947368421068</v>
      </c>
    </row>
    <row r="23" spans="1:25" x14ac:dyDescent="0.25">
      <c r="G23" t="str">
        <f>A14</f>
        <v>Negot</v>
      </c>
      <c r="H23" s="351">
        <f>VAR(B14:B18)</f>
        <v>347.69999999999982</v>
      </c>
      <c r="I23" s="352">
        <f>VAR(C14:C18)</f>
        <v>375.80000000000018</v>
      </c>
      <c r="J23" s="352">
        <f>VAR(D14:D18)</f>
        <v>53</v>
      </c>
      <c r="K23" s="353">
        <f>VAR(E14:E18)</f>
        <v>22.799999999999997</v>
      </c>
      <c r="L23">
        <f>VAR(B14:E18)</f>
        <v>208.11578947368406</v>
      </c>
    </row>
    <row r="24" spans="1:25" x14ac:dyDescent="0.25">
      <c r="H24">
        <f>VAR(B4:B18)</f>
        <v>296.85714285714283</v>
      </c>
      <c r="I24">
        <f>VAR(C4:C18)</f>
        <v>311.71428571428572</v>
      </c>
      <c r="J24">
        <f>VAR(D4:D18)</f>
        <v>329.39999999999992</v>
      </c>
      <c r="K24">
        <f>VAR(E4:E18)</f>
        <v>203.95238095238113</v>
      </c>
      <c r="L24">
        <f>VAR(B4:E18)</f>
        <v>281.3005649717515</v>
      </c>
    </row>
    <row r="27" spans="1:25" x14ac:dyDescent="0.25">
      <c r="A27" t="s">
        <v>822</v>
      </c>
    </row>
    <row r="28" spans="1:25" x14ac:dyDescent="0.25">
      <c r="V28" t="s">
        <v>822</v>
      </c>
    </row>
    <row r="29" spans="1:25" x14ac:dyDescent="0.25">
      <c r="B29" s="365" t="s">
        <v>1153</v>
      </c>
      <c r="C29" s="365" t="s">
        <v>1154</v>
      </c>
      <c r="D29" s="365" t="s">
        <v>1152</v>
      </c>
      <c r="F29" t="s">
        <v>151</v>
      </c>
    </row>
    <row r="30" spans="1:25" x14ac:dyDescent="0.25">
      <c r="A30" s="480" t="s">
        <v>1143</v>
      </c>
      <c r="B30" s="480">
        <v>34</v>
      </c>
      <c r="C30" s="480">
        <v>45</v>
      </c>
      <c r="D30" s="480">
        <v>80</v>
      </c>
      <c r="W30" s="365" t="str">
        <f>A4</f>
        <v>Conflict</v>
      </c>
      <c r="X30" s="365" t="str">
        <f>A9</f>
        <v>Psychol</v>
      </c>
      <c r="Y30" s="365" t="str">
        <f>A14</f>
        <v>Negot</v>
      </c>
    </row>
    <row r="31" spans="1:25" ht="15.75" thickBot="1" x14ac:dyDescent="0.3">
      <c r="A31" s="322"/>
      <c r="B31" s="322">
        <v>56</v>
      </c>
      <c r="C31" s="322">
        <v>40</v>
      </c>
      <c r="D31" s="322">
        <v>39</v>
      </c>
      <c r="F31" t="s">
        <v>152</v>
      </c>
      <c r="K31" t="s">
        <v>18</v>
      </c>
      <c r="L31">
        <v>0.05</v>
      </c>
      <c r="V31" s="480" t="str">
        <f>B3</f>
        <v>Office 1</v>
      </c>
      <c r="W31" s="480">
        <f>IF(B4="","",B4)</f>
        <v>34</v>
      </c>
      <c r="X31" s="480">
        <f>IF(B9="","",B9)</f>
        <v>45</v>
      </c>
      <c r="Y31" s="480">
        <f>IF(B14="","",B14)</f>
        <v>80</v>
      </c>
    </row>
    <row r="32" spans="1:25" ht="15.75" thickTop="1" x14ac:dyDescent="0.25">
      <c r="A32" s="322"/>
      <c r="B32" s="322">
        <v>78</v>
      </c>
      <c r="C32" s="322">
        <v>65</v>
      </c>
      <c r="D32" s="322">
        <v>78</v>
      </c>
      <c r="F32" s="386" t="s">
        <v>53</v>
      </c>
      <c r="G32" s="386" t="s">
        <v>12</v>
      </c>
      <c r="H32" s="386" t="s">
        <v>11</v>
      </c>
      <c r="I32" s="386" t="s">
        <v>9</v>
      </c>
      <c r="J32" s="386" t="s">
        <v>54</v>
      </c>
      <c r="K32" s="386" t="s">
        <v>111</v>
      </c>
      <c r="L32" s="386" t="s">
        <v>40</v>
      </c>
      <c r="M32" s="386" t="s">
        <v>135</v>
      </c>
      <c r="N32" s="386" t="s">
        <v>136</v>
      </c>
      <c r="V32" s="322"/>
      <c r="W32" s="322">
        <f>IF(B5="","",B5)</f>
        <v>56</v>
      </c>
      <c r="X32" s="322">
        <f>IF(B10="","",B10)</f>
        <v>40</v>
      </c>
      <c r="Y32" s="322">
        <f>IF(B15="","",B15)</f>
        <v>39</v>
      </c>
    </row>
    <row r="33" spans="1:25" x14ac:dyDescent="0.25">
      <c r="A33" s="322"/>
      <c r="B33" s="322">
        <v>40</v>
      </c>
      <c r="C33" s="322">
        <v>52</v>
      </c>
      <c r="D33" s="322">
        <v>45</v>
      </c>
      <c r="F33" t="str">
        <f>B29</f>
        <v>Conflict</v>
      </c>
      <c r="G33">
        <f>COUNT(B30:B49)</f>
        <v>20</v>
      </c>
      <c r="H33">
        <f>SUM(B30:B49)</f>
        <v>890</v>
      </c>
      <c r="I33">
        <f>AVERAGE(B30:B49)</f>
        <v>44.5</v>
      </c>
      <c r="J33">
        <f>VAR(B30:B49)</f>
        <v>240.36842105263159</v>
      </c>
      <c r="K33">
        <f>DEVSQ(B30:B49)</f>
        <v>4567</v>
      </c>
      <c r="L33">
        <f>SQRT(I40/G33)</f>
        <v>3.6158762981480397</v>
      </c>
      <c r="M33">
        <f>I33-L33*TINV(L31,G33-1)</f>
        <v>36.931883930211278</v>
      </c>
      <c r="N33">
        <f>I33+L33*TINV(L31,G33-1)</f>
        <v>52.068116069788722</v>
      </c>
      <c r="V33" s="322"/>
      <c r="W33" s="322">
        <f>IF(B6="","",B6)</f>
        <v>78</v>
      </c>
      <c r="X33" s="322">
        <f>IF(B11="","",B11)</f>
        <v>65</v>
      </c>
      <c r="Y33" s="322">
        <f>IF(B16="","",B16)</f>
        <v>78</v>
      </c>
    </row>
    <row r="34" spans="1:25" x14ac:dyDescent="0.25">
      <c r="A34" s="349"/>
      <c r="B34" s="349">
        <v>61</v>
      </c>
      <c r="C34" s="349">
        <v>23</v>
      </c>
      <c r="D34" s="349">
        <v>59</v>
      </c>
      <c r="F34" t="str">
        <f>C29</f>
        <v>Psychol</v>
      </c>
      <c r="G34">
        <f>COUNT(C30:C49)</f>
        <v>20</v>
      </c>
      <c r="H34">
        <f>SUM(C30:C49)</f>
        <v>1058</v>
      </c>
      <c r="I34">
        <f>AVERAGE(C30:C49)</f>
        <v>52.9</v>
      </c>
      <c r="J34">
        <f>VAR(C30:C49)</f>
        <v>335.98947368421068</v>
      </c>
      <c r="K34">
        <f>DEVSQ(C30:C49)</f>
        <v>6383.8</v>
      </c>
      <c r="L34">
        <f>SQRT(I40/G34)</f>
        <v>3.6158762981480397</v>
      </c>
      <c r="M34">
        <f>I34-L34*TINV(L31,G34-1)</f>
        <v>45.331883930211276</v>
      </c>
      <c r="N34">
        <f>I34+L34*TINV(L31,G34-1)</f>
        <v>60.468116069788721</v>
      </c>
      <c r="V34" s="322"/>
      <c r="W34" s="322">
        <f>IF(B7="","",B7)</f>
        <v>40</v>
      </c>
      <c r="X34" s="322">
        <f>IF(B12="","",B12)</f>
        <v>52</v>
      </c>
      <c r="Y34" s="322">
        <f>IF(B17="","",B17)</f>
        <v>45</v>
      </c>
    </row>
    <row r="35" spans="1:25" x14ac:dyDescent="0.25">
      <c r="A35" s="480" t="s">
        <v>1144</v>
      </c>
      <c r="B35" s="480">
        <v>46</v>
      </c>
      <c r="C35" s="480">
        <v>23</v>
      </c>
      <c r="D35" s="480">
        <v>75</v>
      </c>
      <c r="F35" t="str">
        <f>D29</f>
        <v>Negot</v>
      </c>
      <c r="G35">
        <f>COUNT(D30:D49)</f>
        <v>20</v>
      </c>
      <c r="H35">
        <f>SUM(D30:D49)</f>
        <v>1146</v>
      </c>
      <c r="I35">
        <f>AVERAGE(D30:D49)</f>
        <v>57.3</v>
      </c>
      <c r="J35">
        <f>VAR(D30:D49)</f>
        <v>208.11578947368406</v>
      </c>
      <c r="K35">
        <f>DEVSQ(D30:D49)</f>
        <v>3954.2000000000003</v>
      </c>
      <c r="L35">
        <f>SQRT(I40/G35)</f>
        <v>3.6158762981480397</v>
      </c>
      <c r="M35">
        <f>I35-L35*TINV(L31,G35-1)</f>
        <v>49.731883930211275</v>
      </c>
      <c r="N35">
        <f>I35+L35*TINV(L31,G35-1)</f>
        <v>64.868116069788712</v>
      </c>
      <c r="V35" s="349"/>
      <c r="W35" s="349">
        <f>IF(B8="","",B8)</f>
        <v>61</v>
      </c>
      <c r="X35" s="349">
        <f>IF(B13="","",B13)</f>
        <v>23</v>
      </c>
      <c r="Y35" s="349">
        <f>IF(B18="","",B18)</f>
        <v>59</v>
      </c>
    </row>
    <row r="36" spans="1:25" x14ac:dyDescent="0.25">
      <c r="A36" s="322"/>
      <c r="B36" s="322">
        <v>19</v>
      </c>
      <c r="C36" s="322">
        <v>56</v>
      </c>
      <c r="D36" s="322">
        <v>57</v>
      </c>
      <c r="F36" s="416"/>
      <c r="G36" s="416"/>
      <c r="H36" s="416"/>
      <c r="I36" s="416"/>
      <c r="J36" s="416"/>
      <c r="K36" s="416"/>
      <c r="L36" s="416"/>
      <c r="M36" s="416"/>
      <c r="N36" s="416"/>
      <c r="V36" s="480" t="str">
        <f>C3</f>
        <v>Office 2</v>
      </c>
      <c r="W36" s="480">
        <f>IF(C4="","",C4)</f>
        <v>46</v>
      </c>
      <c r="X36" s="480">
        <f>IF(C9="","",C9)</f>
        <v>23</v>
      </c>
      <c r="Y36" s="480">
        <f>IF(C14="","",C14)</f>
        <v>75</v>
      </c>
    </row>
    <row r="37" spans="1:25" ht="15.75" thickBot="1" x14ac:dyDescent="0.3">
      <c r="A37" s="322"/>
      <c r="B37" s="322">
        <v>56</v>
      </c>
      <c r="C37" s="322">
        <v>61</v>
      </c>
      <c r="D37" s="322">
        <v>63</v>
      </c>
      <c r="F37" t="s">
        <v>125</v>
      </c>
      <c r="V37" s="322"/>
      <c r="W37" s="322">
        <f>IF(C5="","",C5)</f>
        <v>19</v>
      </c>
      <c r="X37" s="322">
        <f>IF(C10="","",C10)</f>
        <v>56</v>
      </c>
      <c r="Y37" s="322">
        <f>IF(C15="","",C15)</f>
        <v>57</v>
      </c>
    </row>
    <row r="38" spans="1:25" ht="15.75" thickTop="1" x14ac:dyDescent="0.25">
      <c r="A38" s="322"/>
      <c r="B38" s="322">
        <v>52</v>
      </c>
      <c r="C38" s="322">
        <v>34</v>
      </c>
      <c r="D38" s="322">
        <v>25</v>
      </c>
      <c r="F38" s="386" t="s">
        <v>153</v>
      </c>
      <c r="G38" s="386" t="s">
        <v>111</v>
      </c>
      <c r="H38" s="386" t="s">
        <v>41</v>
      </c>
      <c r="I38" s="386" t="s">
        <v>115</v>
      </c>
      <c r="J38" s="386" t="s">
        <v>98</v>
      </c>
      <c r="K38" s="386" t="s">
        <v>154</v>
      </c>
      <c r="L38" s="386" t="s">
        <v>161</v>
      </c>
      <c r="M38" s="386" t="s">
        <v>616</v>
      </c>
      <c r="N38" s="386" t="s">
        <v>617</v>
      </c>
      <c r="V38" s="322"/>
      <c r="W38" s="322">
        <f>IF(C6="","",C6)</f>
        <v>56</v>
      </c>
      <c r="X38" s="322">
        <f>IF(C11="","",C11)</f>
        <v>61</v>
      </c>
      <c r="Y38" s="322">
        <f>IF(C16="","",C16)</f>
        <v>63</v>
      </c>
    </row>
    <row r="39" spans="1:25" x14ac:dyDescent="0.25">
      <c r="A39" s="349"/>
      <c r="B39" s="349">
        <v>42</v>
      </c>
      <c r="C39" s="349">
        <v>28</v>
      </c>
      <c r="D39" s="349">
        <v>68</v>
      </c>
      <c r="F39" t="s">
        <v>156</v>
      </c>
      <c r="G39">
        <f>G41-G40</f>
        <v>1691.7333333333336</v>
      </c>
      <c r="H39">
        <f>COUNTA(F33:F35)-1</f>
        <v>2</v>
      </c>
      <c r="I39">
        <f>G39/H39</f>
        <v>845.86666666666679</v>
      </c>
      <c r="J39">
        <f>I39/I40</f>
        <v>3.2347802750754782</v>
      </c>
      <c r="K39">
        <f>FDIST(J39,H39,H40)</f>
        <v>4.6700000248597356E-2</v>
      </c>
      <c r="L39">
        <f>FINV(L31,H39,H40)</f>
        <v>3.158842719260647</v>
      </c>
      <c r="M39">
        <f>SQRT(DEVSQ(I33:I35)/(I40*H39))</f>
        <v>0.40216789249488061</v>
      </c>
      <c r="N39">
        <f>(G41-H41*I40)/(G41+I40)</f>
        <v>6.9328230439450245E-2</v>
      </c>
      <c r="V39" s="322"/>
      <c r="W39" s="322">
        <f>IF(C7="","",C7)</f>
        <v>52</v>
      </c>
      <c r="X39" s="322">
        <f>IF(C12="","",C12)</f>
        <v>34</v>
      </c>
      <c r="Y39" s="322">
        <f>IF(C17="","",C17)</f>
        <v>25</v>
      </c>
    </row>
    <row r="40" spans="1:25" x14ac:dyDescent="0.25">
      <c r="A40" s="480" t="s">
        <v>1145</v>
      </c>
      <c r="B40" s="480">
        <v>23</v>
      </c>
      <c r="C40" s="480">
        <v>75</v>
      </c>
      <c r="D40" s="480">
        <v>55</v>
      </c>
      <c r="F40" t="s">
        <v>157</v>
      </c>
      <c r="G40">
        <f>SUM(K33:K35)</f>
        <v>14905</v>
      </c>
      <c r="H40">
        <f>H41-H39</f>
        <v>57</v>
      </c>
      <c r="I40">
        <f>G40/H40</f>
        <v>261.49122807017545</v>
      </c>
      <c r="V40" s="349"/>
      <c r="W40" s="349">
        <f>IF(C8="","",C8)</f>
        <v>42</v>
      </c>
      <c r="X40" s="349">
        <f>IF(C13="","",C13)</f>
        <v>28</v>
      </c>
      <c r="Y40" s="349">
        <f>IF(C18="","",C18)</f>
        <v>68</v>
      </c>
    </row>
    <row r="41" spans="1:25" x14ac:dyDescent="0.25">
      <c r="A41" s="322"/>
      <c r="B41" s="322">
        <v>32</v>
      </c>
      <c r="C41" s="322">
        <v>57</v>
      </c>
      <c r="D41" s="322">
        <v>73</v>
      </c>
      <c r="F41" s="354" t="s">
        <v>1</v>
      </c>
      <c r="G41" s="354">
        <f>DEVSQ(B30:D49)</f>
        <v>16596.733333333334</v>
      </c>
      <c r="H41" s="354">
        <f>COUNT(B30:D49)-1</f>
        <v>59</v>
      </c>
      <c r="I41" s="354">
        <f>G41/H41</f>
        <v>281.30056497175144</v>
      </c>
      <c r="J41" s="354"/>
      <c r="K41" s="354"/>
      <c r="L41" s="354"/>
      <c r="M41" s="354"/>
      <c r="N41" s="354"/>
      <c r="V41" s="480" t="str">
        <f>D3</f>
        <v>Office 3</v>
      </c>
      <c r="W41" s="480">
        <f>IF(D4="","",D4)</f>
        <v>23</v>
      </c>
      <c r="X41" s="480">
        <f>IF(D9="","",D9)</f>
        <v>75</v>
      </c>
      <c r="Y41" s="480">
        <f>IF(D14="","",D14)</f>
        <v>55</v>
      </c>
    </row>
    <row r="42" spans="1:25" x14ac:dyDescent="0.25">
      <c r="A42" s="322"/>
      <c r="B42" s="322">
        <v>42</v>
      </c>
      <c r="C42" s="322">
        <v>63</v>
      </c>
      <c r="D42" s="322">
        <v>69</v>
      </c>
      <c r="V42" s="322"/>
      <c r="W42" s="322">
        <f>IF(D5="","",D5)</f>
        <v>32</v>
      </c>
      <c r="X42" s="322">
        <f>IF(D10="","",D10)</f>
        <v>57</v>
      </c>
      <c r="Y42" s="322">
        <f>IF(D15="","",D15)</f>
        <v>73</v>
      </c>
    </row>
    <row r="43" spans="1:25" x14ac:dyDescent="0.25">
      <c r="A43" s="322"/>
      <c r="B43" s="322">
        <v>34</v>
      </c>
      <c r="C43" s="322">
        <v>25</v>
      </c>
      <c r="D43" s="322">
        <v>64</v>
      </c>
      <c r="V43" s="322"/>
      <c r="W43" s="322">
        <f>IF(D6="","",D6)</f>
        <v>42</v>
      </c>
      <c r="X43" s="322">
        <f>IF(D11="","",D11)</f>
        <v>63</v>
      </c>
      <c r="Y43" s="322">
        <f>IF(D16="","",D16)</f>
        <v>69</v>
      </c>
    </row>
    <row r="44" spans="1:25" x14ac:dyDescent="0.25">
      <c r="A44" s="349"/>
      <c r="B44" s="349">
        <v>28</v>
      </c>
      <c r="C44" s="349">
        <v>60</v>
      </c>
      <c r="D44" s="349">
        <v>59</v>
      </c>
      <c r="V44" s="322"/>
      <c r="W44" s="322">
        <f>IF(D7="","",D7)</f>
        <v>34</v>
      </c>
      <c r="X44" s="322">
        <f>IF(D12="","",D12)</f>
        <v>25</v>
      </c>
      <c r="Y44" s="322">
        <f>IF(D17="","",D17)</f>
        <v>64</v>
      </c>
    </row>
    <row r="45" spans="1:25" x14ac:dyDescent="0.25">
      <c r="A45" s="480" t="s">
        <v>1146</v>
      </c>
      <c r="B45" s="480">
        <v>50</v>
      </c>
      <c r="C45" s="480">
        <v>73</v>
      </c>
      <c r="D45" s="480">
        <v>53</v>
      </c>
      <c r="V45" s="349"/>
      <c r="W45" s="349">
        <f>IF(D8="","",D8)</f>
        <v>28</v>
      </c>
      <c r="X45" s="349">
        <f>IF(D13="","",D13)</f>
        <v>60</v>
      </c>
      <c r="Y45" s="349">
        <f>IF(D18="","",D18)</f>
        <v>59</v>
      </c>
    </row>
    <row r="46" spans="1:25" x14ac:dyDescent="0.25">
      <c r="A46" s="322"/>
      <c r="B46" s="322">
        <v>72</v>
      </c>
      <c r="C46" s="322">
        <v>68</v>
      </c>
      <c r="D46" s="322">
        <v>51</v>
      </c>
      <c r="V46" s="480" t="str">
        <f>E3</f>
        <v>Office 4</v>
      </c>
      <c r="W46" s="480">
        <f>IF(E4="","",E4)</f>
        <v>50</v>
      </c>
      <c r="X46" s="480">
        <f>IF(E9="","",E9)</f>
        <v>73</v>
      </c>
      <c r="Y46" s="480">
        <f>IF(E14="","",E14)</f>
        <v>53</v>
      </c>
    </row>
    <row r="47" spans="1:25" x14ac:dyDescent="0.25">
      <c r="A47" s="322"/>
      <c r="B47" s="322">
        <v>30</v>
      </c>
      <c r="C47" s="322">
        <v>71</v>
      </c>
      <c r="D47" s="322">
        <v>47</v>
      </c>
      <c r="V47" s="322"/>
      <c r="W47" s="322">
        <f>IF(E5="","",E5)</f>
        <v>72</v>
      </c>
      <c r="X47" s="322">
        <f>IF(E10="","",E10)</f>
        <v>68</v>
      </c>
      <c r="Y47" s="322">
        <f>IF(E15="","",E15)</f>
        <v>51</v>
      </c>
    </row>
    <row r="48" spans="1:25" x14ac:dyDescent="0.25">
      <c r="A48" s="322"/>
      <c r="B48" s="322">
        <v>52</v>
      </c>
      <c r="C48" s="322">
        <v>59</v>
      </c>
      <c r="D48" s="322">
        <v>41</v>
      </c>
      <c r="V48" s="322"/>
      <c r="W48" s="322">
        <f>IF(E6="","",E6)</f>
        <v>30</v>
      </c>
      <c r="X48" s="322">
        <f>IF(E11="","",E11)</f>
        <v>71</v>
      </c>
      <c r="Y48" s="322">
        <f>IF(E16="","",E16)</f>
        <v>47</v>
      </c>
    </row>
    <row r="49" spans="1:25" x14ac:dyDescent="0.25">
      <c r="A49" s="349"/>
      <c r="B49" s="349">
        <v>43</v>
      </c>
      <c r="C49" s="349">
        <v>80</v>
      </c>
      <c r="D49" s="349">
        <v>45</v>
      </c>
      <c r="V49" s="322"/>
      <c r="W49" s="322">
        <f>IF(E7="","",E7)</f>
        <v>52</v>
      </c>
      <c r="X49" s="322">
        <f>IF(E12="","",E12)</f>
        <v>59</v>
      </c>
      <c r="Y49" s="322">
        <f>IF(E17="","",E17)</f>
        <v>41</v>
      </c>
    </row>
    <row r="50" spans="1:25" x14ac:dyDescent="0.25">
      <c r="V50" s="349"/>
      <c r="W50" s="349">
        <f>IF(E8="","",E8)</f>
        <v>43</v>
      </c>
      <c r="X50" s="349">
        <f>IF(E13="","",E13)</f>
        <v>80</v>
      </c>
      <c r="Y50" s="349">
        <f>IF(E18="","",E18)</f>
        <v>45</v>
      </c>
    </row>
  </sheetData>
  <mergeCells count="4">
    <mergeCell ref="V3:X3"/>
    <mergeCell ref="Y3:AA3"/>
    <mergeCell ref="AB3:AD3"/>
    <mergeCell ref="AE3:AG3"/>
  </mergeCells>
  <pageMargins left="0.7" right="0.7" top="0.75" bottom="0.75" header="0.3" footer="0.3"/>
  <ignoredErrors>
    <ignoredError sqref="H7:K9 H14:K16 H21:K23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T22"/>
  <sheetViews>
    <sheetView workbookViewId="0"/>
  </sheetViews>
  <sheetFormatPr defaultRowHeight="15" x14ac:dyDescent="0.25"/>
  <sheetData>
    <row r="1" spans="1:20" x14ac:dyDescent="0.25">
      <c r="A1" s="1" t="s">
        <v>1188</v>
      </c>
      <c r="G1" t="s">
        <v>13</v>
      </c>
      <c r="N1" t="s">
        <v>1190</v>
      </c>
    </row>
    <row r="3" spans="1:20" ht="15.75" thickBot="1" x14ac:dyDescent="0.3">
      <c r="B3" s="493" t="s">
        <v>1143</v>
      </c>
      <c r="C3" s="493" t="s">
        <v>1144</v>
      </c>
      <c r="D3" s="493" t="s">
        <v>1145</v>
      </c>
      <c r="E3" s="493" t="s">
        <v>1146</v>
      </c>
      <c r="G3" t="s">
        <v>820</v>
      </c>
      <c r="H3" t="str">
        <f>IF(COUNTIF(H5:K7,H5)=COUNT(H5:K7),"balanced","unbalanced")</f>
        <v>balanced</v>
      </c>
      <c r="N3" t="s">
        <v>125</v>
      </c>
      <c r="R3" s="502" t="s">
        <v>18</v>
      </c>
      <c r="S3" s="502">
        <v>0.05</v>
      </c>
    </row>
    <row r="4" spans="1:20" ht="15.75" thickTop="1" x14ac:dyDescent="0.25">
      <c r="A4" s="480" t="s">
        <v>1153</v>
      </c>
      <c r="B4" s="480">
        <v>34</v>
      </c>
      <c r="C4" s="480">
        <v>46</v>
      </c>
      <c r="D4" s="480">
        <v>23</v>
      </c>
      <c r="E4" s="480">
        <v>50</v>
      </c>
      <c r="H4" s="502" t="str">
        <f>B3</f>
        <v>Office 1</v>
      </c>
      <c r="I4" s="502" t="str">
        <f>C3</f>
        <v>Office 2</v>
      </c>
      <c r="J4" s="502" t="str">
        <f>D3</f>
        <v>Office 3</v>
      </c>
      <c r="K4" s="502" t="str">
        <f>E3</f>
        <v>Office 4</v>
      </c>
      <c r="N4" s="386"/>
      <c r="O4" s="386" t="s">
        <v>111</v>
      </c>
      <c r="P4" s="386" t="s">
        <v>41</v>
      </c>
      <c r="Q4" s="386" t="s">
        <v>115</v>
      </c>
      <c r="R4" s="386" t="s">
        <v>98</v>
      </c>
      <c r="S4" s="386" t="s">
        <v>48</v>
      </c>
      <c r="T4" s="386" t="s">
        <v>164</v>
      </c>
    </row>
    <row r="5" spans="1:20" x14ac:dyDescent="0.25">
      <c r="A5" s="322"/>
      <c r="B5" s="322">
        <v>56</v>
      </c>
      <c r="C5" s="322">
        <v>19</v>
      </c>
      <c r="D5" s="322">
        <v>32</v>
      </c>
      <c r="E5" s="322">
        <v>72</v>
      </c>
      <c r="G5" t="str">
        <f>A4</f>
        <v>Conflict</v>
      </c>
      <c r="H5" s="414">
        <f>COUNT(B4:B8)</f>
        <v>5</v>
      </c>
      <c r="I5" s="358">
        <f>COUNT(C4:C8)</f>
        <v>5</v>
      </c>
      <c r="J5" s="358">
        <f>COUNT(D4:D8)</f>
        <v>5</v>
      </c>
      <c r="K5" s="415">
        <f>COUNT(E4:E8)</f>
        <v>5</v>
      </c>
      <c r="L5">
        <f>COUNT(B4:E8)</f>
        <v>20</v>
      </c>
      <c r="N5" t="s">
        <v>99</v>
      </c>
      <c r="O5">
        <f>DEVSQ(L12:L14)*L5</f>
        <v>1691.7333333333327</v>
      </c>
      <c r="P5">
        <f>COUNT(L12:L14)-1</f>
        <v>2</v>
      </c>
      <c r="Q5">
        <f>O5/P5</f>
        <v>845.86666666666633</v>
      </c>
      <c r="R5">
        <f>Q5/Q7</f>
        <v>1.2214093184443571</v>
      </c>
      <c r="S5">
        <f>FDIST(R5,P5,P7)</f>
        <v>0.35891480306310647</v>
      </c>
      <c r="T5" s="502" t="str">
        <f>IF(S5&lt;S3,"yes","no")</f>
        <v>no</v>
      </c>
    </row>
    <row r="6" spans="1:20" x14ac:dyDescent="0.25">
      <c r="A6" s="322"/>
      <c r="B6" s="322">
        <v>78</v>
      </c>
      <c r="C6" s="322">
        <v>56</v>
      </c>
      <c r="D6" s="322">
        <v>42</v>
      </c>
      <c r="E6" s="322">
        <v>30</v>
      </c>
      <c r="G6" t="str">
        <f>A9</f>
        <v>Psychol</v>
      </c>
      <c r="H6" s="183">
        <f>COUNT(B9:B13)</f>
        <v>5</v>
      </c>
      <c r="I6" s="7">
        <f>COUNT(C9:C13)</f>
        <v>5</v>
      </c>
      <c r="J6" s="7">
        <f>COUNT(D9:D13)</f>
        <v>5</v>
      </c>
      <c r="K6" s="43">
        <f>COUNT(E9:E13)</f>
        <v>5</v>
      </c>
      <c r="L6">
        <f>COUNT(B9:E13)</f>
        <v>20</v>
      </c>
      <c r="N6" t="s">
        <v>177</v>
      </c>
      <c r="O6">
        <f>DEVSQ(H15:K15)*H8</f>
        <v>609.79999999999973</v>
      </c>
      <c r="P6">
        <f>COUNT(H15:K15)-1</f>
        <v>3</v>
      </c>
      <c r="Q6">
        <f>O6/P6</f>
        <v>203.26666666666657</v>
      </c>
      <c r="R6">
        <f>Q6/Q7</f>
        <v>0.29351174432036919</v>
      </c>
      <c r="S6">
        <f>FDIST(R6,P6,P7)</f>
        <v>0.82906047560649987</v>
      </c>
      <c r="T6" s="502" t="str">
        <f>IF(S6&lt;S3,"yes","no")</f>
        <v>no</v>
      </c>
    </row>
    <row r="7" spans="1:20" x14ac:dyDescent="0.25">
      <c r="A7" s="322"/>
      <c r="B7" s="322">
        <v>40</v>
      </c>
      <c r="C7" s="322">
        <v>52</v>
      </c>
      <c r="D7" s="322">
        <v>34</v>
      </c>
      <c r="E7" s="322">
        <v>52</v>
      </c>
      <c r="G7" t="str">
        <f>A14</f>
        <v>Negot</v>
      </c>
      <c r="H7" s="351">
        <f>COUNT(B14:B18)</f>
        <v>5</v>
      </c>
      <c r="I7" s="352">
        <f>COUNT(C14:C18)</f>
        <v>5</v>
      </c>
      <c r="J7" s="352">
        <f>COUNT(D14:D18)</f>
        <v>5</v>
      </c>
      <c r="K7" s="353">
        <f>COUNT(E14:E18)</f>
        <v>5</v>
      </c>
      <c r="L7">
        <f>COUNT(B14:E18)</f>
        <v>20</v>
      </c>
      <c r="N7" t="s">
        <v>655</v>
      </c>
      <c r="O7">
        <f>O9-O5-O6-O8</f>
        <v>4155.2000000000044</v>
      </c>
      <c r="P7">
        <f>P6*P5</f>
        <v>6</v>
      </c>
      <c r="Q7">
        <f>O7/P7</f>
        <v>692.5333333333341</v>
      </c>
      <c r="R7">
        <f>Q7/Q8</f>
        <v>3.2782642998027649</v>
      </c>
      <c r="S7">
        <f>FDIST(R7,P7,P8)</f>
        <v>8.7718106561581848E-3</v>
      </c>
      <c r="T7" s="502" t="str">
        <f>IF(S7&lt;S3,"yes","no")</f>
        <v>yes</v>
      </c>
    </row>
    <row r="8" spans="1:20" x14ac:dyDescent="0.25">
      <c r="A8" s="349"/>
      <c r="B8" s="349">
        <v>61</v>
      </c>
      <c r="C8" s="349">
        <v>42</v>
      </c>
      <c r="D8" s="349">
        <v>28</v>
      </c>
      <c r="E8" s="349">
        <v>43</v>
      </c>
      <c r="H8">
        <f>COUNT(B4:B18)</f>
        <v>15</v>
      </c>
      <c r="I8">
        <f>COUNT(C4:C18)</f>
        <v>15</v>
      </c>
      <c r="J8">
        <f>COUNT(D4:D18)</f>
        <v>15</v>
      </c>
      <c r="K8">
        <f>COUNT(E4:E18)</f>
        <v>15</v>
      </c>
      <c r="L8">
        <f>COUNT(B4:E18)</f>
        <v>60</v>
      </c>
      <c r="N8" t="s">
        <v>178</v>
      </c>
      <c r="O8">
        <f>SUM(H19:K21)*(H5-1)</f>
        <v>10140</v>
      </c>
      <c r="P8">
        <f>P9-P5-P6-P7</f>
        <v>48</v>
      </c>
      <c r="Q8">
        <f>O8/P8</f>
        <v>211.25</v>
      </c>
    </row>
    <row r="9" spans="1:20" x14ac:dyDescent="0.25">
      <c r="A9" s="480" t="s">
        <v>1154</v>
      </c>
      <c r="B9" s="480">
        <v>45</v>
      </c>
      <c r="C9" s="480">
        <v>23</v>
      </c>
      <c r="D9" s="480">
        <v>75</v>
      </c>
      <c r="E9" s="480">
        <v>73</v>
      </c>
      <c r="N9" s="354" t="s">
        <v>1</v>
      </c>
      <c r="O9" s="354">
        <f>Q9*P9</f>
        <v>16596.733333333337</v>
      </c>
      <c r="P9" s="354">
        <f>L8-1</f>
        <v>59</v>
      </c>
      <c r="Q9" s="354">
        <f>L22</f>
        <v>281.3005649717515</v>
      </c>
      <c r="R9" s="354"/>
      <c r="S9" s="354"/>
      <c r="T9" s="354"/>
    </row>
    <row r="10" spans="1:20" x14ac:dyDescent="0.25">
      <c r="A10" s="322"/>
      <c r="B10" s="322">
        <v>40</v>
      </c>
      <c r="C10" s="322">
        <v>56</v>
      </c>
      <c r="D10" s="322">
        <v>57</v>
      </c>
      <c r="E10" s="322">
        <v>68</v>
      </c>
      <c r="G10" t="s">
        <v>179</v>
      </c>
    </row>
    <row r="11" spans="1:20" x14ac:dyDescent="0.25">
      <c r="A11" s="322"/>
      <c r="B11" s="322">
        <v>65</v>
      </c>
      <c r="C11" s="322">
        <v>61</v>
      </c>
      <c r="D11" s="322">
        <v>63</v>
      </c>
      <c r="E11" s="322">
        <v>71</v>
      </c>
      <c r="H11" s="502" t="str">
        <f>B3</f>
        <v>Office 1</v>
      </c>
      <c r="I11" s="502" t="str">
        <f>C3</f>
        <v>Office 2</v>
      </c>
      <c r="J11" s="502" t="str">
        <f>D3</f>
        <v>Office 3</v>
      </c>
      <c r="K11" s="502" t="str">
        <f>E3</f>
        <v>Office 4</v>
      </c>
    </row>
    <row r="12" spans="1:20" x14ac:dyDescent="0.25">
      <c r="A12" s="322"/>
      <c r="B12" s="322">
        <v>52</v>
      </c>
      <c r="C12" s="322">
        <v>34</v>
      </c>
      <c r="D12" s="322">
        <v>25</v>
      </c>
      <c r="E12" s="322">
        <v>59</v>
      </c>
      <c r="G12" t="str">
        <f>A4</f>
        <v>Conflict</v>
      </c>
      <c r="H12" s="414">
        <f>AVERAGE(B4:B8)</f>
        <v>53.8</v>
      </c>
      <c r="I12" s="358">
        <f>AVERAGE(C4:C8)</f>
        <v>43</v>
      </c>
      <c r="J12" s="358">
        <f>AVERAGE(D4:D8)</f>
        <v>31.8</v>
      </c>
      <c r="K12" s="415">
        <f>AVERAGE(E4:E8)</f>
        <v>49.4</v>
      </c>
      <c r="L12">
        <f>AVERAGE(B4:E8)</f>
        <v>44.5</v>
      </c>
    </row>
    <row r="13" spans="1:20" x14ac:dyDescent="0.25">
      <c r="A13" s="349"/>
      <c r="B13" s="349">
        <v>23</v>
      </c>
      <c r="C13" s="349">
        <v>28</v>
      </c>
      <c r="D13" s="349">
        <v>60</v>
      </c>
      <c r="E13" s="349">
        <v>80</v>
      </c>
      <c r="G13" t="str">
        <f>A9</f>
        <v>Psychol</v>
      </c>
      <c r="H13" s="183">
        <f>AVERAGE(B9:B13)</f>
        <v>45</v>
      </c>
      <c r="I13" s="7">
        <f>AVERAGE(C9:C13)</f>
        <v>40.4</v>
      </c>
      <c r="J13" s="7">
        <f>AVERAGE(D9:D13)</f>
        <v>56</v>
      </c>
      <c r="K13" s="43">
        <f>AVERAGE(E9:E13)</f>
        <v>70.2</v>
      </c>
      <c r="L13">
        <f>AVERAGE(B9:E13)</f>
        <v>52.9</v>
      </c>
    </row>
    <row r="14" spans="1:20" x14ac:dyDescent="0.25">
      <c r="A14" s="480" t="s">
        <v>1152</v>
      </c>
      <c r="B14" s="480">
        <v>80</v>
      </c>
      <c r="C14" s="480">
        <v>75</v>
      </c>
      <c r="D14" s="480">
        <v>55</v>
      </c>
      <c r="E14" s="480">
        <v>53</v>
      </c>
      <c r="G14" t="str">
        <f>A14</f>
        <v>Negot</v>
      </c>
      <c r="H14" s="351">
        <f>AVERAGE(B14:B18)</f>
        <v>60.2</v>
      </c>
      <c r="I14" s="352">
        <f>AVERAGE(C14:C18)</f>
        <v>57.6</v>
      </c>
      <c r="J14" s="352">
        <f>AVERAGE(D14:D18)</f>
        <v>64</v>
      </c>
      <c r="K14" s="353">
        <f>AVERAGE(E14:E18)</f>
        <v>47.4</v>
      </c>
      <c r="L14">
        <f>AVERAGE(B14:E18)</f>
        <v>57.3</v>
      </c>
    </row>
    <row r="15" spans="1:20" x14ac:dyDescent="0.25">
      <c r="A15" s="322"/>
      <c r="B15" s="322">
        <v>39</v>
      </c>
      <c r="C15" s="322">
        <v>57</v>
      </c>
      <c r="D15" s="322">
        <v>73</v>
      </c>
      <c r="E15" s="322">
        <v>51</v>
      </c>
      <c r="H15">
        <f>AVERAGE(B4:B18)</f>
        <v>53</v>
      </c>
      <c r="I15">
        <f>AVERAGE(C4:C18)</f>
        <v>47</v>
      </c>
      <c r="J15">
        <f>AVERAGE(D4:D18)</f>
        <v>50.6</v>
      </c>
      <c r="K15">
        <f>AVERAGE(E4:E18)</f>
        <v>55.666666666666664</v>
      </c>
      <c r="L15">
        <f>AVERAGE(B4:E18)</f>
        <v>51.56666666666667</v>
      </c>
    </row>
    <row r="16" spans="1:20" x14ac:dyDescent="0.25">
      <c r="A16" s="322"/>
      <c r="B16" s="322">
        <v>78</v>
      </c>
      <c r="C16" s="322">
        <v>63</v>
      </c>
      <c r="D16" s="322">
        <v>69</v>
      </c>
      <c r="E16" s="322">
        <v>47</v>
      </c>
    </row>
    <row r="17" spans="1:12" x14ac:dyDescent="0.25">
      <c r="A17" s="322"/>
      <c r="B17" s="322">
        <v>45</v>
      </c>
      <c r="C17" s="322">
        <v>25</v>
      </c>
      <c r="D17" s="322">
        <v>64</v>
      </c>
      <c r="E17" s="322">
        <v>41</v>
      </c>
      <c r="G17" t="s">
        <v>821</v>
      </c>
    </row>
    <row r="18" spans="1:12" x14ac:dyDescent="0.25">
      <c r="A18" s="349"/>
      <c r="B18" s="349">
        <v>59</v>
      </c>
      <c r="C18" s="349">
        <v>68</v>
      </c>
      <c r="D18" s="349">
        <v>59</v>
      </c>
      <c r="E18" s="349">
        <v>45</v>
      </c>
      <c r="H18" s="502" t="str">
        <f>B3</f>
        <v>Office 1</v>
      </c>
      <c r="I18" s="502" t="str">
        <f>C3</f>
        <v>Office 2</v>
      </c>
      <c r="J18" s="502" t="str">
        <f>D3</f>
        <v>Office 3</v>
      </c>
      <c r="K18" s="502" t="str">
        <f>E3</f>
        <v>Office 4</v>
      </c>
    </row>
    <row r="19" spans="1:12" x14ac:dyDescent="0.25">
      <c r="G19" t="str">
        <f>A4</f>
        <v>Conflict</v>
      </c>
      <c r="H19" s="414">
        <f>VAR(B4:B8)</f>
        <v>306.19999999999982</v>
      </c>
      <c r="I19" s="358">
        <f>VAR(C4:C8)</f>
        <v>209</v>
      </c>
      <c r="J19" s="358">
        <f>VAR(D4:D8)</f>
        <v>50.200000000000045</v>
      </c>
      <c r="K19" s="415">
        <f>VAR(E4:E8)</f>
        <v>233.80000000000018</v>
      </c>
      <c r="L19">
        <f>VAR(B4:E8)</f>
        <v>240.36842105263159</v>
      </c>
    </row>
    <row r="20" spans="1:12" x14ac:dyDescent="0.25">
      <c r="G20" t="str">
        <f>A9</f>
        <v>Psychol</v>
      </c>
      <c r="H20" s="183">
        <f>VAR(B9:B13)</f>
        <v>239.5</v>
      </c>
      <c r="I20" s="7">
        <f>VAR(C9:C13)</f>
        <v>291.29999999999995</v>
      </c>
      <c r="J20" s="7">
        <f>VAR(D9:D13)</f>
        <v>347</v>
      </c>
      <c r="K20" s="43">
        <f>VAR(E9:E13)</f>
        <v>58.7</v>
      </c>
      <c r="L20">
        <f>VAR(B9:E13)</f>
        <v>335.98947368421068</v>
      </c>
    </row>
    <row r="21" spans="1:12" x14ac:dyDescent="0.25">
      <c r="G21" t="str">
        <f>A14</f>
        <v>Negot</v>
      </c>
      <c r="H21" s="351">
        <f>VAR(B14:B18)</f>
        <v>347.69999999999982</v>
      </c>
      <c r="I21" s="352">
        <f>VAR(C14:C18)</f>
        <v>375.80000000000018</v>
      </c>
      <c r="J21" s="352">
        <f>VAR(D14:D18)</f>
        <v>53</v>
      </c>
      <c r="K21" s="353">
        <f>VAR(E14:E18)</f>
        <v>22.799999999999997</v>
      </c>
      <c r="L21">
        <f>VAR(B14:E18)</f>
        <v>208.11578947368406</v>
      </c>
    </row>
    <row r="22" spans="1:12" x14ac:dyDescent="0.25">
      <c r="H22">
        <f>VAR(B4:B18)</f>
        <v>296.85714285714283</v>
      </c>
      <c r="I22">
        <f>VAR(C4:C18)</f>
        <v>311.71428571428572</v>
      </c>
      <c r="J22">
        <f>VAR(D4:D18)</f>
        <v>329.39999999999992</v>
      </c>
      <c r="K22">
        <f>VAR(E4:E18)</f>
        <v>203.95238095238113</v>
      </c>
      <c r="L22">
        <f>VAR(B4:E18)</f>
        <v>281.3005649717515</v>
      </c>
    </row>
  </sheetData>
  <pageMargins left="0.7" right="0.7" top="0.75" bottom="0.75" header="0.3" footer="0.3"/>
  <pageSetup paperSize="9" orientation="portrait" verticalDpi="0" r:id="rId1"/>
  <ignoredErrors>
    <ignoredError sqref="H5:K7 H12:K14 H19:K2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W32"/>
  <sheetViews>
    <sheetView workbookViewId="0"/>
  </sheetViews>
  <sheetFormatPr defaultRowHeight="15" x14ac:dyDescent="0.25"/>
  <cols>
    <col min="1" max="9" width="10" customWidth="1"/>
    <col min="13" max="13" width="9.140625" customWidth="1"/>
    <col min="15" max="15" width="16.42578125" customWidth="1"/>
  </cols>
  <sheetData>
    <row r="1" spans="1:23" x14ac:dyDescent="0.25">
      <c r="A1" s="1" t="s">
        <v>1139</v>
      </c>
    </row>
    <row r="2" spans="1:23" x14ac:dyDescent="0.25">
      <c r="K2" s="12" t="s">
        <v>1153</v>
      </c>
      <c r="L2" s="12" t="s">
        <v>1154</v>
      </c>
      <c r="M2" s="12" t="s">
        <v>1155</v>
      </c>
    </row>
    <row r="3" spans="1:23" x14ac:dyDescent="0.25">
      <c r="A3" s="782" t="s">
        <v>1142</v>
      </c>
      <c r="B3" s="783"/>
      <c r="C3" s="783"/>
      <c r="D3" s="782" t="s">
        <v>1140</v>
      </c>
      <c r="E3" s="783"/>
      <c r="F3" s="784"/>
      <c r="G3" s="783" t="s">
        <v>1141</v>
      </c>
      <c r="H3" s="783"/>
      <c r="I3" s="784"/>
      <c r="K3" s="418" t="e">
        <f t="array" aca="1" ref="K3:K32" ca="1">RESHAPE(A5:C14)</f>
        <v>#NAME?</v>
      </c>
      <c r="L3" s="416" t="e">
        <f t="array" aca="1" ref="L3:L32" ca="1">RESHAPE(D5:F14)</f>
        <v>#NAME?</v>
      </c>
      <c r="M3" s="419" t="e">
        <f t="array" aca="1" ref="M3:M32" ca="1">RESHAPE(G5:I14)</f>
        <v>#NAME?</v>
      </c>
      <c r="O3" t="s">
        <v>151</v>
      </c>
    </row>
    <row r="4" spans="1:23" x14ac:dyDescent="0.25">
      <c r="A4" s="261" t="s">
        <v>1143</v>
      </c>
      <c r="B4" s="486" t="s">
        <v>1144</v>
      </c>
      <c r="C4" s="324" t="s">
        <v>1145</v>
      </c>
      <c r="D4" s="261" t="s">
        <v>1146</v>
      </c>
      <c r="E4" s="486" t="s">
        <v>1147</v>
      </c>
      <c r="F4" s="486" t="s">
        <v>1148</v>
      </c>
      <c r="G4" s="261" t="s">
        <v>1149</v>
      </c>
      <c r="H4" s="486" t="s">
        <v>1150</v>
      </c>
      <c r="I4" s="324" t="s">
        <v>1151</v>
      </c>
      <c r="K4" s="214" t="e">
        <f ca="1"/>
        <v>#NAME?</v>
      </c>
      <c r="L4" s="7" t="e">
        <f ca="1"/>
        <v>#NAME?</v>
      </c>
      <c r="M4" s="215" t="e">
        <f ca="1"/>
        <v>#NAME?</v>
      </c>
    </row>
    <row r="5" spans="1:23" ht="15.75" thickBot="1" x14ac:dyDescent="0.3">
      <c r="A5" s="418">
        <v>34</v>
      </c>
      <c r="B5" s="416">
        <v>45</v>
      </c>
      <c r="C5" s="419">
        <v>40</v>
      </c>
      <c r="D5" s="214">
        <v>46</v>
      </c>
      <c r="E5" s="7">
        <v>23</v>
      </c>
      <c r="F5" s="7">
        <v>75</v>
      </c>
      <c r="G5" s="214">
        <v>23</v>
      </c>
      <c r="H5" s="7">
        <v>75</v>
      </c>
      <c r="I5" s="215">
        <v>55</v>
      </c>
      <c r="K5" s="214" t="e">
        <f ca="1"/>
        <v>#NAME?</v>
      </c>
      <c r="L5" s="7" t="e">
        <f ca="1"/>
        <v>#NAME?</v>
      </c>
      <c r="M5" s="215" t="e">
        <f ca="1"/>
        <v>#NAME?</v>
      </c>
      <c r="O5" t="s">
        <v>152</v>
      </c>
      <c r="T5" t="s">
        <v>18</v>
      </c>
      <c r="U5">
        <v>0.05</v>
      </c>
    </row>
    <row r="6" spans="1:23" ht="15.75" thickTop="1" x14ac:dyDescent="0.25">
      <c r="A6" s="214">
        <v>56</v>
      </c>
      <c r="B6" s="7">
        <v>76</v>
      </c>
      <c r="C6" s="215">
        <v>39</v>
      </c>
      <c r="D6" s="214">
        <v>32</v>
      </c>
      <c r="E6" s="25">
        <v>56</v>
      </c>
      <c r="F6" s="7">
        <v>57</v>
      </c>
      <c r="G6" s="238">
        <v>56</v>
      </c>
      <c r="H6" s="7">
        <v>57</v>
      </c>
      <c r="I6" s="215">
        <v>73</v>
      </c>
      <c r="K6" s="214" t="e">
        <f ca="1"/>
        <v>#NAME?</v>
      </c>
      <c r="L6" s="7" t="e">
        <f ca="1"/>
        <v>#NAME?</v>
      </c>
      <c r="M6" s="215" t="e">
        <f ca="1"/>
        <v>#NAME?</v>
      </c>
      <c r="O6" s="386" t="s">
        <v>53</v>
      </c>
      <c r="P6" s="386" t="s">
        <v>12</v>
      </c>
      <c r="Q6" s="386" t="s">
        <v>11</v>
      </c>
      <c r="R6" s="386" t="s">
        <v>9</v>
      </c>
      <c r="S6" s="386" t="s">
        <v>54</v>
      </c>
      <c r="T6" s="386" t="s">
        <v>111</v>
      </c>
      <c r="U6" s="386" t="s">
        <v>40</v>
      </c>
      <c r="V6" s="386" t="s">
        <v>135</v>
      </c>
      <c r="W6" s="386" t="s">
        <v>136</v>
      </c>
    </row>
    <row r="7" spans="1:23" x14ac:dyDescent="0.25">
      <c r="A7" s="214">
        <v>78</v>
      </c>
      <c r="B7" s="7">
        <v>65</v>
      </c>
      <c r="C7" s="215">
        <v>78</v>
      </c>
      <c r="D7" s="214">
        <v>56</v>
      </c>
      <c r="E7" s="25">
        <v>61</v>
      </c>
      <c r="F7" s="7">
        <v>63</v>
      </c>
      <c r="G7" s="238">
        <v>61</v>
      </c>
      <c r="H7" s="7">
        <v>63</v>
      </c>
      <c r="I7" s="215">
        <v>69</v>
      </c>
      <c r="K7" s="214" t="e">
        <f ca="1"/>
        <v>#NAME?</v>
      </c>
      <c r="L7" s="7" t="e">
        <f ca="1"/>
        <v>#NAME?</v>
      </c>
      <c r="M7" s="215" t="e">
        <f ca="1"/>
        <v>#NAME?</v>
      </c>
      <c r="O7" t="str">
        <f>K2</f>
        <v>Conflict</v>
      </c>
      <c r="P7">
        <f ca="1">COUNT(K3:K32)</f>
        <v>0</v>
      </c>
      <c r="Q7" t="e">
        <f ca="1">SUM(K3:K32)</f>
        <v>#NAME?</v>
      </c>
      <c r="R7" t="e">
        <f ca="1">AVERAGE(K3:K32)</f>
        <v>#NAME?</v>
      </c>
      <c r="S7" t="e">
        <f ca="1">VAR(K3:K32)</f>
        <v>#NAME?</v>
      </c>
      <c r="T7" t="e">
        <f ca="1">DEVSQ(K3:K32)</f>
        <v>#NAME?</v>
      </c>
      <c r="U7" t="e">
        <f ca="1">SQRT(R14/P7)</f>
        <v>#NAME?</v>
      </c>
      <c r="V7" t="e">
        <f ca="1">R7-U7*TINV(U5,P7-1)</f>
        <v>#NAME?</v>
      </c>
      <c r="W7" t="e">
        <f ca="1">R7+U7*TINV(U5,P7-1)</f>
        <v>#NAME?</v>
      </c>
    </row>
    <row r="8" spans="1:23" x14ac:dyDescent="0.25">
      <c r="A8" s="214">
        <v>67</v>
      </c>
      <c r="B8" s="25">
        <v>52</v>
      </c>
      <c r="C8" s="215">
        <v>24</v>
      </c>
      <c r="D8" s="214">
        <v>52</v>
      </c>
      <c r="E8" s="25">
        <v>34</v>
      </c>
      <c r="F8" s="7">
        <v>25</v>
      </c>
      <c r="G8" s="238">
        <v>34</v>
      </c>
      <c r="H8" s="7">
        <v>25</v>
      </c>
      <c r="I8" s="215">
        <v>64</v>
      </c>
      <c r="K8" s="214" t="e">
        <f ca="1"/>
        <v>#NAME?</v>
      </c>
      <c r="L8" s="7" t="e">
        <f ca="1"/>
        <v>#NAME?</v>
      </c>
      <c r="M8" s="215" t="e">
        <f ca="1"/>
        <v>#NAME?</v>
      </c>
      <c r="O8" t="str">
        <f>L2</f>
        <v>Psychol</v>
      </c>
      <c r="P8">
        <f ca="1">COUNT(L3:L32)</f>
        <v>0</v>
      </c>
      <c r="Q8" t="e">
        <f ca="1">SUM(L3:L32)</f>
        <v>#NAME?</v>
      </c>
      <c r="R8" t="e">
        <f ca="1">AVERAGE(L3:L32)</f>
        <v>#NAME?</v>
      </c>
      <c r="S8" t="e">
        <f ca="1">VAR(L3:L32)</f>
        <v>#NAME?</v>
      </c>
      <c r="T8" t="e">
        <f ca="1">DEVSQ(L3:L32)</f>
        <v>#NAME?</v>
      </c>
      <c r="U8" t="e">
        <f ca="1">SQRT(R14/P8)</f>
        <v>#NAME?</v>
      </c>
      <c r="V8" t="e">
        <f ca="1">R8-U8*TINV(U5,P8-1)</f>
        <v>#NAME?</v>
      </c>
      <c r="W8" t="e">
        <f ca="1">R8+U8*TINV(U5,P8-1)</f>
        <v>#NAME?</v>
      </c>
    </row>
    <row r="9" spans="1:23" x14ac:dyDescent="0.25">
      <c r="A9" s="214">
        <v>61</v>
      </c>
      <c r="B9" s="25">
        <v>23</v>
      </c>
      <c r="C9" s="215">
        <v>59</v>
      </c>
      <c r="D9" s="214">
        <v>79</v>
      </c>
      <c r="E9" s="25">
        <v>28</v>
      </c>
      <c r="F9" s="7">
        <v>60</v>
      </c>
      <c r="G9" s="238">
        <v>28</v>
      </c>
      <c r="H9" s="7">
        <v>60</v>
      </c>
      <c r="I9" s="215">
        <v>59</v>
      </c>
      <c r="K9" s="214" t="e">
        <f ca="1"/>
        <v>#NAME?</v>
      </c>
      <c r="L9" s="7" t="e">
        <f ca="1"/>
        <v>#NAME?</v>
      </c>
      <c r="M9" s="215" t="e">
        <f ca="1"/>
        <v>#NAME?</v>
      </c>
      <c r="O9" t="str">
        <f>M2</f>
        <v>Negotiat</v>
      </c>
      <c r="P9">
        <f ca="1">COUNT(M3:M32)</f>
        <v>0</v>
      </c>
      <c r="Q9" t="e">
        <f ca="1">SUM(M3:M32)</f>
        <v>#NAME?</v>
      </c>
      <c r="R9" t="e">
        <f ca="1">AVERAGE(M3:M32)</f>
        <v>#NAME?</v>
      </c>
      <c r="S9" t="e">
        <f ca="1">VAR(M3:M32)</f>
        <v>#NAME?</v>
      </c>
      <c r="T9" t="e">
        <f ca="1">DEVSQ(M3:M32)</f>
        <v>#NAME?</v>
      </c>
      <c r="U9" t="e">
        <f ca="1">SQRT(R14/P9)</f>
        <v>#NAME?</v>
      </c>
      <c r="V9" t="e">
        <f ca="1">R9-U9*TINV(U5,P9-1)</f>
        <v>#NAME?</v>
      </c>
      <c r="W9" t="e">
        <f ca="1">R9+U9*TINV(U5,P9-1)</f>
        <v>#NAME?</v>
      </c>
    </row>
    <row r="10" spans="1:23" x14ac:dyDescent="0.25">
      <c r="A10" s="214">
        <v>48</v>
      </c>
      <c r="B10" s="25">
        <v>73</v>
      </c>
      <c r="C10" s="215">
        <v>53</v>
      </c>
      <c r="D10" s="214">
        <v>28</v>
      </c>
      <c r="E10" s="25">
        <v>35</v>
      </c>
      <c r="F10" s="7">
        <v>52</v>
      </c>
      <c r="G10" s="238">
        <v>35</v>
      </c>
      <c r="H10" s="7">
        <v>52</v>
      </c>
      <c r="I10" s="215">
        <v>62</v>
      </c>
      <c r="K10" s="214" t="e">
        <f ca="1"/>
        <v>#NAME?</v>
      </c>
      <c r="L10" s="7" t="e">
        <f ca="1"/>
        <v>#NAME?</v>
      </c>
      <c r="M10" s="215" t="e">
        <f ca="1"/>
        <v>#NAME?</v>
      </c>
      <c r="O10" s="416"/>
      <c r="P10" s="416"/>
      <c r="Q10" s="416"/>
      <c r="R10" s="416"/>
      <c r="S10" s="416"/>
      <c r="T10" s="416"/>
      <c r="U10" s="416"/>
      <c r="V10" s="416"/>
      <c r="W10" s="416"/>
    </row>
    <row r="11" spans="1:23" ht="15.75" thickBot="1" x14ac:dyDescent="0.3">
      <c r="A11" s="214">
        <v>72</v>
      </c>
      <c r="B11" s="25">
        <v>68</v>
      </c>
      <c r="C11" s="215">
        <v>51</v>
      </c>
      <c r="D11" s="214">
        <v>36</v>
      </c>
      <c r="E11" s="25">
        <v>30</v>
      </c>
      <c r="F11" s="7">
        <v>45</v>
      </c>
      <c r="G11" s="238">
        <v>30</v>
      </c>
      <c r="H11" s="7">
        <v>45</v>
      </c>
      <c r="I11" s="215">
        <v>67</v>
      </c>
      <c r="K11" s="214" t="e">
        <f ca="1"/>
        <v>#NAME?</v>
      </c>
      <c r="L11" s="7" t="e">
        <f ca="1"/>
        <v>#NAME?</v>
      </c>
      <c r="M11" s="215" t="e">
        <f ca="1"/>
        <v>#NAME?</v>
      </c>
      <c r="O11" t="s">
        <v>125</v>
      </c>
    </row>
    <row r="12" spans="1:23" ht="15.75" thickTop="1" x14ac:dyDescent="0.25">
      <c r="A12" s="214">
        <v>51</v>
      </c>
      <c r="B12" s="25">
        <v>71</v>
      </c>
      <c r="C12" s="215">
        <v>32</v>
      </c>
      <c r="D12" s="214">
        <v>41</v>
      </c>
      <c r="E12" s="25">
        <v>46</v>
      </c>
      <c r="F12" s="7">
        <v>48</v>
      </c>
      <c r="G12" s="238">
        <v>46</v>
      </c>
      <c r="H12" s="7">
        <v>48</v>
      </c>
      <c r="I12" s="215">
        <v>31</v>
      </c>
      <c r="K12" s="214" t="e">
        <f ca="1"/>
        <v>#NAME?</v>
      </c>
      <c r="L12" s="7" t="e">
        <f ca="1"/>
        <v>#NAME?</v>
      </c>
      <c r="M12" s="215" t="e">
        <f ca="1"/>
        <v>#NAME?</v>
      </c>
      <c r="O12" s="386" t="s">
        <v>153</v>
      </c>
      <c r="P12" s="386" t="s">
        <v>111</v>
      </c>
      <c r="Q12" s="386" t="s">
        <v>41</v>
      </c>
      <c r="R12" s="386" t="s">
        <v>115</v>
      </c>
      <c r="S12" s="386" t="s">
        <v>98</v>
      </c>
      <c r="T12" s="386" t="s">
        <v>154</v>
      </c>
      <c r="U12" s="386" t="s">
        <v>161</v>
      </c>
      <c r="V12" s="386" t="s">
        <v>616</v>
      </c>
      <c r="W12" s="386" t="s">
        <v>617</v>
      </c>
    </row>
    <row r="13" spans="1:23" x14ac:dyDescent="0.25">
      <c r="A13" s="214">
        <v>52</v>
      </c>
      <c r="B13" s="25">
        <v>59</v>
      </c>
      <c r="C13" s="215">
        <v>41</v>
      </c>
      <c r="D13" s="214">
        <v>64</v>
      </c>
      <c r="E13" s="25">
        <v>41</v>
      </c>
      <c r="F13" s="7">
        <v>38</v>
      </c>
      <c r="G13" s="238">
        <v>41</v>
      </c>
      <c r="H13" s="7">
        <v>38</v>
      </c>
      <c r="I13" s="215">
        <v>48</v>
      </c>
      <c r="K13" s="214" t="e">
        <f ca="1"/>
        <v>#NAME?</v>
      </c>
      <c r="L13" s="7" t="e">
        <f ca="1"/>
        <v>#NAME?</v>
      </c>
      <c r="M13" s="215" t="e">
        <f ca="1"/>
        <v>#NAME?</v>
      </c>
      <c r="O13" t="s">
        <v>156</v>
      </c>
      <c r="P13" t="e">
        <f ca="1">P15-P14</f>
        <v>#NAME?</v>
      </c>
      <c r="Q13">
        <f>COUNTA(O7:O9)-1</f>
        <v>2</v>
      </c>
      <c r="R13" t="e">
        <f ca="1">P13/Q13</f>
        <v>#NAME?</v>
      </c>
      <c r="S13" t="e">
        <f ca="1">R13/R14</f>
        <v>#NAME?</v>
      </c>
      <c r="T13" t="e">
        <f ca="1">FDIST(S13,Q13,Q14)</f>
        <v>#NAME?</v>
      </c>
      <c r="U13" t="e">
        <f ca="1">FINV(U5,Q13,Q14)</f>
        <v>#NUM!</v>
      </c>
      <c r="V13" t="e">
        <f ca="1">SQRT(DEVSQ(R7:R9)/(R14*Q13))</f>
        <v>#NAME?</v>
      </c>
      <c r="W13" t="e">
        <f ca="1">(P15-Q15*R14)/(P15+R14)</f>
        <v>#NAME?</v>
      </c>
    </row>
    <row r="14" spans="1:23" x14ac:dyDescent="0.25">
      <c r="A14" s="112">
        <v>60</v>
      </c>
      <c r="B14" s="354">
        <v>80</v>
      </c>
      <c r="C14" s="120">
        <v>45</v>
      </c>
      <c r="D14" s="112">
        <v>37</v>
      </c>
      <c r="E14" s="354">
        <v>34</v>
      </c>
      <c r="F14" s="354">
        <v>26</v>
      </c>
      <c r="G14" s="112">
        <v>34</v>
      </c>
      <c r="H14" s="354">
        <v>26</v>
      </c>
      <c r="I14" s="120">
        <v>75</v>
      </c>
      <c r="K14" s="214" t="e">
        <f ca="1"/>
        <v>#NAME?</v>
      </c>
      <c r="L14" s="7" t="e">
        <f ca="1"/>
        <v>#NAME?</v>
      </c>
      <c r="M14" s="215" t="e">
        <f ca="1"/>
        <v>#NAME?</v>
      </c>
      <c r="O14" t="s">
        <v>157</v>
      </c>
      <c r="P14" t="e">
        <f ca="1">SUM(T7:T9)</f>
        <v>#NAME?</v>
      </c>
      <c r="Q14">
        <f ca="1">Q15-Q13</f>
        <v>-3</v>
      </c>
      <c r="R14" t="e">
        <f ca="1">P14/Q14</f>
        <v>#NAME?</v>
      </c>
    </row>
    <row r="15" spans="1:23" x14ac:dyDescent="0.25">
      <c r="A15">
        <f t="shared" ref="A15:I15" si="0">AVERAGE(A5:A14)</f>
        <v>57.9</v>
      </c>
      <c r="B15">
        <f t="shared" si="0"/>
        <v>61.2</v>
      </c>
      <c r="C15">
        <f t="shared" si="0"/>
        <v>46.2</v>
      </c>
      <c r="D15">
        <f t="shared" si="0"/>
        <v>47.1</v>
      </c>
      <c r="E15">
        <f t="shared" si="0"/>
        <v>38.799999999999997</v>
      </c>
      <c r="F15">
        <f t="shared" si="0"/>
        <v>48.9</v>
      </c>
      <c r="G15">
        <f t="shared" si="0"/>
        <v>38.799999999999997</v>
      </c>
      <c r="H15">
        <f t="shared" si="0"/>
        <v>48.9</v>
      </c>
      <c r="I15">
        <f t="shared" si="0"/>
        <v>60.3</v>
      </c>
      <c r="K15" s="214" t="e">
        <f ca="1"/>
        <v>#NAME?</v>
      </c>
      <c r="L15" s="7" t="e">
        <f ca="1"/>
        <v>#NAME?</v>
      </c>
      <c r="M15" s="215" t="e">
        <f ca="1"/>
        <v>#NAME?</v>
      </c>
      <c r="O15" s="354" t="s">
        <v>1</v>
      </c>
      <c r="P15" s="354" t="e">
        <f ca="1">DEVSQ(K3:M32)</f>
        <v>#NAME?</v>
      </c>
      <c r="Q15" s="354">
        <f ca="1">COUNT(K3:M32)-1</f>
        <v>-1</v>
      </c>
      <c r="R15" s="354" t="e">
        <f ca="1">P15/Q15</f>
        <v>#NAME?</v>
      </c>
      <c r="S15" s="354"/>
      <c r="T15" s="354"/>
      <c r="U15" s="354"/>
      <c r="V15" s="354"/>
      <c r="W15" s="354"/>
    </row>
    <row r="16" spans="1:23" x14ac:dyDescent="0.25">
      <c r="K16" s="214" t="e">
        <f ca="1"/>
        <v>#NAME?</v>
      </c>
      <c r="L16" s="7" t="e">
        <f ca="1"/>
        <v>#NAME?</v>
      </c>
      <c r="M16" s="215" t="e">
        <f ca="1"/>
        <v>#NAME?</v>
      </c>
    </row>
    <row r="17" spans="11:13" x14ac:dyDescent="0.25">
      <c r="K17" s="214" t="e">
        <f ca="1"/>
        <v>#NAME?</v>
      </c>
      <c r="L17" s="7" t="e">
        <f ca="1"/>
        <v>#NAME?</v>
      </c>
      <c r="M17" s="215" t="e">
        <f ca="1"/>
        <v>#NAME?</v>
      </c>
    </row>
    <row r="18" spans="11:13" x14ac:dyDescent="0.25">
      <c r="K18" s="214" t="e">
        <f ca="1"/>
        <v>#NAME?</v>
      </c>
      <c r="L18" s="7" t="e">
        <f ca="1"/>
        <v>#NAME?</v>
      </c>
      <c r="M18" s="215" t="e">
        <f ca="1"/>
        <v>#NAME?</v>
      </c>
    </row>
    <row r="19" spans="11:13" x14ac:dyDescent="0.25">
      <c r="K19" s="214" t="e">
        <f ca="1"/>
        <v>#NAME?</v>
      </c>
      <c r="L19" s="7" t="e">
        <f ca="1"/>
        <v>#NAME?</v>
      </c>
      <c r="M19" s="215" t="e">
        <f ca="1"/>
        <v>#NAME?</v>
      </c>
    </row>
    <row r="20" spans="11:13" x14ac:dyDescent="0.25">
      <c r="K20" s="214" t="e">
        <f ca="1"/>
        <v>#NAME?</v>
      </c>
      <c r="L20" s="7" t="e">
        <f ca="1"/>
        <v>#NAME?</v>
      </c>
      <c r="M20" s="215" t="e">
        <f ca="1"/>
        <v>#NAME?</v>
      </c>
    </row>
    <row r="21" spans="11:13" x14ac:dyDescent="0.25">
      <c r="K21" s="214" t="e">
        <f ca="1"/>
        <v>#NAME?</v>
      </c>
      <c r="L21" s="7" t="e">
        <f ca="1"/>
        <v>#NAME?</v>
      </c>
      <c r="M21" s="215" t="e">
        <f ca="1"/>
        <v>#NAME?</v>
      </c>
    </row>
    <row r="22" spans="11:13" x14ac:dyDescent="0.25">
      <c r="K22" s="214" t="e">
        <f ca="1"/>
        <v>#NAME?</v>
      </c>
      <c r="L22" s="7" t="e">
        <f ca="1"/>
        <v>#NAME?</v>
      </c>
      <c r="M22" s="215" t="e">
        <f ca="1"/>
        <v>#NAME?</v>
      </c>
    </row>
    <row r="23" spans="11:13" x14ac:dyDescent="0.25">
      <c r="K23" s="214" t="e">
        <f ca="1"/>
        <v>#NAME?</v>
      </c>
      <c r="L23" s="7" t="e">
        <f ca="1"/>
        <v>#NAME?</v>
      </c>
      <c r="M23" s="215" t="e">
        <f ca="1"/>
        <v>#NAME?</v>
      </c>
    </row>
    <row r="24" spans="11:13" x14ac:dyDescent="0.25">
      <c r="K24" s="214" t="e">
        <f ca="1"/>
        <v>#NAME?</v>
      </c>
      <c r="L24" s="7" t="e">
        <f ca="1"/>
        <v>#NAME?</v>
      </c>
      <c r="M24" s="215" t="e">
        <f ca="1"/>
        <v>#NAME?</v>
      </c>
    </row>
    <row r="25" spans="11:13" x14ac:dyDescent="0.25">
      <c r="K25" s="214" t="e">
        <f ca="1"/>
        <v>#NAME?</v>
      </c>
      <c r="L25" s="7" t="e">
        <f ca="1"/>
        <v>#NAME?</v>
      </c>
      <c r="M25" s="215" t="e">
        <f ca="1"/>
        <v>#NAME?</v>
      </c>
    </row>
    <row r="26" spans="11:13" x14ac:dyDescent="0.25">
      <c r="K26" s="214" t="e">
        <f ca="1"/>
        <v>#NAME?</v>
      </c>
      <c r="L26" s="7" t="e">
        <f ca="1"/>
        <v>#NAME?</v>
      </c>
      <c r="M26" s="215" t="e">
        <f ca="1"/>
        <v>#NAME?</v>
      </c>
    </row>
    <row r="27" spans="11:13" x14ac:dyDescent="0.25">
      <c r="K27" s="214" t="e">
        <f ca="1"/>
        <v>#NAME?</v>
      </c>
      <c r="L27" s="7" t="e">
        <f ca="1"/>
        <v>#NAME?</v>
      </c>
      <c r="M27" s="215" t="e">
        <f ca="1"/>
        <v>#NAME?</v>
      </c>
    </row>
    <row r="28" spans="11:13" x14ac:dyDescent="0.25">
      <c r="K28" s="214" t="e">
        <f ca="1"/>
        <v>#NAME?</v>
      </c>
      <c r="L28" s="7" t="e">
        <f ca="1"/>
        <v>#NAME?</v>
      </c>
      <c r="M28" s="215" t="e">
        <f ca="1"/>
        <v>#NAME?</v>
      </c>
    </row>
    <row r="29" spans="11:13" x14ac:dyDescent="0.25">
      <c r="K29" s="214" t="e">
        <f ca="1"/>
        <v>#NAME?</v>
      </c>
      <c r="L29" s="7" t="e">
        <f ca="1"/>
        <v>#NAME?</v>
      </c>
      <c r="M29" s="215" t="e">
        <f ca="1"/>
        <v>#NAME?</v>
      </c>
    </row>
    <row r="30" spans="11:13" x14ac:dyDescent="0.25">
      <c r="K30" s="214" t="e">
        <f ca="1"/>
        <v>#NAME?</v>
      </c>
      <c r="L30" s="7" t="e">
        <f ca="1"/>
        <v>#NAME?</v>
      </c>
      <c r="M30" s="215" t="e">
        <f ca="1"/>
        <v>#NAME?</v>
      </c>
    </row>
    <row r="31" spans="11:13" x14ac:dyDescent="0.25">
      <c r="K31" s="214" t="e">
        <f ca="1"/>
        <v>#NAME?</v>
      </c>
      <c r="L31" s="7" t="e">
        <f ca="1"/>
        <v>#NAME?</v>
      </c>
      <c r="M31" s="215" t="e">
        <f ca="1"/>
        <v>#NAME?</v>
      </c>
    </row>
    <row r="32" spans="11:13" x14ac:dyDescent="0.25">
      <c r="K32" s="112" t="e">
        <f ca="1"/>
        <v>#NAME?</v>
      </c>
      <c r="L32" s="354" t="e">
        <f ca="1"/>
        <v>#NAME?</v>
      </c>
      <c r="M32" s="120" t="e">
        <f ca="1"/>
        <v>#NAME?</v>
      </c>
    </row>
  </sheetData>
  <mergeCells count="3">
    <mergeCell ref="A3:C3"/>
    <mergeCell ref="D3:F3"/>
    <mergeCell ref="G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R33"/>
  <sheetViews>
    <sheetView workbookViewId="0"/>
  </sheetViews>
  <sheetFormatPr defaultRowHeight="15" x14ac:dyDescent="0.25"/>
  <cols>
    <col min="6" max="11" width="0" hidden="1" customWidth="1"/>
    <col min="12" max="12" width="10.28515625" customWidth="1"/>
  </cols>
  <sheetData>
    <row r="1" spans="1:18" x14ac:dyDescent="0.25">
      <c r="A1" s="1" t="s">
        <v>1192</v>
      </c>
    </row>
    <row r="3" spans="1:18" x14ac:dyDescent="0.25">
      <c r="B3" s="504" t="s">
        <v>1156</v>
      </c>
      <c r="C3" s="503" t="s">
        <v>1157</v>
      </c>
      <c r="D3" s="505" t="s">
        <v>1158</v>
      </c>
      <c r="F3" t="s">
        <v>13</v>
      </c>
      <c r="L3" t="s">
        <v>823</v>
      </c>
    </row>
    <row r="4" spans="1:18" x14ac:dyDescent="0.25">
      <c r="A4" s="417" t="s">
        <v>1153</v>
      </c>
      <c r="B4" s="418">
        <v>34</v>
      </c>
      <c r="C4" s="416">
        <v>45</v>
      </c>
      <c r="D4" s="419">
        <v>40</v>
      </c>
    </row>
    <row r="5" spans="1:18" ht="15.75" thickBot="1" x14ac:dyDescent="0.3">
      <c r="A5" s="185"/>
      <c r="B5" s="214">
        <v>56</v>
      </c>
      <c r="C5" s="7">
        <v>76</v>
      </c>
      <c r="D5" s="215">
        <v>39</v>
      </c>
      <c r="F5" t="s">
        <v>820</v>
      </c>
      <c r="G5" t="str">
        <f>IF(COUNTIF(G7:I9,G7)=COUNT(G7:I9),"balanced","unbalanced")</f>
        <v>balanced</v>
      </c>
      <c r="L5" t="s">
        <v>125</v>
      </c>
      <c r="P5" s="502" t="s">
        <v>18</v>
      </c>
      <c r="Q5" s="502">
        <v>0.05</v>
      </c>
    </row>
    <row r="6" spans="1:18" ht="15.75" thickTop="1" x14ac:dyDescent="0.25">
      <c r="A6" s="185"/>
      <c r="B6" s="214">
        <v>78</v>
      </c>
      <c r="C6" s="7">
        <v>65</v>
      </c>
      <c r="D6" s="215">
        <v>78</v>
      </c>
      <c r="G6" s="502" t="str">
        <f>B3</f>
        <v>Office A</v>
      </c>
      <c r="H6" s="502" t="str">
        <f>C3</f>
        <v>Office B</v>
      </c>
      <c r="I6" s="502" t="str">
        <f>D3</f>
        <v>Office C</v>
      </c>
      <c r="L6" s="386"/>
      <c r="M6" s="386" t="s">
        <v>111</v>
      </c>
      <c r="N6" s="386" t="s">
        <v>41</v>
      </c>
      <c r="O6" s="386" t="s">
        <v>115</v>
      </c>
      <c r="P6" s="386" t="s">
        <v>98</v>
      </c>
      <c r="Q6" s="386" t="s">
        <v>48</v>
      </c>
      <c r="R6" s="386" t="s">
        <v>164</v>
      </c>
    </row>
    <row r="7" spans="1:18" x14ac:dyDescent="0.25">
      <c r="A7" s="185"/>
      <c r="B7" s="214">
        <v>67</v>
      </c>
      <c r="C7" s="25">
        <v>52</v>
      </c>
      <c r="D7" s="215">
        <v>24</v>
      </c>
      <c r="F7" t="str">
        <f>A4</f>
        <v>Conflict</v>
      </c>
      <c r="G7" s="414">
        <f>COUNT(B4:B13)</f>
        <v>10</v>
      </c>
      <c r="H7" s="358">
        <f>COUNT(C4:C13)</f>
        <v>10</v>
      </c>
      <c r="I7" s="415">
        <f>COUNT(D4:D13)</f>
        <v>10</v>
      </c>
      <c r="J7">
        <f>COUNT(B4:D13)</f>
        <v>30</v>
      </c>
      <c r="L7" t="s">
        <v>99</v>
      </c>
      <c r="M7">
        <f>DEVSQ(J14:J16)*J7</f>
        <v>1559.7555555555568</v>
      </c>
      <c r="N7">
        <f>COUNT(J14:J16)-1</f>
        <v>2</v>
      </c>
      <c r="O7">
        <f>M7/N7</f>
        <v>779.87777777777842</v>
      </c>
      <c r="P7">
        <f>O7/O10</f>
        <v>3.6459503292720257</v>
      </c>
      <c r="Q7">
        <f>FDIST(P7,N7,N10)</f>
        <v>3.0468297868075922E-2</v>
      </c>
      <c r="R7" s="502" t="str">
        <f>IF(Q7&lt;Q5,"yes","no")</f>
        <v>yes</v>
      </c>
    </row>
    <row r="8" spans="1:18" x14ac:dyDescent="0.25">
      <c r="A8" s="185"/>
      <c r="B8" s="214">
        <v>61</v>
      </c>
      <c r="C8" s="25">
        <v>23</v>
      </c>
      <c r="D8" s="215">
        <v>59</v>
      </c>
      <c r="F8" t="str">
        <f>A14</f>
        <v>Psychol</v>
      </c>
      <c r="G8" s="183">
        <f>COUNT(B14:B23)</f>
        <v>10</v>
      </c>
      <c r="H8" s="7">
        <f>COUNT(C14:C23)</f>
        <v>10</v>
      </c>
      <c r="I8" s="43">
        <f>COUNT(D14:D23)</f>
        <v>10</v>
      </c>
      <c r="J8">
        <f>COUNT(B14:D23)</f>
        <v>30</v>
      </c>
      <c r="L8" t="s">
        <v>177</v>
      </c>
      <c r="M8">
        <f>DEVSQ(G17:I17)*G10</f>
        <v>225.35555555555558</v>
      </c>
      <c r="N8">
        <f>COUNT(G17:I17)-1</f>
        <v>2</v>
      </c>
      <c r="O8">
        <f>M8/N8</f>
        <v>112.67777777777779</v>
      </c>
      <c r="P8">
        <f>O8/O10</f>
        <v>0.52677174897986268</v>
      </c>
      <c r="Q8">
        <f>FDIST(P8,N8,N10)</f>
        <v>0.59251719577672746</v>
      </c>
      <c r="R8" s="502" t="str">
        <f>IF(Q8&lt;Q5,"yes","no")</f>
        <v>no</v>
      </c>
    </row>
    <row r="9" spans="1:18" x14ac:dyDescent="0.25">
      <c r="A9" s="185"/>
      <c r="B9" s="214">
        <v>48</v>
      </c>
      <c r="C9" s="25">
        <v>73</v>
      </c>
      <c r="D9" s="215">
        <v>53</v>
      </c>
      <c r="F9" t="str">
        <f>A24</f>
        <v>Negot</v>
      </c>
      <c r="G9" s="351">
        <f>COUNT(B24:B33)</f>
        <v>10</v>
      </c>
      <c r="H9" s="352">
        <f>COUNT(C24:C33)</f>
        <v>10</v>
      </c>
      <c r="I9" s="353">
        <f>COUNT(D24:D33)</f>
        <v>10</v>
      </c>
      <c r="J9">
        <f>COUNT(B24:D33)</f>
        <v>30</v>
      </c>
      <c r="L9" t="s">
        <v>655</v>
      </c>
      <c r="M9">
        <f>M11-M7-M8-M10</f>
        <v>3911.7777777777701</v>
      </c>
      <c r="N9">
        <f>N8*N7</f>
        <v>4</v>
      </c>
      <c r="O9">
        <f>M9/N9</f>
        <v>977.94444444444252</v>
      </c>
      <c r="P9">
        <f>O9/O10</f>
        <v>4.571917511730847</v>
      </c>
      <c r="Q9">
        <f>FDIST(P9,N9,N10)</f>
        <v>2.2219531604923833E-3</v>
      </c>
      <c r="R9" s="502" t="str">
        <f>IF(Q9&lt;Q5,"yes","no")</f>
        <v>yes</v>
      </c>
    </row>
    <row r="10" spans="1:18" x14ac:dyDescent="0.25">
      <c r="A10" s="185"/>
      <c r="B10" s="214">
        <v>72</v>
      </c>
      <c r="C10" s="25">
        <v>68</v>
      </c>
      <c r="D10" s="215">
        <v>51</v>
      </c>
      <c r="G10">
        <f>COUNT(B4:B33)</f>
        <v>30</v>
      </c>
      <c r="H10">
        <f>COUNT(C4:C33)</f>
        <v>30</v>
      </c>
      <c r="I10">
        <f>COUNT(D4:D33)</f>
        <v>30</v>
      </c>
      <c r="J10">
        <f>COUNT(B4:D33)</f>
        <v>90</v>
      </c>
      <c r="L10" t="s">
        <v>178</v>
      </c>
      <c r="M10">
        <f>SUM(G21:I23)*(G7-1)</f>
        <v>17326.100000000002</v>
      </c>
      <c r="N10">
        <f>N11-N7-N8-N9</f>
        <v>81</v>
      </c>
      <c r="O10">
        <f>M10/N10</f>
        <v>213.90246913580251</v>
      </c>
    </row>
    <row r="11" spans="1:18" x14ac:dyDescent="0.25">
      <c r="A11" s="185"/>
      <c r="B11" s="214">
        <v>51</v>
      </c>
      <c r="C11" s="25">
        <v>71</v>
      </c>
      <c r="D11" s="215">
        <v>32</v>
      </c>
      <c r="L11" s="354" t="s">
        <v>1</v>
      </c>
      <c r="M11" s="354">
        <f>O11*N11</f>
        <v>23022.988888888882</v>
      </c>
      <c r="N11" s="354">
        <f>J10-1</f>
        <v>89</v>
      </c>
      <c r="O11" s="354">
        <f>J24</f>
        <v>258.68526841448181</v>
      </c>
      <c r="P11" s="354"/>
      <c r="Q11" s="354"/>
      <c r="R11" s="354"/>
    </row>
    <row r="12" spans="1:18" x14ac:dyDescent="0.25">
      <c r="A12" s="185"/>
      <c r="B12" s="214">
        <v>52</v>
      </c>
      <c r="C12" s="25">
        <v>59</v>
      </c>
      <c r="D12" s="215">
        <v>41</v>
      </c>
      <c r="F12" t="s">
        <v>179</v>
      </c>
    </row>
    <row r="13" spans="1:18" x14ac:dyDescent="0.25">
      <c r="A13" s="185"/>
      <c r="B13" s="112">
        <v>60</v>
      </c>
      <c r="C13" s="354">
        <v>80</v>
      </c>
      <c r="D13" s="120">
        <v>45</v>
      </c>
      <c r="G13" s="502" t="str">
        <f>B3</f>
        <v>Office A</v>
      </c>
      <c r="H13" s="502" t="str">
        <f>C3</f>
        <v>Office B</v>
      </c>
      <c r="I13" s="502" t="str">
        <f>D3</f>
        <v>Office C</v>
      </c>
      <c r="L13" t="s">
        <v>1176</v>
      </c>
    </row>
    <row r="14" spans="1:18" x14ac:dyDescent="0.25">
      <c r="A14" s="417" t="s">
        <v>1154</v>
      </c>
      <c r="B14" s="418">
        <v>46</v>
      </c>
      <c r="C14" s="416">
        <v>23</v>
      </c>
      <c r="D14" s="419">
        <v>75</v>
      </c>
      <c r="F14" t="str">
        <f>A4</f>
        <v>Conflict</v>
      </c>
      <c r="G14" s="414">
        <f>AVERAGE(B4:B13)</f>
        <v>57.9</v>
      </c>
      <c r="H14" s="358">
        <f>AVERAGE(C4:C13)</f>
        <v>61.2</v>
      </c>
      <c r="I14" s="415">
        <f>AVERAGE(D4:D13)</f>
        <v>46.2</v>
      </c>
      <c r="J14">
        <f>AVERAGE(B4:D13)</f>
        <v>55.1</v>
      </c>
    </row>
    <row r="15" spans="1:18" ht="15.75" thickBot="1" x14ac:dyDescent="0.3">
      <c r="A15" s="185"/>
      <c r="B15" s="214">
        <v>32</v>
      </c>
      <c r="C15" s="25">
        <v>56</v>
      </c>
      <c r="D15" s="215">
        <v>57</v>
      </c>
      <c r="F15" t="str">
        <f>A14</f>
        <v>Psychol</v>
      </c>
      <c r="G15" s="183">
        <f>AVERAGE(B14:B23)</f>
        <v>47.1</v>
      </c>
      <c r="H15" s="7">
        <f>AVERAGE(C14:C23)</f>
        <v>38.799999999999997</v>
      </c>
      <c r="I15" s="43">
        <f>AVERAGE(D14:D23)</f>
        <v>48.9</v>
      </c>
      <c r="J15">
        <f>AVERAGE(B14:D23)</f>
        <v>44.93333333333333</v>
      </c>
      <c r="L15" t="s">
        <v>125</v>
      </c>
      <c r="P15" s="502" t="s">
        <v>18</v>
      </c>
      <c r="Q15" s="502">
        <v>0.05</v>
      </c>
    </row>
    <row r="16" spans="1:18" ht="15.75" thickTop="1" x14ac:dyDescent="0.25">
      <c r="A16" s="185"/>
      <c r="B16" s="214">
        <v>56</v>
      </c>
      <c r="C16" s="25">
        <v>61</v>
      </c>
      <c r="D16" s="215">
        <v>63</v>
      </c>
      <c r="F16" t="str">
        <f>A24</f>
        <v>Negot</v>
      </c>
      <c r="G16" s="351">
        <f>AVERAGE(B24:B33)</f>
        <v>38.799999999999997</v>
      </c>
      <c r="H16" s="352">
        <f>AVERAGE(C24:C33)</f>
        <v>48.9</v>
      </c>
      <c r="I16" s="353">
        <f>AVERAGE(D24:D33)</f>
        <v>60.3</v>
      </c>
      <c r="J16">
        <f>AVERAGE(B24:D33)</f>
        <v>49.333333333333336</v>
      </c>
      <c r="L16" s="386"/>
      <c r="M16" s="386" t="s">
        <v>111</v>
      </c>
      <c r="N16" s="386" t="s">
        <v>41</v>
      </c>
      <c r="O16" s="386" t="s">
        <v>115</v>
      </c>
      <c r="P16" s="386" t="s">
        <v>98</v>
      </c>
      <c r="Q16" s="386" t="s">
        <v>48</v>
      </c>
      <c r="R16" s="386" t="s">
        <v>164</v>
      </c>
    </row>
    <row r="17" spans="1:18" x14ac:dyDescent="0.25">
      <c r="A17" s="185"/>
      <c r="B17" s="214">
        <v>52</v>
      </c>
      <c r="C17" s="25">
        <v>34</v>
      </c>
      <c r="D17" s="215">
        <v>25</v>
      </c>
      <c r="G17">
        <f>AVERAGE(B4:B33)</f>
        <v>47.93333333333333</v>
      </c>
      <c r="H17">
        <f>AVERAGE(C4:C33)</f>
        <v>49.633333333333333</v>
      </c>
      <c r="I17">
        <f>AVERAGE(D4:D33)</f>
        <v>51.8</v>
      </c>
      <c r="J17">
        <f>AVERAGE(B4:D33)</f>
        <v>49.788888888888891</v>
      </c>
      <c r="L17" t="s">
        <v>99</v>
      </c>
      <c r="M17">
        <f>M7</f>
        <v>1559.7555555555568</v>
      </c>
      <c r="N17">
        <f>N7</f>
        <v>2</v>
      </c>
      <c r="O17">
        <f>M17/N17</f>
        <v>779.87777777777842</v>
      </c>
      <c r="P17">
        <f>O17/O18</f>
        <v>1.1310408173131183</v>
      </c>
      <c r="Q17">
        <f>FDIST(P17,N17,N18)</f>
        <v>0.38298812278184158</v>
      </c>
      <c r="R17" s="502" t="str">
        <f>IF(Q17&lt;Q15,"yes","no")</f>
        <v>no</v>
      </c>
    </row>
    <row r="18" spans="1:18" x14ac:dyDescent="0.25">
      <c r="A18" s="185"/>
      <c r="B18" s="214">
        <v>79</v>
      </c>
      <c r="C18" s="25">
        <v>28</v>
      </c>
      <c r="D18" s="215">
        <v>60</v>
      </c>
      <c r="L18" t="s">
        <v>1177</v>
      </c>
      <c r="M18">
        <f>M8+M9</f>
        <v>4137.1333333333259</v>
      </c>
      <c r="N18">
        <f>N8+N9</f>
        <v>6</v>
      </c>
      <c r="O18">
        <f>M18/N18</f>
        <v>689.52222222222099</v>
      </c>
      <c r="P18">
        <f>O18/O19</f>
        <v>3.2235355908138525</v>
      </c>
      <c r="Q18">
        <f>FDIST(P18,N18,N19)</f>
        <v>6.8567138371657876E-3</v>
      </c>
      <c r="R18" s="502" t="str">
        <f>IF(Q18&lt;Q15,"yes","no")</f>
        <v>yes</v>
      </c>
    </row>
    <row r="19" spans="1:18" x14ac:dyDescent="0.25">
      <c r="A19" s="185"/>
      <c r="B19" s="214">
        <v>28</v>
      </c>
      <c r="C19" s="25">
        <v>35</v>
      </c>
      <c r="D19" s="215">
        <v>52</v>
      </c>
      <c r="F19" t="s">
        <v>821</v>
      </c>
      <c r="L19" t="s">
        <v>178</v>
      </c>
      <c r="M19">
        <f>M10</f>
        <v>17326.100000000002</v>
      </c>
      <c r="N19">
        <f>N10</f>
        <v>81</v>
      </c>
      <c r="O19">
        <f>M19/N19</f>
        <v>213.90246913580251</v>
      </c>
    </row>
    <row r="20" spans="1:18" x14ac:dyDescent="0.25">
      <c r="A20" s="185"/>
      <c r="B20" s="214">
        <v>36</v>
      </c>
      <c r="C20" s="25">
        <v>30</v>
      </c>
      <c r="D20" s="215">
        <v>45</v>
      </c>
      <c r="G20" s="502" t="str">
        <f>B3</f>
        <v>Office A</v>
      </c>
      <c r="H20" s="502" t="str">
        <f>C3</f>
        <v>Office B</v>
      </c>
      <c r="I20" s="502" t="str">
        <f>D3</f>
        <v>Office C</v>
      </c>
      <c r="L20" s="354" t="s">
        <v>1</v>
      </c>
      <c r="M20" s="354">
        <f>M11</f>
        <v>23022.988888888882</v>
      </c>
      <c r="N20" s="354">
        <f>N11</f>
        <v>89</v>
      </c>
      <c r="O20" s="354">
        <f>M20/N20</f>
        <v>258.68526841448181</v>
      </c>
      <c r="P20" s="354"/>
      <c r="Q20" s="354"/>
      <c r="R20" s="354"/>
    </row>
    <row r="21" spans="1:18" x14ac:dyDescent="0.25">
      <c r="A21" s="185"/>
      <c r="B21" s="214">
        <v>41</v>
      </c>
      <c r="C21" s="25">
        <v>46</v>
      </c>
      <c r="D21" s="215">
        <v>48</v>
      </c>
      <c r="F21" t="str">
        <f>A4</f>
        <v>Conflict</v>
      </c>
      <c r="G21" s="414">
        <f>VAR(B4:B13)</f>
        <v>161.65555555555571</v>
      </c>
      <c r="H21" s="358">
        <f>VAR(C4:C13)</f>
        <v>297.73333333333318</v>
      </c>
      <c r="I21" s="415">
        <f>VAR(D4:D13)</f>
        <v>228.62222222222206</v>
      </c>
      <c r="J21">
        <f>VAR(B4:D13)</f>
        <v>256.36896551724129</v>
      </c>
    </row>
    <row r="22" spans="1:18" x14ac:dyDescent="0.25">
      <c r="A22" s="185"/>
      <c r="B22" s="214">
        <v>64</v>
      </c>
      <c r="C22" s="25">
        <v>41</v>
      </c>
      <c r="D22" s="215">
        <v>38</v>
      </c>
      <c r="F22" t="str">
        <f>A14</f>
        <v>Psychol</v>
      </c>
      <c r="G22" s="183">
        <f>VAR(B14:B23)</f>
        <v>251.43333333333351</v>
      </c>
      <c r="H22" s="7">
        <f>VAR(C14:C23)</f>
        <v>149.95555555555561</v>
      </c>
      <c r="I22" s="43">
        <f>VAR(D14:D23)</f>
        <v>256.54444444444459</v>
      </c>
      <c r="J22">
        <f>VAR(B14:D23)</f>
        <v>224.20229885057478</v>
      </c>
    </row>
    <row r="23" spans="1:18" x14ac:dyDescent="0.25">
      <c r="A23" s="123"/>
      <c r="B23" s="112">
        <v>37</v>
      </c>
      <c r="C23" s="354">
        <v>34</v>
      </c>
      <c r="D23" s="120">
        <v>26</v>
      </c>
      <c r="F23" t="str">
        <f>A24</f>
        <v>Negot</v>
      </c>
      <c r="G23" s="351">
        <f>VAR(B24:B33)</f>
        <v>149.95555555555561</v>
      </c>
      <c r="H23" s="352">
        <f>VAR(C24:C33)</f>
        <v>256.54444444444459</v>
      </c>
      <c r="I23" s="353">
        <f>VAR(D24:D33)</f>
        <v>172.67777777777761</v>
      </c>
      <c r="J23">
        <f>VAR(B24:D33)</f>
        <v>259.54022988505761</v>
      </c>
    </row>
    <row r="24" spans="1:18" x14ac:dyDescent="0.25">
      <c r="A24" s="185" t="s">
        <v>1152</v>
      </c>
      <c r="B24" s="214">
        <v>23</v>
      </c>
      <c r="C24" s="7">
        <v>75</v>
      </c>
      <c r="D24" s="215">
        <v>55</v>
      </c>
      <c r="G24">
        <f>VAR(B4:B33)</f>
        <v>237.99540229885065</v>
      </c>
      <c r="H24">
        <f>VAR(C4:C33)</f>
        <v>305.3436781609193</v>
      </c>
      <c r="I24">
        <f>VAR(D4:D33)</f>
        <v>242.78620689655182</v>
      </c>
      <c r="J24">
        <f>VAR(B4:D33)</f>
        <v>258.68526841448181</v>
      </c>
    </row>
    <row r="25" spans="1:18" x14ac:dyDescent="0.25">
      <c r="A25" s="185"/>
      <c r="B25" s="238">
        <v>56</v>
      </c>
      <c r="C25" s="7">
        <v>57</v>
      </c>
      <c r="D25" s="215">
        <v>73</v>
      </c>
    </row>
    <row r="26" spans="1:18" x14ac:dyDescent="0.25">
      <c r="A26" s="185"/>
      <c r="B26" s="238">
        <v>61</v>
      </c>
      <c r="C26" s="7">
        <v>63</v>
      </c>
      <c r="D26" s="215">
        <v>69</v>
      </c>
    </row>
    <row r="27" spans="1:18" x14ac:dyDescent="0.25">
      <c r="A27" s="185"/>
      <c r="B27" s="238">
        <v>34</v>
      </c>
      <c r="C27" s="7">
        <v>25</v>
      </c>
      <c r="D27" s="215">
        <v>64</v>
      </c>
    </row>
    <row r="28" spans="1:18" x14ac:dyDescent="0.25">
      <c r="A28" s="185"/>
      <c r="B28" s="238">
        <v>28</v>
      </c>
      <c r="C28" s="7">
        <v>60</v>
      </c>
      <c r="D28" s="215">
        <v>59</v>
      </c>
    </row>
    <row r="29" spans="1:18" x14ac:dyDescent="0.25">
      <c r="A29" s="185"/>
      <c r="B29" s="238">
        <v>35</v>
      </c>
      <c r="C29" s="7">
        <v>52</v>
      </c>
      <c r="D29" s="215">
        <v>62</v>
      </c>
    </row>
    <row r="30" spans="1:18" x14ac:dyDescent="0.25">
      <c r="A30" s="185"/>
      <c r="B30" s="238">
        <v>30</v>
      </c>
      <c r="C30" s="7">
        <v>45</v>
      </c>
      <c r="D30" s="215">
        <v>67</v>
      </c>
    </row>
    <row r="31" spans="1:18" x14ac:dyDescent="0.25">
      <c r="A31" s="185"/>
      <c r="B31" s="238">
        <v>46</v>
      </c>
      <c r="C31" s="7">
        <v>48</v>
      </c>
      <c r="D31" s="215">
        <v>31</v>
      </c>
    </row>
    <row r="32" spans="1:18" x14ac:dyDescent="0.25">
      <c r="A32" s="185"/>
      <c r="B32" s="238">
        <v>41</v>
      </c>
      <c r="C32" s="7">
        <v>38</v>
      </c>
      <c r="D32" s="215">
        <v>48</v>
      </c>
    </row>
    <row r="33" spans="1:4" x14ac:dyDescent="0.25">
      <c r="A33" s="123"/>
      <c r="B33" s="112">
        <v>34</v>
      </c>
      <c r="C33" s="354">
        <v>26</v>
      </c>
      <c r="D33" s="120">
        <v>75</v>
      </c>
    </row>
  </sheetData>
  <pageMargins left="0.7" right="0.7" top="0.75" bottom="0.75" header="0.3" footer="0.3"/>
  <ignoredErrors>
    <ignoredError sqref="G7:I23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R33"/>
  <sheetViews>
    <sheetView workbookViewId="0"/>
  </sheetViews>
  <sheetFormatPr defaultRowHeight="15" x14ac:dyDescent="0.25"/>
  <cols>
    <col min="12" max="12" width="13.5703125" customWidth="1"/>
  </cols>
  <sheetData>
    <row r="1" spans="1:18" x14ac:dyDescent="0.25">
      <c r="A1" s="1" t="s">
        <v>1181</v>
      </c>
    </row>
    <row r="3" spans="1:18" x14ac:dyDescent="0.25">
      <c r="B3" s="498" t="s">
        <v>1156</v>
      </c>
      <c r="C3" s="497" t="s">
        <v>1157</v>
      </c>
      <c r="D3" s="499" t="s">
        <v>1158</v>
      </c>
      <c r="F3" t="s">
        <v>13</v>
      </c>
      <c r="L3" t="s">
        <v>1176</v>
      </c>
    </row>
    <row r="4" spans="1:18" x14ac:dyDescent="0.25">
      <c r="A4" s="417" t="s">
        <v>1153</v>
      </c>
      <c r="B4" s="418">
        <v>34</v>
      </c>
      <c r="C4" s="416">
        <v>45</v>
      </c>
      <c r="D4" s="419">
        <v>40</v>
      </c>
    </row>
    <row r="5" spans="1:18" ht="15.75" thickBot="1" x14ac:dyDescent="0.3">
      <c r="A5" s="185"/>
      <c r="B5" s="214">
        <v>56</v>
      </c>
      <c r="C5" s="7">
        <v>76</v>
      </c>
      <c r="D5" s="215">
        <v>39</v>
      </c>
      <c r="F5" t="s">
        <v>820</v>
      </c>
      <c r="G5" t="str">
        <f>IF(COUNTIF(G7:I9,G7)=COUNT(G7:I9),"balanced","unbalanced")</f>
        <v>balanced</v>
      </c>
      <c r="L5" t="s">
        <v>125</v>
      </c>
      <c r="P5" s="496" t="s">
        <v>18</v>
      </c>
      <c r="Q5" s="496">
        <v>0.05</v>
      </c>
    </row>
    <row r="6" spans="1:18" ht="15.75" thickTop="1" x14ac:dyDescent="0.25">
      <c r="A6" s="185"/>
      <c r="B6" s="214">
        <v>78</v>
      </c>
      <c r="C6" s="7">
        <v>65</v>
      </c>
      <c r="D6" s="215">
        <v>78</v>
      </c>
      <c r="G6" s="496" t="str">
        <f>B3</f>
        <v>Office A</v>
      </c>
      <c r="H6" s="496" t="str">
        <f>C3</f>
        <v>Office B</v>
      </c>
      <c r="I6" s="496" t="str">
        <f>D3</f>
        <v>Office C</v>
      </c>
      <c r="L6" s="386"/>
      <c r="M6" s="386" t="s">
        <v>111</v>
      </c>
      <c r="N6" s="386" t="s">
        <v>41</v>
      </c>
      <c r="O6" s="386" t="s">
        <v>115</v>
      </c>
      <c r="P6" s="386" t="s">
        <v>98</v>
      </c>
      <c r="Q6" s="386" t="s">
        <v>48</v>
      </c>
      <c r="R6" s="386" t="s">
        <v>164</v>
      </c>
    </row>
    <row r="7" spans="1:18" x14ac:dyDescent="0.25">
      <c r="A7" s="185"/>
      <c r="B7" s="214">
        <v>67</v>
      </c>
      <c r="C7" s="25">
        <v>52</v>
      </c>
      <c r="D7" s="215">
        <v>24</v>
      </c>
      <c r="F7" t="str">
        <f>A4</f>
        <v>Conflict</v>
      </c>
      <c r="G7" s="414">
        <f>COUNT(B4:B13)</f>
        <v>10</v>
      </c>
      <c r="H7" s="358">
        <f>COUNT(C4:C13)</f>
        <v>10</v>
      </c>
      <c r="I7" s="415">
        <f>COUNT(D4:D13)</f>
        <v>10</v>
      </c>
      <c r="J7">
        <f>COUNT(B4:D13)</f>
        <v>30</v>
      </c>
      <c r="L7" t="s">
        <v>99</v>
      </c>
      <c r="M7">
        <f>DEVSQ(J14:J16)*J7</f>
        <v>1559.7555555555568</v>
      </c>
      <c r="N7">
        <f>COUNT(J14:J16)-1</f>
        <v>2</v>
      </c>
      <c r="O7">
        <f>M7/N7</f>
        <v>779.87777777777842</v>
      </c>
      <c r="P7">
        <f>O7/O8</f>
        <v>1.1310408173131188</v>
      </c>
      <c r="Q7">
        <f>FDIST(P7,N7,N8)</f>
        <v>0.38298812278184119</v>
      </c>
      <c r="R7" s="496" t="str">
        <f>IF(Q7&lt;Q5,"yes","no")</f>
        <v>no</v>
      </c>
    </row>
    <row r="8" spans="1:18" x14ac:dyDescent="0.25">
      <c r="A8" s="185"/>
      <c r="B8" s="214">
        <v>61</v>
      </c>
      <c r="C8" s="25">
        <v>23</v>
      </c>
      <c r="D8" s="215">
        <v>59</v>
      </c>
      <c r="F8" t="str">
        <f>A14</f>
        <v>Psychol</v>
      </c>
      <c r="G8" s="183">
        <f>COUNT(B14:B23)</f>
        <v>10</v>
      </c>
      <c r="H8" s="7">
        <f>COUNT(C14:C23)</f>
        <v>10</v>
      </c>
      <c r="I8" s="43">
        <f>COUNT(D14:D23)</f>
        <v>10</v>
      </c>
      <c r="J8">
        <f>COUNT(B14:D23)</f>
        <v>30</v>
      </c>
      <c r="L8" t="s">
        <v>1177</v>
      </c>
      <c r="M8">
        <f>M10-M7-M9</f>
        <v>4137.1333333333241</v>
      </c>
      <c r="N8">
        <f>(COUNT(G17:I17)-1)*(N7+1)</f>
        <v>6</v>
      </c>
      <c r="O8">
        <f>M8/N8</f>
        <v>689.52222222222065</v>
      </c>
      <c r="P8">
        <f>O8/O9</f>
        <v>3.2235355908138508</v>
      </c>
      <c r="Q8">
        <f>FDIST(P8,N8,N9)</f>
        <v>6.8567138371658093E-3</v>
      </c>
      <c r="R8" s="496" t="str">
        <f>IF(Q8&lt;Q5,"yes","no")</f>
        <v>yes</v>
      </c>
    </row>
    <row r="9" spans="1:18" x14ac:dyDescent="0.25">
      <c r="A9" s="185"/>
      <c r="B9" s="214">
        <v>48</v>
      </c>
      <c r="C9" s="25">
        <v>73</v>
      </c>
      <c r="D9" s="215">
        <v>53</v>
      </c>
      <c r="F9" t="str">
        <f>A24</f>
        <v>Negot</v>
      </c>
      <c r="G9" s="351">
        <f>COUNT(B24:B33)</f>
        <v>10</v>
      </c>
      <c r="H9" s="352">
        <f>COUNT(C24:C33)</f>
        <v>10</v>
      </c>
      <c r="I9" s="353">
        <f>COUNT(D24:D33)</f>
        <v>10</v>
      </c>
      <c r="J9">
        <f>COUNT(B24:D33)</f>
        <v>30</v>
      </c>
      <c r="L9" t="s">
        <v>178</v>
      </c>
      <c r="M9">
        <f>SUM(G21:I23)*(G7-1)</f>
        <v>17326.100000000002</v>
      </c>
      <c r="N9">
        <f>N10-N7-N8</f>
        <v>81</v>
      </c>
      <c r="O9">
        <f>M9/N9</f>
        <v>213.90246913580251</v>
      </c>
    </row>
    <row r="10" spans="1:18" x14ac:dyDescent="0.25">
      <c r="A10" s="185"/>
      <c r="B10" s="214">
        <v>72</v>
      </c>
      <c r="C10" s="25">
        <v>68</v>
      </c>
      <c r="D10" s="215">
        <v>51</v>
      </c>
      <c r="G10">
        <f>COUNT(B4:B33)</f>
        <v>30</v>
      </c>
      <c r="H10">
        <f>COUNT(C4:C33)</f>
        <v>30</v>
      </c>
      <c r="I10">
        <f>COUNT(D4:D33)</f>
        <v>30</v>
      </c>
      <c r="J10">
        <f>COUNT(B4:D33)</f>
        <v>90</v>
      </c>
      <c r="L10" s="354" t="s">
        <v>1</v>
      </c>
      <c r="M10" s="354">
        <f>O10*N10</f>
        <v>23022.988888888882</v>
      </c>
      <c r="N10" s="354">
        <f>J10-1</f>
        <v>89</v>
      </c>
      <c r="O10" s="354">
        <f>J24</f>
        <v>258.68526841448181</v>
      </c>
      <c r="P10" s="354"/>
      <c r="Q10" s="354"/>
      <c r="R10" s="354"/>
    </row>
    <row r="11" spans="1:18" x14ac:dyDescent="0.25">
      <c r="A11" s="185"/>
      <c r="B11" s="214">
        <v>51</v>
      </c>
      <c r="C11" s="25">
        <v>71</v>
      </c>
      <c r="D11" s="215">
        <v>32</v>
      </c>
    </row>
    <row r="12" spans="1:18" x14ac:dyDescent="0.25">
      <c r="A12" s="185"/>
      <c r="B12" s="214">
        <v>52</v>
      </c>
      <c r="C12" s="25">
        <v>59</v>
      </c>
      <c r="D12" s="215">
        <v>41</v>
      </c>
      <c r="F12" t="s">
        <v>179</v>
      </c>
    </row>
    <row r="13" spans="1:18" x14ac:dyDescent="0.25">
      <c r="A13" s="185"/>
      <c r="B13" s="112">
        <v>60</v>
      </c>
      <c r="C13" s="354">
        <v>80</v>
      </c>
      <c r="D13" s="120">
        <v>45</v>
      </c>
      <c r="G13" s="496" t="str">
        <f>B3</f>
        <v>Office A</v>
      </c>
      <c r="H13" s="496" t="str">
        <f>C3</f>
        <v>Office B</v>
      </c>
      <c r="I13" s="496" t="str">
        <f>D3</f>
        <v>Office C</v>
      </c>
    </row>
    <row r="14" spans="1:18" x14ac:dyDescent="0.25">
      <c r="A14" s="417" t="s">
        <v>1154</v>
      </c>
      <c r="B14" s="418">
        <v>46</v>
      </c>
      <c r="C14" s="416">
        <v>23</v>
      </c>
      <c r="D14" s="419">
        <v>75</v>
      </c>
      <c r="F14" t="str">
        <f>A4</f>
        <v>Conflict</v>
      </c>
      <c r="G14" s="414">
        <f>AVERAGE(B4:B13)</f>
        <v>57.9</v>
      </c>
      <c r="H14" s="358">
        <f>AVERAGE(C4:C13)</f>
        <v>61.2</v>
      </c>
      <c r="I14" s="415">
        <f>AVERAGE(D4:D13)</f>
        <v>46.2</v>
      </c>
      <c r="J14">
        <f>AVERAGE(B4:D13)</f>
        <v>55.1</v>
      </c>
    </row>
    <row r="15" spans="1:18" x14ac:dyDescent="0.25">
      <c r="A15" s="185"/>
      <c r="B15" s="214">
        <v>32</v>
      </c>
      <c r="C15" s="25">
        <v>56</v>
      </c>
      <c r="D15" s="215">
        <v>57</v>
      </c>
      <c r="F15" t="str">
        <f>A14</f>
        <v>Psychol</v>
      </c>
      <c r="G15" s="183">
        <f>AVERAGE(B14:B23)</f>
        <v>47.1</v>
      </c>
      <c r="H15" s="7">
        <f>AVERAGE(C14:C23)</f>
        <v>38.799999999999997</v>
      </c>
      <c r="I15" s="43">
        <f>AVERAGE(D14:D23)</f>
        <v>48.9</v>
      </c>
      <c r="J15">
        <f>AVERAGE(B14:D23)</f>
        <v>44.93333333333333</v>
      </c>
    </row>
    <row r="16" spans="1:18" x14ac:dyDescent="0.25">
      <c r="A16" s="185"/>
      <c r="B16" s="214">
        <v>56</v>
      </c>
      <c r="C16" s="25">
        <v>61</v>
      </c>
      <c r="D16" s="215">
        <v>63</v>
      </c>
      <c r="F16" t="str">
        <f>A24</f>
        <v>Negot</v>
      </c>
      <c r="G16" s="351">
        <f>AVERAGE(B24:B33)</f>
        <v>38.799999999999997</v>
      </c>
      <c r="H16" s="352">
        <f>AVERAGE(C24:C33)</f>
        <v>48.9</v>
      </c>
      <c r="I16" s="353">
        <f>AVERAGE(D24:D33)</f>
        <v>60.3</v>
      </c>
      <c r="J16">
        <f>AVERAGE(B24:D33)</f>
        <v>49.333333333333336</v>
      </c>
    </row>
    <row r="17" spans="1:10" x14ac:dyDescent="0.25">
      <c r="A17" s="185"/>
      <c r="B17" s="214">
        <v>52</v>
      </c>
      <c r="C17" s="25">
        <v>34</v>
      </c>
      <c r="D17" s="215">
        <v>25</v>
      </c>
      <c r="G17">
        <f>AVERAGE(B4:B33)</f>
        <v>47.93333333333333</v>
      </c>
      <c r="H17">
        <f>AVERAGE(C4:C33)</f>
        <v>49.633333333333333</v>
      </c>
      <c r="I17">
        <f>AVERAGE(D4:D33)</f>
        <v>51.8</v>
      </c>
      <c r="J17">
        <f>AVERAGE(B4:D33)</f>
        <v>49.788888888888891</v>
      </c>
    </row>
    <row r="18" spans="1:10" x14ac:dyDescent="0.25">
      <c r="A18" s="185"/>
      <c r="B18" s="214">
        <v>79</v>
      </c>
      <c r="C18" s="25">
        <v>28</v>
      </c>
      <c r="D18" s="215">
        <v>60</v>
      </c>
    </row>
    <row r="19" spans="1:10" x14ac:dyDescent="0.25">
      <c r="A19" s="185"/>
      <c r="B19" s="214">
        <v>28</v>
      </c>
      <c r="C19" s="25">
        <v>35</v>
      </c>
      <c r="D19" s="215">
        <v>52</v>
      </c>
      <c r="F19" t="s">
        <v>821</v>
      </c>
    </row>
    <row r="20" spans="1:10" x14ac:dyDescent="0.25">
      <c r="A20" s="185"/>
      <c r="B20" s="214">
        <v>36</v>
      </c>
      <c r="C20" s="25">
        <v>30</v>
      </c>
      <c r="D20" s="215">
        <v>45</v>
      </c>
      <c r="G20" s="496" t="str">
        <f>B3</f>
        <v>Office A</v>
      </c>
      <c r="H20" s="496" t="str">
        <f>C3</f>
        <v>Office B</v>
      </c>
      <c r="I20" s="496" t="str">
        <f>D3</f>
        <v>Office C</v>
      </c>
    </row>
    <row r="21" spans="1:10" x14ac:dyDescent="0.25">
      <c r="A21" s="185"/>
      <c r="B21" s="214">
        <v>41</v>
      </c>
      <c r="C21" s="25">
        <v>46</v>
      </c>
      <c r="D21" s="215">
        <v>48</v>
      </c>
      <c r="F21" t="str">
        <f>A4</f>
        <v>Conflict</v>
      </c>
      <c r="G21" s="414">
        <f>VAR(B4:B13)</f>
        <v>161.65555555555571</v>
      </c>
      <c r="H21" s="358">
        <f>VAR(C4:C13)</f>
        <v>297.73333333333318</v>
      </c>
      <c r="I21" s="415">
        <f>VAR(D4:D13)</f>
        <v>228.62222222222206</v>
      </c>
      <c r="J21">
        <f>VAR(B4:D13)</f>
        <v>256.36896551724129</v>
      </c>
    </row>
    <row r="22" spans="1:10" x14ac:dyDescent="0.25">
      <c r="A22" s="185"/>
      <c r="B22" s="214">
        <v>64</v>
      </c>
      <c r="C22" s="25">
        <v>41</v>
      </c>
      <c r="D22" s="215">
        <v>38</v>
      </c>
      <c r="F22" t="str">
        <f>A14</f>
        <v>Psychol</v>
      </c>
      <c r="G22" s="183">
        <f>VAR(B14:B23)</f>
        <v>251.43333333333351</v>
      </c>
      <c r="H22" s="7">
        <f>VAR(C14:C23)</f>
        <v>149.95555555555561</v>
      </c>
      <c r="I22" s="43">
        <f>VAR(D14:D23)</f>
        <v>256.54444444444459</v>
      </c>
      <c r="J22">
        <f>VAR(B14:D23)</f>
        <v>224.20229885057478</v>
      </c>
    </row>
    <row r="23" spans="1:10" x14ac:dyDescent="0.25">
      <c r="A23" s="123"/>
      <c r="B23" s="112">
        <v>37</v>
      </c>
      <c r="C23" s="354">
        <v>34</v>
      </c>
      <c r="D23" s="120">
        <v>26</v>
      </c>
      <c r="F23" t="str">
        <f>A24</f>
        <v>Negot</v>
      </c>
      <c r="G23" s="351">
        <f>VAR(B24:B33)</f>
        <v>149.95555555555561</v>
      </c>
      <c r="H23" s="352">
        <f>VAR(C24:C33)</f>
        <v>256.54444444444459</v>
      </c>
      <c r="I23" s="353">
        <f>VAR(D24:D33)</f>
        <v>172.67777777777761</v>
      </c>
      <c r="J23">
        <f>VAR(B24:D33)</f>
        <v>259.54022988505761</v>
      </c>
    </row>
    <row r="24" spans="1:10" x14ac:dyDescent="0.25">
      <c r="A24" s="185" t="s">
        <v>1152</v>
      </c>
      <c r="B24" s="214">
        <v>23</v>
      </c>
      <c r="C24" s="7">
        <v>75</v>
      </c>
      <c r="D24" s="215">
        <v>55</v>
      </c>
      <c r="G24">
        <f>VAR(B4:B33)</f>
        <v>237.99540229885065</v>
      </c>
      <c r="H24">
        <f>VAR(C4:C33)</f>
        <v>305.3436781609193</v>
      </c>
      <c r="I24">
        <f>VAR(D4:D33)</f>
        <v>242.78620689655182</v>
      </c>
      <c r="J24">
        <f>VAR(B4:D33)</f>
        <v>258.68526841448181</v>
      </c>
    </row>
    <row r="25" spans="1:10" x14ac:dyDescent="0.25">
      <c r="A25" s="185"/>
      <c r="B25" s="238">
        <v>56</v>
      </c>
      <c r="C25" s="7">
        <v>57</v>
      </c>
      <c r="D25" s="215">
        <v>73</v>
      </c>
    </row>
    <row r="26" spans="1:10" x14ac:dyDescent="0.25">
      <c r="A26" s="185"/>
      <c r="B26" s="238">
        <v>61</v>
      </c>
      <c r="C26" s="7">
        <v>63</v>
      </c>
      <c r="D26" s="215">
        <v>69</v>
      </c>
    </row>
    <row r="27" spans="1:10" x14ac:dyDescent="0.25">
      <c r="A27" s="185"/>
      <c r="B27" s="238">
        <v>34</v>
      </c>
      <c r="C27" s="7">
        <v>25</v>
      </c>
      <c r="D27" s="215">
        <v>64</v>
      </c>
    </row>
    <row r="28" spans="1:10" x14ac:dyDescent="0.25">
      <c r="A28" s="185"/>
      <c r="B28" s="238">
        <v>28</v>
      </c>
      <c r="C28" s="7">
        <v>60</v>
      </c>
      <c r="D28" s="215">
        <v>59</v>
      </c>
    </row>
    <row r="29" spans="1:10" x14ac:dyDescent="0.25">
      <c r="A29" s="185"/>
      <c r="B29" s="238">
        <v>35</v>
      </c>
      <c r="C29" s="7">
        <v>52</v>
      </c>
      <c r="D29" s="215">
        <v>62</v>
      </c>
    </row>
    <row r="30" spans="1:10" x14ac:dyDescent="0.25">
      <c r="A30" s="185"/>
      <c r="B30" s="238">
        <v>30</v>
      </c>
      <c r="C30" s="7">
        <v>45</v>
      </c>
      <c r="D30" s="215">
        <v>67</v>
      </c>
    </row>
    <row r="31" spans="1:10" x14ac:dyDescent="0.25">
      <c r="A31" s="185"/>
      <c r="B31" s="238">
        <v>46</v>
      </c>
      <c r="C31" s="7">
        <v>48</v>
      </c>
      <c r="D31" s="215">
        <v>31</v>
      </c>
    </row>
    <row r="32" spans="1:10" x14ac:dyDescent="0.25">
      <c r="A32" s="185"/>
      <c r="B32" s="238">
        <v>41</v>
      </c>
      <c r="C32" s="7">
        <v>38</v>
      </c>
      <c r="D32" s="215">
        <v>48</v>
      </c>
    </row>
    <row r="33" spans="1:4" x14ac:dyDescent="0.25">
      <c r="A33" s="123"/>
      <c r="B33" s="112">
        <v>34</v>
      </c>
      <c r="C33" s="354">
        <v>26</v>
      </c>
      <c r="D33" s="120">
        <v>75</v>
      </c>
    </row>
  </sheetData>
  <pageMargins left="0.7" right="0.7" top="0.75" bottom="0.75" header="0.3" footer="0.3"/>
  <ignoredErrors>
    <ignoredError sqref="G7:I9 G14:I17 G21:I23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V47"/>
  <sheetViews>
    <sheetView workbookViewId="0"/>
  </sheetViews>
  <sheetFormatPr defaultRowHeight="15" x14ac:dyDescent="0.25"/>
  <cols>
    <col min="3" max="3" width="5.85546875" customWidth="1"/>
    <col min="9" max="9" width="5.85546875" customWidth="1"/>
    <col min="15" max="15" width="5.85546875" customWidth="1"/>
  </cols>
  <sheetData>
    <row r="1" spans="1:22" x14ac:dyDescent="0.25">
      <c r="A1" s="1" t="s">
        <v>1175</v>
      </c>
    </row>
    <row r="3" spans="1:22" x14ac:dyDescent="0.25">
      <c r="A3" s="418" t="s">
        <v>1153</v>
      </c>
      <c r="B3" s="416" t="s">
        <v>1143</v>
      </c>
      <c r="C3" s="419">
        <v>34</v>
      </c>
      <c r="E3" t="s">
        <v>824</v>
      </c>
      <c r="J3" t="s">
        <v>13</v>
      </c>
      <c r="P3" t="s">
        <v>1176</v>
      </c>
    </row>
    <row r="4" spans="1:22" x14ac:dyDescent="0.25">
      <c r="A4" s="214" t="s">
        <v>1153</v>
      </c>
      <c r="B4" s="7" t="s">
        <v>1143</v>
      </c>
      <c r="C4" s="215">
        <v>56</v>
      </c>
    </row>
    <row r="5" spans="1:22" ht="15.75" thickBot="1" x14ac:dyDescent="0.3">
      <c r="A5" s="214" t="s">
        <v>1153</v>
      </c>
      <c r="B5" s="7" t="s">
        <v>1143</v>
      </c>
      <c r="C5" s="215">
        <v>78</v>
      </c>
      <c r="E5" s="480" t="e">
        <f t="array" aca="1" ref="E5:H20" ca="1">StdNested(A3:C47)</f>
        <v>#NAME?</v>
      </c>
      <c r="F5" s="480" t="e">
        <f ca="1"/>
        <v>#NAME?</v>
      </c>
      <c r="G5" s="480" t="e">
        <f ca="1"/>
        <v>#NAME?</v>
      </c>
      <c r="H5" s="480" t="e">
        <f ca="1"/>
        <v>#NAME?</v>
      </c>
      <c r="J5" t="s">
        <v>820</v>
      </c>
      <c r="K5" t="str">
        <f ca="1">IF(COUNTIF(K7:M9,K7)=COUNT(K7:M9),"balanced","unbalanced")</f>
        <v>balanced</v>
      </c>
      <c r="P5" t="s">
        <v>125</v>
      </c>
      <c r="T5" s="496" t="s">
        <v>18</v>
      </c>
      <c r="U5" s="496">
        <v>0.05</v>
      </c>
    </row>
    <row r="6" spans="1:22" ht="15.75" thickTop="1" x14ac:dyDescent="0.25">
      <c r="A6" s="214" t="s">
        <v>1153</v>
      </c>
      <c r="B6" s="7" t="s">
        <v>1143</v>
      </c>
      <c r="C6" s="215">
        <v>67</v>
      </c>
      <c r="E6" s="480" t="e">
        <f ca="1"/>
        <v>#NAME?</v>
      </c>
      <c r="F6" s="480" t="e">
        <f ca="1"/>
        <v>#NAME?</v>
      </c>
      <c r="G6" s="480" t="e">
        <f ca="1"/>
        <v>#NAME?</v>
      </c>
      <c r="H6" s="480" t="e">
        <f ca="1"/>
        <v>#NAME?</v>
      </c>
      <c r="K6" s="496" t="e">
        <f ca="1">F5</f>
        <v>#NAME?</v>
      </c>
      <c r="L6" s="496" t="e">
        <f ca="1">G5</f>
        <v>#NAME?</v>
      </c>
      <c r="M6" s="496" t="e">
        <f ca="1">H5</f>
        <v>#NAME?</v>
      </c>
      <c r="P6" s="386"/>
      <c r="Q6" s="386" t="s">
        <v>111</v>
      </c>
      <c r="R6" s="386" t="s">
        <v>41</v>
      </c>
      <c r="S6" s="386" t="s">
        <v>115</v>
      </c>
      <c r="T6" s="386" t="s">
        <v>98</v>
      </c>
      <c r="U6" s="386" t="s">
        <v>48</v>
      </c>
      <c r="V6" s="386" t="s">
        <v>164</v>
      </c>
    </row>
    <row r="7" spans="1:22" x14ac:dyDescent="0.25">
      <c r="A7" s="214" t="s">
        <v>1153</v>
      </c>
      <c r="B7" s="7" t="s">
        <v>1143</v>
      </c>
      <c r="C7" s="215">
        <v>61</v>
      </c>
      <c r="E7" s="322" t="e">
        <f ca="1"/>
        <v>#NAME?</v>
      </c>
      <c r="F7" s="322" t="e">
        <f ca="1"/>
        <v>#NAME?</v>
      </c>
      <c r="G7" s="322" t="e">
        <f ca="1"/>
        <v>#NAME?</v>
      </c>
      <c r="H7" s="322" t="e">
        <f ca="1"/>
        <v>#NAME?</v>
      </c>
      <c r="J7" t="e">
        <f ca="1">E6</f>
        <v>#NAME?</v>
      </c>
      <c r="K7" s="414">
        <f ca="1">COUNT(F6:F10)</f>
        <v>0</v>
      </c>
      <c r="L7" s="358">
        <f ca="1">COUNT(G6:G10)</f>
        <v>0</v>
      </c>
      <c r="M7" s="415">
        <f ca="1">COUNT(H6:H10)</f>
        <v>0</v>
      </c>
      <c r="N7">
        <f ca="1">COUNT(F6:H10)</f>
        <v>0</v>
      </c>
      <c r="P7" t="s">
        <v>99</v>
      </c>
      <c r="Q7" t="e">
        <f ca="1">DEVSQ(N14:N16)*N7</f>
        <v>#NAME?</v>
      </c>
      <c r="R7">
        <f ca="1">COUNT(N14:N16)-1</f>
        <v>-1</v>
      </c>
      <c r="S7" t="e">
        <f ca="1">Q7/R7</f>
        <v>#NAME?</v>
      </c>
      <c r="T7" t="e">
        <f ca="1">S7/S8</f>
        <v>#NAME?</v>
      </c>
      <c r="U7" t="e">
        <f ca="1">FDIST(T7,R7,R8)</f>
        <v>#NAME?</v>
      </c>
      <c r="V7" s="496" t="e">
        <f ca="1">IF(U7&lt;U5,"yes","no")</f>
        <v>#NAME?</v>
      </c>
    </row>
    <row r="8" spans="1:22" x14ac:dyDescent="0.25">
      <c r="A8" s="214" t="s">
        <v>1153</v>
      </c>
      <c r="B8" s="7" t="s">
        <v>1144</v>
      </c>
      <c r="C8" s="215">
        <v>45</v>
      </c>
      <c r="E8" s="322" t="e">
        <f ca="1"/>
        <v>#NAME?</v>
      </c>
      <c r="F8" s="322" t="e">
        <f ca="1"/>
        <v>#NAME?</v>
      </c>
      <c r="G8" s="322" t="e">
        <f ca="1"/>
        <v>#NAME?</v>
      </c>
      <c r="H8" s="322" t="e">
        <f ca="1"/>
        <v>#NAME?</v>
      </c>
      <c r="J8" t="e">
        <f ca="1">E11</f>
        <v>#NAME?</v>
      </c>
      <c r="K8" s="183">
        <f ca="1">COUNT(F11:F15)</f>
        <v>0</v>
      </c>
      <c r="L8" s="7">
        <f ca="1">COUNT(G11:G15)</f>
        <v>0</v>
      </c>
      <c r="M8" s="43">
        <f ca="1">COUNT(H11:H15)</f>
        <v>0</v>
      </c>
      <c r="N8">
        <f ca="1">COUNT(F11:H15)</f>
        <v>0</v>
      </c>
      <c r="P8" t="s">
        <v>1177</v>
      </c>
      <c r="Q8" t="e">
        <f ca="1">Q10-Q7-Q9</f>
        <v>#NAME?</v>
      </c>
      <c r="R8">
        <f ca="1">(COUNT(K17:M17)-1)*(R7+1)</f>
        <v>0</v>
      </c>
      <c r="S8" t="e">
        <f ca="1">Q8/R8</f>
        <v>#NAME?</v>
      </c>
      <c r="T8" t="e">
        <f ca="1">S8/S9</f>
        <v>#NAME?</v>
      </c>
      <c r="U8" t="e">
        <f ca="1">FDIST(T8,R8,R9)</f>
        <v>#NAME?</v>
      </c>
      <c r="V8" s="496" t="e">
        <f ca="1">IF(U8&lt;U5,"yes","no")</f>
        <v>#NAME?</v>
      </c>
    </row>
    <row r="9" spans="1:22" x14ac:dyDescent="0.25">
      <c r="A9" s="214" t="s">
        <v>1153</v>
      </c>
      <c r="B9" s="7" t="s">
        <v>1144</v>
      </c>
      <c r="C9" s="215">
        <v>76</v>
      </c>
      <c r="E9" s="322" t="e">
        <f ca="1"/>
        <v>#NAME?</v>
      </c>
      <c r="F9" s="322" t="e">
        <f ca="1"/>
        <v>#NAME?</v>
      </c>
      <c r="G9" s="322" t="e">
        <f ca="1"/>
        <v>#NAME?</v>
      </c>
      <c r="H9" s="322" t="e">
        <f ca="1"/>
        <v>#NAME?</v>
      </c>
      <c r="J9" t="e">
        <f ca="1">E16</f>
        <v>#NAME?</v>
      </c>
      <c r="K9" s="351">
        <f ca="1">COUNT(F16:F20)</f>
        <v>0</v>
      </c>
      <c r="L9" s="352">
        <f ca="1">COUNT(G16:G20)</f>
        <v>0</v>
      </c>
      <c r="M9" s="353">
        <f ca="1">COUNT(H16:H20)</f>
        <v>0</v>
      </c>
      <c r="N9">
        <f ca="1">COUNT(F16:H20)</f>
        <v>0</v>
      </c>
      <c r="P9" t="s">
        <v>178</v>
      </c>
      <c r="Q9" t="e">
        <f ca="1">SUM(K21:M23)*(K7-1)</f>
        <v>#NAME?</v>
      </c>
      <c r="R9">
        <f ca="1">R10-R7-R8</f>
        <v>0</v>
      </c>
      <c r="S9" t="e">
        <f ca="1">Q9/R9</f>
        <v>#NAME?</v>
      </c>
    </row>
    <row r="10" spans="1:22" x14ac:dyDescent="0.25">
      <c r="A10" s="214" t="s">
        <v>1153</v>
      </c>
      <c r="B10" s="7" t="s">
        <v>1144</v>
      </c>
      <c r="C10" s="215">
        <v>65</v>
      </c>
      <c r="E10" s="349" t="e">
        <f ca="1"/>
        <v>#NAME?</v>
      </c>
      <c r="F10" s="349" t="e">
        <f ca="1"/>
        <v>#NAME?</v>
      </c>
      <c r="G10" s="349" t="e">
        <f ca="1"/>
        <v>#NAME?</v>
      </c>
      <c r="H10" s="349" t="e">
        <f ca="1"/>
        <v>#NAME?</v>
      </c>
      <c r="K10">
        <f ca="1">COUNT(F6:F20)</f>
        <v>0</v>
      </c>
      <c r="L10">
        <f ca="1">COUNT(G6:G20)</f>
        <v>0</v>
      </c>
      <c r="M10">
        <f ca="1">COUNT(H6:H20)</f>
        <v>0</v>
      </c>
      <c r="N10">
        <f ca="1">COUNT(F6:H20)</f>
        <v>0</v>
      </c>
      <c r="P10" s="354" t="s">
        <v>1</v>
      </c>
      <c r="Q10" s="354" t="e">
        <f ca="1">S10*R10</f>
        <v>#NAME?</v>
      </c>
      <c r="R10" s="354">
        <f ca="1">N10-1</f>
        <v>-1</v>
      </c>
      <c r="S10" s="354" t="e">
        <f ca="1">N24</f>
        <v>#NAME?</v>
      </c>
      <c r="T10" s="354"/>
      <c r="U10" s="354"/>
      <c r="V10" s="354"/>
    </row>
    <row r="11" spans="1:22" x14ac:dyDescent="0.25">
      <c r="A11" s="214" t="s">
        <v>1153</v>
      </c>
      <c r="B11" s="7" t="s">
        <v>1144</v>
      </c>
      <c r="C11" s="215">
        <v>52</v>
      </c>
      <c r="E11" s="480" t="e">
        <f ca="1"/>
        <v>#NAME?</v>
      </c>
      <c r="F11" s="480" t="e">
        <f ca="1"/>
        <v>#NAME?</v>
      </c>
      <c r="G11" s="480" t="e">
        <f ca="1"/>
        <v>#NAME?</v>
      </c>
      <c r="H11" s="480" t="e">
        <f ca="1"/>
        <v>#NAME?</v>
      </c>
    </row>
    <row r="12" spans="1:22" x14ac:dyDescent="0.25">
      <c r="A12" s="214" t="s">
        <v>1153</v>
      </c>
      <c r="B12" s="7" t="s">
        <v>1144</v>
      </c>
      <c r="C12" s="215">
        <v>23</v>
      </c>
      <c r="E12" s="322" t="e">
        <f ca="1"/>
        <v>#NAME?</v>
      </c>
      <c r="F12" s="322" t="e">
        <f ca="1"/>
        <v>#NAME?</v>
      </c>
      <c r="G12" s="322" t="e">
        <f ca="1"/>
        <v>#NAME?</v>
      </c>
      <c r="H12" s="322" t="e">
        <f ca="1"/>
        <v>#NAME?</v>
      </c>
      <c r="J12" t="s">
        <v>179</v>
      </c>
    </row>
    <row r="13" spans="1:22" x14ac:dyDescent="0.25">
      <c r="A13" s="214" t="s">
        <v>1153</v>
      </c>
      <c r="B13" s="7" t="s">
        <v>1145</v>
      </c>
      <c r="C13" s="215">
        <v>40</v>
      </c>
      <c r="E13" s="322" t="e">
        <f ca="1"/>
        <v>#NAME?</v>
      </c>
      <c r="F13" s="322" t="e">
        <f ca="1"/>
        <v>#NAME?</v>
      </c>
      <c r="G13" s="322" t="e">
        <f ca="1"/>
        <v>#NAME?</v>
      </c>
      <c r="H13" s="322" t="e">
        <f ca="1"/>
        <v>#NAME?</v>
      </c>
      <c r="K13" s="496" t="e">
        <f ca="1">F5</f>
        <v>#NAME?</v>
      </c>
      <c r="L13" s="496" t="e">
        <f ca="1">G5</f>
        <v>#NAME?</v>
      </c>
      <c r="M13" s="496" t="e">
        <f ca="1">H5</f>
        <v>#NAME?</v>
      </c>
    </row>
    <row r="14" spans="1:22" x14ac:dyDescent="0.25">
      <c r="A14" s="214" t="s">
        <v>1153</v>
      </c>
      <c r="B14" s="7" t="s">
        <v>1145</v>
      </c>
      <c r="C14" s="215">
        <v>39</v>
      </c>
      <c r="E14" s="322" t="e">
        <f ca="1"/>
        <v>#NAME?</v>
      </c>
      <c r="F14" s="322" t="e">
        <f ca="1"/>
        <v>#NAME?</v>
      </c>
      <c r="G14" s="322" t="e">
        <f ca="1"/>
        <v>#NAME?</v>
      </c>
      <c r="H14" s="322" t="e">
        <f ca="1"/>
        <v>#NAME?</v>
      </c>
      <c r="J14" t="e">
        <f ca="1">E6</f>
        <v>#NAME?</v>
      </c>
      <c r="K14" s="414" t="e">
        <f ca="1">AVERAGE(F6:F10)</f>
        <v>#NAME?</v>
      </c>
      <c r="L14" s="358" t="e">
        <f ca="1">AVERAGE(G6:G10)</f>
        <v>#NAME?</v>
      </c>
      <c r="M14" s="415" t="e">
        <f ca="1">AVERAGE(H6:H10)</f>
        <v>#NAME?</v>
      </c>
      <c r="N14" t="e">
        <f ca="1">AVERAGE(F6:H10)</f>
        <v>#NAME?</v>
      </c>
    </row>
    <row r="15" spans="1:22" x14ac:dyDescent="0.25">
      <c r="A15" s="214" t="s">
        <v>1153</v>
      </c>
      <c r="B15" s="7" t="s">
        <v>1145</v>
      </c>
      <c r="C15" s="215">
        <v>78</v>
      </c>
      <c r="E15" s="349" t="e">
        <f ca="1"/>
        <v>#NAME?</v>
      </c>
      <c r="F15" s="349" t="e">
        <f ca="1"/>
        <v>#NAME?</v>
      </c>
      <c r="G15" s="349" t="e">
        <f ca="1"/>
        <v>#NAME?</v>
      </c>
      <c r="H15" s="349" t="e">
        <f ca="1"/>
        <v>#NAME?</v>
      </c>
      <c r="J15" t="e">
        <f ca="1">E11</f>
        <v>#NAME?</v>
      </c>
      <c r="K15" s="183" t="e">
        <f ca="1">AVERAGE(F11:F15)</f>
        <v>#NAME?</v>
      </c>
      <c r="L15" s="7" t="e">
        <f ca="1">AVERAGE(G11:G15)</f>
        <v>#NAME?</v>
      </c>
      <c r="M15" s="43" t="e">
        <f ca="1">AVERAGE(H11:H15)</f>
        <v>#NAME?</v>
      </c>
      <c r="N15" t="e">
        <f ca="1">AVERAGE(F11:H15)</f>
        <v>#NAME?</v>
      </c>
    </row>
    <row r="16" spans="1:22" x14ac:dyDescent="0.25">
      <c r="A16" s="214" t="s">
        <v>1153</v>
      </c>
      <c r="B16" s="7" t="s">
        <v>1145</v>
      </c>
      <c r="C16" s="215">
        <v>24</v>
      </c>
      <c r="E16" s="480" t="e">
        <f ca="1"/>
        <v>#NAME?</v>
      </c>
      <c r="F16" s="480" t="e">
        <f ca="1"/>
        <v>#NAME?</v>
      </c>
      <c r="G16" s="480" t="e">
        <f ca="1"/>
        <v>#NAME?</v>
      </c>
      <c r="H16" s="480" t="e">
        <f ca="1"/>
        <v>#NAME?</v>
      </c>
      <c r="J16" t="e">
        <f ca="1">E16</f>
        <v>#NAME?</v>
      </c>
      <c r="K16" s="351" t="e">
        <f ca="1">AVERAGE(F16:F20)</f>
        <v>#NAME?</v>
      </c>
      <c r="L16" s="352" t="e">
        <f ca="1">AVERAGE(G16:G20)</f>
        <v>#NAME?</v>
      </c>
      <c r="M16" s="353" t="e">
        <f ca="1">AVERAGE(H16:H20)</f>
        <v>#NAME?</v>
      </c>
      <c r="N16" t="e">
        <f ca="1">AVERAGE(F16:H20)</f>
        <v>#NAME?</v>
      </c>
    </row>
    <row r="17" spans="1:14" x14ac:dyDescent="0.25">
      <c r="A17" s="214" t="s">
        <v>1153</v>
      </c>
      <c r="B17" s="7" t="s">
        <v>1145</v>
      </c>
      <c r="C17" s="215">
        <v>59</v>
      </c>
      <c r="E17" s="322" t="e">
        <f ca="1"/>
        <v>#NAME?</v>
      </c>
      <c r="F17" s="322" t="e">
        <f ca="1"/>
        <v>#NAME?</v>
      </c>
      <c r="G17" s="322" t="e">
        <f ca="1"/>
        <v>#NAME?</v>
      </c>
      <c r="H17" s="322" t="e">
        <f ca="1"/>
        <v>#NAME?</v>
      </c>
      <c r="K17" t="e">
        <f ca="1">AVERAGE(F6:F20)</f>
        <v>#NAME?</v>
      </c>
      <c r="L17" t="e">
        <f ca="1">AVERAGE(G6:G20)</f>
        <v>#NAME?</v>
      </c>
      <c r="M17" t="e">
        <f ca="1">AVERAGE(H6:H20)</f>
        <v>#NAME?</v>
      </c>
      <c r="N17" t="e">
        <f ca="1">AVERAGE(F6:H20)</f>
        <v>#NAME?</v>
      </c>
    </row>
    <row r="18" spans="1:14" x14ac:dyDescent="0.25">
      <c r="A18" s="214" t="s">
        <v>1154</v>
      </c>
      <c r="B18" s="7" t="s">
        <v>1146</v>
      </c>
      <c r="C18" s="215">
        <v>46</v>
      </c>
      <c r="E18" s="322" t="e">
        <f ca="1"/>
        <v>#NAME?</v>
      </c>
      <c r="F18" s="322" t="e">
        <f ca="1"/>
        <v>#NAME?</v>
      </c>
      <c r="G18" s="322" t="e">
        <f ca="1"/>
        <v>#NAME?</v>
      </c>
      <c r="H18" s="322" t="e">
        <f ca="1"/>
        <v>#NAME?</v>
      </c>
    </row>
    <row r="19" spans="1:14" x14ac:dyDescent="0.25">
      <c r="A19" s="214" t="s">
        <v>1154</v>
      </c>
      <c r="B19" s="7" t="s">
        <v>1146</v>
      </c>
      <c r="C19" s="215">
        <v>32</v>
      </c>
      <c r="E19" s="322" t="e">
        <f ca="1"/>
        <v>#NAME?</v>
      </c>
      <c r="F19" s="322" t="e">
        <f ca="1"/>
        <v>#NAME?</v>
      </c>
      <c r="G19" s="322" t="e">
        <f ca="1"/>
        <v>#NAME?</v>
      </c>
      <c r="H19" s="322" t="e">
        <f ca="1"/>
        <v>#NAME?</v>
      </c>
      <c r="J19" t="s">
        <v>821</v>
      </c>
    </row>
    <row r="20" spans="1:14" x14ac:dyDescent="0.25">
      <c r="A20" s="214" t="s">
        <v>1154</v>
      </c>
      <c r="B20" s="7" t="s">
        <v>1146</v>
      </c>
      <c r="C20" s="215">
        <v>56</v>
      </c>
      <c r="E20" s="349" t="e">
        <f ca="1"/>
        <v>#NAME?</v>
      </c>
      <c r="F20" s="349" t="e">
        <f ca="1"/>
        <v>#NAME?</v>
      </c>
      <c r="G20" s="349" t="e">
        <f ca="1"/>
        <v>#NAME?</v>
      </c>
      <c r="H20" s="349" t="e">
        <f ca="1"/>
        <v>#NAME?</v>
      </c>
      <c r="K20" s="496" t="e">
        <f ca="1">F5</f>
        <v>#NAME?</v>
      </c>
      <c r="L20" s="496" t="e">
        <f ca="1">G5</f>
        <v>#NAME?</v>
      </c>
      <c r="M20" s="496" t="e">
        <f ca="1">H5</f>
        <v>#NAME?</v>
      </c>
    </row>
    <row r="21" spans="1:14" x14ac:dyDescent="0.25">
      <c r="A21" s="214" t="s">
        <v>1154</v>
      </c>
      <c r="B21" s="7" t="s">
        <v>1146</v>
      </c>
      <c r="C21" s="215">
        <v>52</v>
      </c>
      <c r="J21" t="e">
        <f ca="1">E6</f>
        <v>#NAME?</v>
      </c>
      <c r="K21" s="414" t="e">
        <f ca="1">VAR(F6:F10)</f>
        <v>#NAME?</v>
      </c>
      <c r="L21" s="358" t="e">
        <f ca="1">VAR(G6:G10)</f>
        <v>#NAME?</v>
      </c>
      <c r="M21" s="415" t="e">
        <f ca="1">VAR(H6:H10)</f>
        <v>#NAME?</v>
      </c>
      <c r="N21" t="e">
        <f ca="1">VAR(F6:H10)</f>
        <v>#NAME?</v>
      </c>
    </row>
    <row r="22" spans="1:14" x14ac:dyDescent="0.25">
      <c r="A22" s="214" t="s">
        <v>1154</v>
      </c>
      <c r="B22" s="7" t="s">
        <v>1146</v>
      </c>
      <c r="C22" s="215">
        <v>79</v>
      </c>
      <c r="J22" t="e">
        <f ca="1">E11</f>
        <v>#NAME?</v>
      </c>
      <c r="K22" s="183" t="e">
        <f ca="1">VAR(F11:F15)</f>
        <v>#NAME?</v>
      </c>
      <c r="L22" s="7" t="e">
        <f ca="1">VAR(G11:G15)</f>
        <v>#NAME?</v>
      </c>
      <c r="M22" s="43" t="e">
        <f ca="1">VAR(H11:H15)</f>
        <v>#NAME?</v>
      </c>
      <c r="N22" t="e">
        <f ca="1">VAR(F11:H15)</f>
        <v>#NAME?</v>
      </c>
    </row>
    <row r="23" spans="1:14" x14ac:dyDescent="0.25">
      <c r="A23" s="214" t="s">
        <v>1154</v>
      </c>
      <c r="B23" s="7" t="s">
        <v>1147</v>
      </c>
      <c r="C23" s="215">
        <v>23</v>
      </c>
      <c r="J23" t="e">
        <f ca="1">E16</f>
        <v>#NAME?</v>
      </c>
      <c r="K23" s="351" t="e">
        <f ca="1">VAR(F16:F20)</f>
        <v>#NAME?</v>
      </c>
      <c r="L23" s="352" t="e">
        <f ca="1">VAR(G16:G20)</f>
        <v>#NAME?</v>
      </c>
      <c r="M23" s="353" t="e">
        <f ca="1">VAR(H16:H20)</f>
        <v>#NAME?</v>
      </c>
      <c r="N23" t="e">
        <f ca="1">VAR(F16:H20)</f>
        <v>#NAME?</v>
      </c>
    </row>
    <row r="24" spans="1:14" x14ac:dyDescent="0.25">
      <c r="A24" s="214" t="s">
        <v>1154</v>
      </c>
      <c r="B24" s="7" t="s">
        <v>1147</v>
      </c>
      <c r="C24" s="215">
        <v>56</v>
      </c>
      <c r="K24" t="e">
        <f ca="1">VAR(F6:F20)</f>
        <v>#NAME?</v>
      </c>
      <c r="L24" t="e">
        <f ca="1">VAR(G6:G20)</f>
        <v>#NAME?</v>
      </c>
      <c r="M24" t="e">
        <f ca="1">VAR(H6:H20)</f>
        <v>#NAME?</v>
      </c>
      <c r="N24" t="e">
        <f ca="1">VAR(F6:H20)</f>
        <v>#NAME?</v>
      </c>
    </row>
    <row r="25" spans="1:14" x14ac:dyDescent="0.25">
      <c r="A25" s="214" t="s">
        <v>1154</v>
      </c>
      <c r="B25" s="7" t="s">
        <v>1147</v>
      </c>
      <c r="C25" s="215">
        <v>61</v>
      </c>
    </row>
    <row r="26" spans="1:14" x14ac:dyDescent="0.25">
      <c r="A26" s="214" t="s">
        <v>1154</v>
      </c>
      <c r="B26" s="7" t="s">
        <v>1147</v>
      </c>
      <c r="C26" s="215">
        <v>34</v>
      </c>
    </row>
    <row r="27" spans="1:14" x14ac:dyDescent="0.25">
      <c r="A27" s="214" t="s">
        <v>1154</v>
      </c>
      <c r="B27" s="7" t="s">
        <v>1147</v>
      </c>
      <c r="C27" s="215">
        <v>28</v>
      </c>
    </row>
    <row r="28" spans="1:14" x14ac:dyDescent="0.25">
      <c r="A28" s="214" t="s">
        <v>1154</v>
      </c>
      <c r="B28" s="7" t="s">
        <v>1148</v>
      </c>
      <c r="C28" s="215">
        <v>75</v>
      </c>
    </row>
    <row r="29" spans="1:14" x14ac:dyDescent="0.25">
      <c r="A29" s="214" t="s">
        <v>1154</v>
      </c>
      <c r="B29" s="7" t="s">
        <v>1148</v>
      </c>
      <c r="C29" s="215">
        <v>57</v>
      </c>
    </row>
    <row r="30" spans="1:14" x14ac:dyDescent="0.25">
      <c r="A30" s="214" t="s">
        <v>1154</v>
      </c>
      <c r="B30" s="7" t="s">
        <v>1148</v>
      </c>
      <c r="C30" s="215">
        <v>63</v>
      </c>
    </row>
    <row r="31" spans="1:14" x14ac:dyDescent="0.25">
      <c r="A31" s="214" t="s">
        <v>1154</v>
      </c>
      <c r="B31" s="7" t="s">
        <v>1148</v>
      </c>
      <c r="C31" s="215">
        <v>25</v>
      </c>
    </row>
    <row r="32" spans="1:14" x14ac:dyDescent="0.25">
      <c r="A32" s="214" t="s">
        <v>1154</v>
      </c>
      <c r="B32" s="7" t="s">
        <v>1148</v>
      </c>
      <c r="C32" s="215">
        <v>60</v>
      </c>
    </row>
    <row r="33" spans="1:3" x14ac:dyDescent="0.25">
      <c r="A33" s="214" t="s">
        <v>1152</v>
      </c>
      <c r="B33" s="7" t="s">
        <v>1149</v>
      </c>
      <c r="C33" s="215">
        <v>23</v>
      </c>
    </row>
    <row r="34" spans="1:3" x14ac:dyDescent="0.25">
      <c r="A34" s="214" t="s">
        <v>1152</v>
      </c>
      <c r="B34" s="7" t="s">
        <v>1149</v>
      </c>
      <c r="C34" s="215">
        <v>56</v>
      </c>
    </row>
    <row r="35" spans="1:3" x14ac:dyDescent="0.25">
      <c r="A35" s="214" t="s">
        <v>1152</v>
      </c>
      <c r="B35" s="7" t="s">
        <v>1149</v>
      </c>
      <c r="C35" s="215">
        <v>61</v>
      </c>
    </row>
    <row r="36" spans="1:3" x14ac:dyDescent="0.25">
      <c r="A36" s="214" t="s">
        <v>1152</v>
      </c>
      <c r="B36" s="7" t="s">
        <v>1149</v>
      </c>
      <c r="C36" s="215">
        <v>34</v>
      </c>
    </row>
    <row r="37" spans="1:3" x14ac:dyDescent="0.25">
      <c r="A37" s="214" t="s">
        <v>1152</v>
      </c>
      <c r="B37" s="7" t="s">
        <v>1149</v>
      </c>
      <c r="C37" s="215">
        <v>28</v>
      </c>
    </row>
    <row r="38" spans="1:3" x14ac:dyDescent="0.25">
      <c r="A38" s="214" t="s">
        <v>1152</v>
      </c>
      <c r="B38" s="7" t="s">
        <v>1150</v>
      </c>
      <c r="C38" s="215">
        <v>75</v>
      </c>
    </row>
    <row r="39" spans="1:3" x14ac:dyDescent="0.25">
      <c r="A39" s="214" t="s">
        <v>1152</v>
      </c>
      <c r="B39" s="7" t="s">
        <v>1150</v>
      </c>
      <c r="C39" s="215">
        <v>57</v>
      </c>
    </row>
    <row r="40" spans="1:3" x14ac:dyDescent="0.25">
      <c r="A40" s="214" t="s">
        <v>1152</v>
      </c>
      <c r="B40" s="7" t="s">
        <v>1150</v>
      </c>
      <c r="C40" s="215">
        <v>63</v>
      </c>
    </row>
    <row r="41" spans="1:3" x14ac:dyDescent="0.25">
      <c r="A41" s="214" t="s">
        <v>1152</v>
      </c>
      <c r="B41" s="7" t="s">
        <v>1150</v>
      </c>
      <c r="C41" s="215">
        <v>25</v>
      </c>
    </row>
    <row r="42" spans="1:3" x14ac:dyDescent="0.25">
      <c r="A42" s="214" t="s">
        <v>1152</v>
      </c>
      <c r="B42" s="7" t="s">
        <v>1150</v>
      </c>
      <c r="C42" s="215">
        <v>60</v>
      </c>
    </row>
    <row r="43" spans="1:3" x14ac:dyDescent="0.25">
      <c r="A43" s="214" t="s">
        <v>1152</v>
      </c>
      <c r="B43" s="7" t="s">
        <v>1151</v>
      </c>
      <c r="C43" s="215">
        <v>55</v>
      </c>
    </row>
    <row r="44" spans="1:3" x14ac:dyDescent="0.25">
      <c r="A44" s="214" t="s">
        <v>1152</v>
      </c>
      <c r="B44" s="7" t="s">
        <v>1151</v>
      </c>
      <c r="C44" s="215">
        <v>73</v>
      </c>
    </row>
    <row r="45" spans="1:3" x14ac:dyDescent="0.25">
      <c r="A45" s="214" t="s">
        <v>1152</v>
      </c>
      <c r="B45" s="7" t="s">
        <v>1151</v>
      </c>
      <c r="C45" s="215">
        <v>69</v>
      </c>
    </row>
    <row r="46" spans="1:3" x14ac:dyDescent="0.25">
      <c r="A46" s="214" t="s">
        <v>1152</v>
      </c>
      <c r="B46" s="7" t="s">
        <v>1151</v>
      </c>
      <c r="C46" s="215">
        <v>64</v>
      </c>
    </row>
    <row r="47" spans="1:3" x14ac:dyDescent="0.25">
      <c r="A47" s="112" t="s">
        <v>1152</v>
      </c>
      <c r="B47" s="354" t="s">
        <v>1151</v>
      </c>
      <c r="C47" s="120">
        <v>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P34"/>
  <sheetViews>
    <sheetView workbookViewId="0"/>
  </sheetViews>
  <sheetFormatPr defaultRowHeight="15" x14ac:dyDescent="0.25"/>
  <sheetData>
    <row r="1" spans="1:16" x14ac:dyDescent="0.25">
      <c r="A1" s="1" t="s">
        <v>1363</v>
      </c>
    </row>
    <row r="3" spans="1:16" x14ac:dyDescent="0.25">
      <c r="A3" t="s">
        <v>1358</v>
      </c>
      <c r="B3">
        <v>5</v>
      </c>
      <c r="C3">
        <f>B3+5</f>
        <v>10</v>
      </c>
      <c r="D3">
        <f>C3+5</f>
        <v>15</v>
      </c>
      <c r="E3">
        <f>D3+5</f>
        <v>20</v>
      </c>
      <c r="F3">
        <f>E3+5</f>
        <v>25</v>
      </c>
      <c r="G3">
        <f>F3+5</f>
        <v>30</v>
      </c>
    </row>
    <row r="4" spans="1:16" x14ac:dyDescent="0.25">
      <c r="A4" t="s">
        <v>1359</v>
      </c>
      <c r="B4" s="554">
        <v>9.7000000000000011</v>
      </c>
      <c r="C4" s="553">
        <v>19.2</v>
      </c>
      <c r="D4" s="553">
        <v>8.3000000000000007</v>
      </c>
      <c r="E4" s="553">
        <v>6.3</v>
      </c>
      <c r="F4" s="553">
        <v>6.7</v>
      </c>
      <c r="G4" s="555">
        <v>5.8</v>
      </c>
    </row>
    <row r="5" spans="1:16" x14ac:dyDescent="0.25">
      <c r="A5" t="s">
        <v>1360</v>
      </c>
      <c r="B5" s="214">
        <v>13</v>
      </c>
      <c r="C5" s="7">
        <v>20.2</v>
      </c>
      <c r="D5" s="7">
        <v>6.4</v>
      </c>
      <c r="E5" s="7">
        <v>6</v>
      </c>
      <c r="F5" s="7">
        <v>5.1999999999999993</v>
      </c>
      <c r="G5" s="215">
        <v>3.6</v>
      </c>
    </row>
    <row r="6" spans="1:16" x14ac:dyDescent="0.25">
      <c r="A6" t="s">
        <v>1361</v>
      </c>
      <c r="B6" s="214">
        <v>15.6</v>
      </c>
      <c r="C6" s="7">
        <v>17.7</v>
      </c>
      <c r="D6" s="7">
        <v>6.1</v>
      </c>
      <c r="E6" s="7">
        <v>3.9999999999999996</v>
      </c>
      <c r="F6" s="7">
        <v>3.1</v>
      </c>
      <c r="G6" s="215">
        <v>4.0999999999999996</v>
      </c>
    </row>
    <row r="7" spans="1:16" x14ac:dyDescent="0.25">
      <c r="A7" t="s">
        <v>1362</v>
      </c>
      <c r="B7" s="112">
        <v>7.1</v>
      </c>
      <c r="C7" s="354">
        <v>11.8</v>
      </c>
      <c r="D7" s="354">
        <v>1.7</v>
      </c>
      <c r="E7" s="354">
        <v>0.5</v>
      </c>
      <c r="F7" s="354">
        <v>0.8</v>
      </c>
      <c r="G7" s="120">
        <v>0.2</v>
      </c>
    </row>
    <row r="10" spans="1:16" x14ac:dyDescent="0.25">
      <c r="A10" t="s">
        <v>13</v>
      </c>
      <c r="J10" t="s">
        <v>823</v>
      </c>
    </row>
    <row r="12" spans="1:16" ht="15.75" thickBot="1" x14ac:dyDescent="0.3">
      <c r="A12" t="s">
        <v>820</v>
      </c>
      <c r="B12" t="str">
        <f>IF(COUNTIF(B14:G17,B14)=COUNT(B14:G17),"balanced","unbalanced")</f>
        <v>balanced</v>
      </c>
      <c r="J12" t="s">
        <v>125</v>
      </c>
      <c r="N12" s="612" t="s">
        <v>18</v>
      </c>
      <c r="O12" s="612">
        <v>0.05</v>
      </c>
    </row>
    <row r="13" spans="1:16" ht="15.75" thickTop="1" x14ac:dyDescent="0.25">
      <c r="B13" s="612">
        <f t="shared" ref="B13:G13" si="0">B3</f>
        <v>5</v>
      </c>
      <c r="C13" s="612">
        <f t="shared" si="0"/>
        <v>10</v>
      </c>
      <c r="D13" s="612">
        <f t="shared" si="0"/>
        <v>15</v>
      </c>
      <c r="E13" s="612">
        <f t="shared" si="0"/>
        <v>20</v>
      </c>
      <c r="F13" s="612">
        <f t="shared" si="0"/>
        <v>25</v>
      </c>
      <c r="G13" s="612">
        <f t="shared" si="0"/>
        <v>30</v>
      </c>
      <c r="J13" s="386"/>
      <c r="K13" s="386" t="s">
        <v>111</v>
      </c>
      <c r="L13" s="386" t="s">
        <v>41</v>
      </c>
      <c r="M13" s="386" t="s">
        <v>115</v>
      </c>
      <c r="N13" s="386" t="s">
        <v>98</v>
      </c>
      <c r="O13" s="386" t="s">
        <v>48</v>
      </c>
      <c r="P13" s="386" t="s">
        <v>164</v>
      </c>
    </row>
    <row r="14" spans="1:16" x14ac:dyDescent="0.25">
      <c r="A14" t="str">
        <f>A4</f>
        <v>Field 1</v>
      </c>
      <c r="B14" s="550">
        <f t="shared" ref="B14:G17" si="1">COUNT(B4)</f>
        <v>1</v>
      </c>
      <c r="C14" s="556">
        <f t="shared" si="1"/>
        <v>1</v>
      </c>
      <c r="D14" s="556">
        <f t="shared" si="1"/>
        <v>1</v>
      </c>
      <c r="E14" s="556">
        <f t="shared" si="1"/>
        <v>1</v>
      </c>
      <c r="F14" s="556">
        <f t="shared" si="1"/>
        <v>1</v>
      </c>
      <c r="G14" s="557">
        <f t="shared" si="1"/>
        <v>1</v>
      </c>
      <c r="H14">
        <f>COUNT(B4:G4)</f>
        <v>6</v>
      </c>
      <c r="J14" t="s">
        <v>99</v>
      </c>
      <c r="K14">
        <f>DEVSQ(H22:H25)*H14</f>
        <v>127.12125000000003</v>
      </c>
      <c r="L14">
        <f>COUNT(H22:H25)-1</f>
        <v>3</v>
      </c>
      <c r="M14">
        <f>K14/L14</f>
        <v>42.373750000000008</v>
      </c>
      <c r="N14">
        <f>M14/M16</f>
        <v>16.761215677225938</v>
      </c>
      <c r="O14">
        <f>FDIST(N14,L14,L16)</f>
        <v>4.6901407613543264E-5</v>
      </c>
      <c r="P14" s="612" t="str">
        <f>IF(O14&lt;O12,"yes","no")</f>
        <v>yes</v>
      </c>
    </row>
    <row r="15" spans="1:16" x14ac:dyDescent="0.25">
      <c r="A15" t="str">
        <f>A5</f>
        <v>Field 2</v>
      </c>
      <c r="B15" s="183">
        <f t="shared" si="1"/>
        <v>1</v>
      </c>
      <c r="C15" s="7">
        <f t="shared" si="1"/>
        <v>1</v>
      </c>
      <c r="D15" s="7">
        <f t="shared" si="1"/>
        <v>1</v>
      </c>
      <c r="E15" s="7">
        <f t="shared" si="1"/>
        <v>1</v>
      </c>
      <c r="F15" s="7">
        <f t="shared" si="1"/>
        <v>1</v>
      </c>
      <c r="G15" s="43">
        <f t="shared" si="1"/>
        <v>1</v>
      </c>
      <c r="H15">
        <f>COUNT(B5:G5)</f>
        <v>6</v>
      </c>
      <c r="J15" t="s">
        <v>177</v>
      </c>
      <c r="K15">
        <f>DEVSQ(B26:G26)*B18</f>
        <v>611.64708333333328</v>
      </c>
      <c r="L15">
        <f>COUNT(B26:G26)-1</f>
        <v>5</v>
      </c>
      <c r="M15">
        <f>K15/L15</f>
        <v>122.32941666666666</v>
      </c>
      <c r="N15">
        <f>M15/M16</f>
        <v>48.388205821274653</v>
      </c>
      <c r="O15">
        <f>FDIST(N15,L15,L16)</f>
        <v>1.0032783080736044E-8</v>
      </c>
      <c r="P15" s="612" t="str">
        <f>IF(O15&lt;O12,"yes","no")</f>
        <v>yes</v>
      </c>
    </row>
    <row r="16" spans="1:16" x14ac:dyDescent="0.25">
      <c r="A16" t="str">
        <f>A6</f>
        <v>Field 3</v>
      </c>
      <c r="B16" s="183">
        <f t="shared" si="1"/>
        <v>1</v>
      </c>
      <c r="C16" s="7">
        <f t="shared" si="1"/>
        <v>1</v>
      </c>
      <c r="D16" s="7">
        <f t="shared" si="1"/>
        <v>1</v>
      </c>
      <c r="E16" s="7">
        <f t="shared" si="1"/>
        <v>1</v>
      </c>
      <c r="F16" s="7">
        <f t="shared" si="1"/>
        <v>1</v>
      </c>
      <c r="G16" s="43">
        <f t="shared" si="1"/>
        <v>1</v>
      </c>
      <c r="H16">
        <f>COUNT(B6:G6)</f>
        <v>6</v>
      </c>
      <c r="J16" t="s">
        <v>176</v>
      </c>
      <c r="K16">
        <f>K18-K14-K15</f>
        <v>37.921249999999759</v>
      </c>
      <c r="L16">
        <f>L15*L14</f>
        <v>15</v>
      </c>
      <c r="M16">
        <f>K16/L16</f>
        <v>2.5280833333333175</v>
      </c>
    </row>
    <row r="17" spans="1:16" x14ac:dyDescent="0.25">
      <c r="A17" t="str">
        <f>A7</f>
        <v>Field 4</v>
      </c>
      <c r="B17" s="351">
        <f t="shared" si="1"/>
        <v>1</v>
      </c>
      <c r="C17" s="352">
        <f t="shared" si="1"/>
        <v>1</v>
      </c>
      <c r="D17" s="352">
        <f t="shared" si="1"/>
        <v>1</v>
      </c>
      <c r="E17" s="352">
        <f t="shared" si="1"/>
        <v>1</v>
      </c>
      <c r="F17" s="352">
        <f t="shared" si="1"/>
        <v>1</v>
      </c>
      <c r="G17" s="353">
        <f t="shared" si="1"/>
        <v>1</v>
      </c>
      <c r="H17">
        <f>COUNT(B7:G7)</f>
        <v>6</v>
      </c>
    </row>
    <row r="18" spans="1:16" x14ac:dyDescent="0.25">
      <c r="B18">
        <f t="shared" ref="B18:G18" si="2">COUNT(B4:B7)</f>
        <v>4</v>
      </c>
      <c r="C18">
        <f t="shared" si="2"/>
        <v>4</v>
      </c>
      <c r="D18">
        <f t="shared" si="2"/>
        <v>4</v>
      </c>
      <c r="E18">
        <f t="shared" si="2"/>
        <v>4</v>
      </c>
      <c r="F18">
        <f t="shared" si="2"/>
        <v>4</v>
      </c>
      <c r="G18">
        <f t="shared" si="2"/>
        <v>4</v>
      </c>
      <c r="H18">
        <f>COUNT(B4:G7)</f>
        <v>24</v>
      </c>
      <c r="J18" s="354" t="s">
        <v>1</v>
      </c>
      <c r="K18" s="354">
        <f>M18*L18</f>
        <v>776.68958333333308</v>
      </c>
      <c r="L18" s="354">
        <f>H18-1</f>
        <v>23</v>
      </c>
      <c r="M18" s="354">
        <f>H34</f>
        <v>33.76911231884057</v>
      </c>
      <c r="N18" s="354"/>
      <c r="O18" s="354"/>
      <c r="P18" s="354"/>
    </row>
    <row r="20" spans="1:16" x14ac:dyDescent="0.25">
      <c r="A20" t="s">
        <v>179</v>
      </c>
    </row>
    <row r="21" spans="1:16" x14ac:dyDescent="0.25">
      <c r="B21" s="612">
        <f t="shared" ref="B21:G21" si="3">B3</f>
        <v>5</v>
      </c>
      <c r="C21" s="612">
        <f t="shared" si="3"/>
        <v>10</v>
      </c>
      <c r="D21" s="612">
        <f t="shared" si="3"/>
        <v>15</v>
      </c>
      <c r="E21" s="612">
        <f t="shared" si="3"/>
        <v>20</v>
      </c>
      <c r="F21" s="612">
        <f t="shared" si="3"/>
        <v>25</v>
      </c>
      <c r="G21" s="612">
        <f t="shared" si="3"/>
        <v>30</v>
      </c>
    </row>
    <row r="22" spans="1:16" x14ac:dyDescent="0.25">
      <c r="A22" t="str">
        <f>A4</f>
        <v>Field 1</v>
      </c>
      <c r="B22" s="550">
        <f t="shared" ref="B22:G25" si="4">AVERAGE(B4)</f>
        <v>9.7000000000000011</v>
      </c>
      <c r="C22" s="556">
        <f t="shared" si="4"/>
        <v>19.2</v>
      </c>
      <c r="D22" s="556">
        <f t="shared" si="4"/>
        <v>8.3000000000000007</v>
      </c>
      <c r="E22" s="556">
        <f t="shared" si="4"/>
        <v>6.3</v>
      </c>
      <c r="F22" s="556">
        <f t="shared" si="4"/>
        <v>6.7</v>
      </c>
      <c r="G22" s="557">
        <f t="shared" si="4"/>
        <v>5.8</v>
      </c>
      <c r="H22">
        <f>AVERAGE(B4:G4)</f>
        <v>9.3333333333333339</v>
      </c>
    </row>
    <row r="23" spans="1:16" x14ac:dyDescent="0.25">
      <c r="A23" t="str">
        <f>A5</f>
        <v>Field 2</v>
      </c>
      <c r="B23" s="183">
        <f t="shared" si="4"/>
        <v>13</v>
      </c>
      <c r="C23" s="7">
        <f t="shared" si="4"/>
        <v>20.2</v>
      </c>
      <c r="D23" s="7">
        <f t="shared" si="4"/>
        <v>6.4</v>
      </c>
      <c r="E23" s="7">
        <f t="shared" si="4"/>
        <v>6</v>
      </c>
      <c r="F23" s="7">
        <f t="shared" si="4"/>
        <v>5.1999999999999993</v>
      </c>
      <c r="G23" s="43">
        <f t="shared" si="4"/>
        <v>3.6</v>
      </c>
      <c r="H23">
        <f>AVERAGE(B5:G5)</f>
        <v>9.0666666666666664</v>
      </c>
    </row>
    <row r="24" spans="1:16" x14ac:dyDescent="0.25">
      <c r="A24" t="str">
        <f>A6</f>
        <v>Field 3</v>
      </c>
      <c r="B24" s="183">
        <f t="shared" si="4"/>
        <v>15.6</v>
      </c>
      <c r="C24" s="7">
        <f t="shared" si="4"/>
        <v>17.7</v>
      </c>
      <c r="D24" s="7">
        <f t="shared" si="4"/>
        <v>6.1</v>
      </c>
      <c r="E24" s="7">
        <f t="shared" si="4"/>
        <v>3.9999999999999996</v>
      </c>
      <c r="F24" s="7">
        <f t="shared" si="4"/>
        <v>3.1</v>
      </c>
      <c r="G24" s="43">
        <f t="shared" si="4"/>
        <v>4.0999999999999996</v>
      </c>
      <c r="H24">
        <f>AVERAGE(B6:G6)</f>
        <v>8.4333333333333336</v>
      </c>
    </row>
    <row r="25" spans="1:16" x14ac:dyDescent="0.25">
      <c r="A25" t="str">
        <f>A7</f>
        <v>Field 4</v>
      </c>
      <c r="B25" s="351">
        <f t="shared" si="4"/>
        <v>7.1</v>
      </c>
      <c r="C25" s="352">
        <f t="shared" si="4"/>
        <v>11.8</v>
      </c>
      <c r="D25" s="352">
        <f t="shared" si="4"/>
        <v>1.7</v>
      </c>
      <c r="E25" s="352">
        <f t="shared" si="4"/>
        <v>0.5</v>
      </c>
      <c r="F25" s="352">
        <f t="shared" si="4"/>
        <v>0.8</v>
      </c>
      <c r="G25" s="353">
        <f t="shared" si="4"/>
        <v>0.2</v>
      </c>
      <c r="H25">
        <f>AVERAGE(B7:G7)</f>
        <v>3.6833333333333331</v>
      </c>
    </row>
    <row r="26" spans="1:16" x14ac:dyDescent="0.25">
      <c r="B26">
        <f t="shared" ref="B26:G26" si="5">AVERAGE(B4:B7)</f>
        <v>11.350000000000001</v>
      </c>
      <c r="C26">
        <f t="shared" si="5"/>
        <v>17.224999999999998</v>
      </c>
      <c r="D26">
        <f t="shared" si="5"/>
        <v>5.625</v>
      </c>
      <c r="E26">
        <f t="shared" si="5"/>
        <v>4.2</v>
      </c>
      <c r="F26">
        <f t="shared" si="5"/>
        <v>3.9499999999999997</v>
      </c>
      <c r="G26">
        <f t="shared" si="5"/>
        <v>3.4249999999999998</v>
      </c>
      <c r="H26">
        <f>AVERAGE(B4:G7)</f>
        <v>7.6291666666666655</v>
      </c>
    </row>
    <row r="28" spans="1:16" x14ac:dyDescent="0.25">
      <c r="A28" t="s">
        <v>821</v>
      </c>
    </row>
    <row r="29" spans="1:16" x14ac:dyDescent="0.25">
      <c r="B29" s="612">
        <f t="shared" ref="B29:G29" si="6">B3</f>
        <v>5</v>
      </c>
      <c r="C29" s="612">
        <f t="shared" si="6"/>
        <v>10</v>
      </c>
      <c r="D29" s="612">
        <f t="shared" si="6"/>
        <v>15</v>
      </c>
      <c r="E29" s="612">
        <f t="shared" si="6"/>
        <v>20</v>
      </c>
      <c r="F29" s="612">
        <f t="shared" si="6"/>
        <v>25</v>
      </c>
      <c r="G29" s="612">
        <f t="shared" si="6"/>
        <v>30</v>
      </c>
    </row>
    <row r="30" spans="1:16" x14ac:dyDescent="0.25">
      <c r="A30" t="str">
        <f>A4</f>
        <v>Field 1</v>
      </c>
      <c r="B30" s="550" t="e">
        <f t="shared" ref="B30:G33" si="7">VAR(B4)</f>
        <v>#DIV/0!</v>
      </c>
      <c r="C30" s="556" t="e">
        <f t="shared" si="7"/>
        <v>#DIV/0!</v>
      </c>
      <c r="D30" s="556" t="e">
        <f t="shared" si="7"/>
        <v>#DIV/0!</v>
      </c>
      <c r="E30" s="556" t="e">
        <f t="shared" si="7"/>
        <v>#DIV/0!</v>
      </c>
      <c r="F30" s="556" t="e">
        <f t="shared" si="7"/>
        <v>#DIV/0!</v>
      </c>
      <c r="G30" s="557" t="e">
        <f t="shared" si="7"/>
        <v>#DIV/0!</v>
      </c>
      <c r="H30">
        <f>VAR(B4:G4)</f>
        <v>25.434666666666658</v>
      </c>
    </row>
    <row r="31" spans="1:16" x14ac:dyDescent="0.25">
      <c r="A31" t="str">
        <f>A5</f>
        <v>Field 2</v>
      </c>
      <c r="B31" s="183" t="e">
        <f t="shared" si="7"/>
        <v>#DIV/0!</v>
      </c>
      <c r="C31" s="7" t="e">
        <f t="shared" si="7"/>
        <v>#DIV/0!</v>
      </c>
      <c r="D31" s="7" t="e">
        <f t="shared" si="7"/>
        <v>#DIV/0!</v>
      </c>
      <c r="E31" s="7" t="e">
        <f t="shared" si="7"/>
        <v>#DIV/0!</v>
      </c>
      <c r="F31" s="7" t="e">
        <f t="shared" si="7"/>
        <v>#DIV/0!</v>
      </c>
      <c r="G31" s="43" t="e">
        <f t="shared" si="7"/>
        <v>#DIV/0!</v>
      </c>
      <c r="H31">
        <f>VAR(B5:G5)</f>
        <v>40.154666666666671</v>
      </c>
    </row>
    <row r="32" spans="1:16" x14ac:dyDescent="0.25">
      <c r="A32" t="str">
        <f>A6</f>
        <v>Field 3</v>
      </c>
      <c r="B32" s="183" t="e">
        <f t="shared" si="7"/>
        <v>#DIV/0!</v>
      </c>
      <c r="C32" s="7" t="e">
        <f t="shared" si="7"/>
        <v>#DIV/0!</v>
      </c>
      <c r="D32" s="7" t="e">
        <f t="shared" si="7"/>
        <v>#DIV/0!</v>
      </c>
      <c r="E32" s="7" t="e">
        <f t="shared" si="7"/>
        <v>#DIV/0!</v>
      </c>
      <c r="F32" s="7" t="e">
        <f t="shared" si="7"/>
        <v>#DIV/0!</v>
      </c>
      <c r="G32" s="43" t="e">
        <f t="shared" si="7"/>
        <v>#DIV/0!</v>
      </c>
      <c r="H32">
        <f>VAR(B6:G6)</f>
        <v>41.910666666666657</v>
      </c>
    </row>
    <row r="33" spans="1:8" x14ac:dyDescent="0.25">
      <c r="A33" t="str">
        <f>A7</f>
        <v>Field 4</v>
      </c>
      <c r="B33" s="351" t="e">
        <f t="shared" si="7"/>
        <v>#DIV/0!</v>
      </c>
      <c r="C33" s="352" t="e">
        <f t="shared" si="7"/>
        <v>#DIV/0!</v>
      </c>
      <c r="D33" s="352" t="e">
        <f t="shared" si="7"/>
        <v>#DIV/0!</v>
      </c>
      <c r="E33" s="352" t="e">
        <f t="shared" si="7"/>
        <v>#DIV/0!</v>
      </c>
      <c r="F33" s="352" t="e">
        <f t="shared" si="7"/>
        <v>#DIV/0!</v>
      </c>
      <c r="G33" s="353" t="e">
        <f t="shared" si="7"/>
        <v>#DIV/0!</v>
      </c>
      <c r="H33">
        <f>VAR(B7:G7)</f>
        <v>22.413666666666664</v>
      </c>
    </row>
    <row r="34" spans="1:8" x14ac:dyDescent="0.25">
      <c r="B34">
        <f t="shared" ref="B34:G34" si="8">VAR(B4:B7)</f>
        <v>13.856666666666646</v>
      </c>
      <c r="C34">
        <f t="shared" si="8"/>
        <v>14.135833333333343</v>
      </c>
      <c r="D34">
        <f t="shared" si="8"/>
        <v>7.7958333333333298</v>
      </c>
      <c r="E34">
        <f t="shared" si="8"/>
        <v>7.1266666666666652</v>
      </c>
      <c r="F34">
        <f t="shared" si="8"/>
        <v>6.5900000000000007</v>
      </c>
      <c r="G34">
        <f t="shared" si="8"/>
        <v>5.5091666666666681</v>
      </c>
      <c r="H34">
        <f>VAR(B4:G7)</f>
        <v>33.76911231884057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I23"/>
  <sheetViews>
    <sheetView workbookViewId="0"/>
  </sheetViews>
  <sheetFormatPr defaultRowHeight="15" x14ac:dyDescent="0.25"/>
  <cols>
    <col min="1" max="1" width="9.140625" customWidth="1"/>
    <col min="2" max="7" width="7.28515625" customWidth="1"/>
    <col min="9" max="9" width="4.140625" customWidth="1"/>
    <col min="12" max="12" width="5.5703125" customWidth="1"/>
  </cols>
  <sheetData>
    <row r="1" spans="1:30" x14ac:dyDescent="0.25">
      <c r="A1" s="1" t="s">
        <v>1363</v>
      </c>
    </row>
    <row r="3" spans="1:30" x14ac:dyDescent="0.25">
      <c r="A3" t="s">
        <v>1358</v>
      </c>
      <c r="B3">
        <v>5</v>
      </c>
      <c r="C3">
        <f>B3+5</f>
        <v>10</v>
      </c>
      <c r="D3">
        <f>C3+5</f>
        <v>15</v>
      </c>
      <c r="E3">
        <f>D3+5</f>
        <v>20</v>
      </c>
      <c r="F3">
        <f>E3+5</f>
        <v>25</v>
      </c>
      <c r="G3">
        <f>F3+5</f>
        <v>30</v>
      </c>
    </row>
    <row r="4" spans="1:30" x14ac:dyDescent="0.25">
      <c r="A4" t="s">
        <v>1359</v>
      </c>
      <c r="B4" s="554">
        <v>9.7000000000000011</v>
      </c>
      <c r="C4" s="553">
        <v>19.2</v>
      </c>
      <c r="D4" s="553">
        <v>8.3000000000000007</v>
      </c>
      <c r="E4" s="553">
        <v>6.3</v>
      </c>
      <c r="F4" s="553">
        <v>6.7</v>
      </c>
      <c r="G4" s="555">
        <v>5.8</v>
      </c>
    </row>
    <row r="5" spans="1:30" x14ac:dyDescent="0.25">
      <c r="A5" t="s">
        <v>1360</v>
      </c>
      <c r="B5" s="214">
        <v>13</v>
      </c>
      <c r="C5" s="7">
        <v>20.2</v>
      </c>
      <c r="D5" s="7">
        <v>6.4</v>
      </c>
      <c r="E5" s="7">
        <v>6</v>
      </c>
      <c r="F5" s="7">
        <v>5.1999999999999993</v>
      </c>
      <c r="G5" s="215">
        <v>3.6</v>
      </c>
    </row>
    <row r="6" spans="1:30" x14ac:dyDescent="0.25">
      <c r="A6" t="s">
        <v>1361</v>
      </c>
      <c r="B6" s="214">
        <v>15.6</v>
      </c>
      <c r="C6" s="7">
        <v>17.7</v>
      </c>
      <c r="D6" s="7">
        <v>6.1</v>
      </c>
      <c r="E6" s="7">
        <v>3.9999999999999996</v>
      </c>
      <c r="F6" s="7">
        <v>3.1</v>
      </c>
      <c r="G6" s="215">
        <v>4.0999999999999996</v>
      </c>
    </row>
    <row r="7" spans="1:30" x14ac:dyDescent="0.25">
      <c r="A7" t="s">
        <v>1362</v>
      </c>
      <c r="B7" s="112">
        <v>7.1</v>
      </c>
      <c r="C7" s="354">
        <v>11.8</v>
      </c>
      <c r="D7" s="354">
        <v>1.7</v>
      </c>
      <c r="E7" s="354">
        <v>0.5</v>
      </c>
      <c r="F7" s="354">
        <v>0.8</v>
      </c>
      <c r="G7" s="120">
        <v>0.2</v>
      </c>
    </row>
    <row r="9" spans="1:30" ht="15.75" thickBot="1" x14ac:dyDescent="0.3">
      <c r="A9" t="s">
        <v>152</v>
      </c>
      <c r="J9" t="s">
        <v>1369</v>
      </c>
      <c r="R9" t="s">
        <v>1365</v>
      </c>
      <c r="AA9" t="s">
        <v>1366</v>
      </c>
    </row>
    <row r="10" spans="1:30" ht="15.75" thickTop="1" x14ac:dyDescent="0.25">
      <c r="AA10" s="386" t="s">
        <v>53</v>
      </c>
      <c r="AB10" s="386" t="s">
        <v>27</v>
      </c>
      <c r="AC10" s="386" t="s">
        <v>6</v>
      </c>
      <c r="AD10" s="386" t="s">
        <v>17</v>
      </c>
    </row>
    <row r="11" spans="1:30" ht="15.75" thickBot="1" x14ac:dyDescent="0.3">
      <c r="A11" t="str">
        <f>IF(A3="","",A3)</f>
        <v>Herbicide</v>
      </c>
      <c r="B11">
        <f t="shared" ref="B11:G11" si="0">B3</f>
        <v>5</v>
      </c>
      <c r="C11">
        <f t="shared" si="0"/>
        <v>10</v>
      </c>
      <c r="D11">
        <f t="shared" si="0"/>
        <v>15</v>
      </c>
      <c r="E11">
        <f t="shared" si="0"/>
        <v>20</v>
      </c>
      <c r="F11">
        <f t="shared" si="0"/>
        <v>25</v>
      </c>
      <c r="G11">
        <f t="shared" si="0"/>
        <v>30</v>
      </c>
      <c r="H11" s="612" t="s">
        <v>9</v>
      </c>
      <c r="J11" t="s">
        <v>125</v>
      </c>
      <c r="N11" t="s">
        <v>18</v>
      </c>
      <c r="O11">
        <v>0.05</v>
      </c>
      <c r="R11" t="str">
        <f>IF(A3="","",A3)</f>
        <v>Herbicide</v>
      </c>
      <c r="S11">
        <f t="shared" ref="S11:X11" si="1">B3</f>
        <v>5</v>
      </c>
      <c r="T11">
        <f t="shared" si="1"/>
        <v>10</v>
      </c>
      <c r="U11">
        <f t="shared" si="1"/>
        <v>15</v>
      </c>
      <c r="V11">
        <f t="shared" si="1"/>
        <v>20</v>
      </c>
      <c r="W11">
        <f t="shared" si="1"/>
        <v>25</v>
      </c>
      <c r="X11">
        <f t="shared" si="1"/>
        <v>30</v>
      </c>
      <c r="AA11" s="387">
        <f t="array" ref="AA11:AA16">TRANSPOSE(B3:G3)</f>
        <v>5</v>
      </c>
      <c r="AB11" s="549">
        <v>-1</v>
      </c>
      <c r="AC11" s="387">
        <f>AVERAGE(B4:B7)</f>
        <v>11.350000000000001</v>
      </c>
      <c r="AD11" s="387">
        <f>COUNT(B4:B7)</f>
        <v>4</v>
      </c>
    </row>
    <row r="12" spans="1:30" ht="15.75" thickTop="1" x14ac:dyDescent="0.25">
      <c r="A12" t="str">
        <f t="shared" ref="A12:G12" si="2">A4</f>
        <v>Field 1</v>
      </c>
      <c r="B12" s="550">
        <f t="shared" si="2"/>
        <v>9.7000000000000011</v>
      </c>
      <c r="C12" s="556">
        <f t="shared" si="2"/>
        <v>19.2</v>
      </c>
      <c r="D12" s="556">
        <f t="shared" si="2"/>
        <v>8.3000000000000007</v>
      </c>
      <c r="E12" s="556">
        <f t="shared" si="2"/>
        <v>6.3</v>
      </c>
      <c r="F12" s="556">
        <f t="shared" si="2"/>
        <v>6.7</v>
      </c>
      <c r="G12" s="557">
        <f t="shared" si="2"/>
        <v>5.8</v>
      </c>
      <c r="H12">
        <f>AVERAGE(B12:G12)</f>
        <v>9.3333333333333339</v>
      </c>
      <c r="J12" s="386" t="s">
        <v>153</v>
      </c>
      <c r="K12" s="386" t="s">
        <v>111</v>
      </c>
      <c r="L12" s="386" t="s">
        <v>41</v>
      </c>
      <c r="M12" s="386" t="s">
        <v>115</v>
      </c>
      <c r="N12" s="386" t="s">
        <v>98</v>
      </c>
      <c r="O12" s="386" t="s">
        <v>154</v>
      </c>
      <c r="P12" s="386" t="s">
        <v>155</v>
      </c>
      <c r="R12" t="s">
        <v>168</v>
      </c>
      <c r="S12" s="616">
        <v>-0.2</v>
      </c>
      <c r="T12" s="617">
        <v>1</v>
      </c>
      <c r="U12" s="617">
        <v>-0.2</v>
      </c>
      <c r="V12" s="617">
        <v>-0.2</v>
      </c>
      <c r="W12" s="617">
        <v>-0.2</v>
      </c>
      <c r="X12" s="618">
        <v>-0.2</v>
      </c>
      <c r="Y12" s="619" t="s">
        <v>389</v>
      </c>
      <c r="AA12" s="7">
        <v>10</v>
      </c>
      <c r="AB12" s="539">
        <v>1</v>
      </c>
      <c r="AC12" s="7">
        <f>AVERAGE(C4:C7)</f>
        <v>17.224999999999998</v>
      </c>
      <c r="AD12" s="7">
        <f>COUNT(C4:C7)</f>
        <v>4</v>
      </c>
    </row>
    <row r="13" spans="1:30" x14ac:dyDescent="0.25">
      <c r="A13" t="str">
        <f t="shared" ref="A13:G13" si="3">A5</f>
        <v>Field 2</v>
      </c>
      <c r="B13" s="183">
        <f t="shared" si="3"/>
        <v>13</v>
      </c>
      <c r="C13" s="7">
        <f t="shared" si="3"/>
        <v>20.2</v>
      </c>
      <c r="D13" s="7">
        <f t="shared" si="3"/>
        <v>6.4</v>
      </c>
      <c r="E13" s="7">
        <f t="shared" si="3"/>
        <v>6</v>
      </c>
      <c r="F13" s="7">
        <f t="shared" si="3"/>
        <v>5.1999999999999993</v>
      </c>
      <c r="G13" s="43">
        <f t="shared" si="3"/>
        <v>3.6</v>
      </c>
      <c r="H13">
        <f>AVERAGE(B13:G13)</f>
        <v>9.0666666666666664</v>
      </c>
      <c r="J13" t="s">
        <v>1364</v>
      </c>
      <c r="K13">
        <f>(L14+1)*DEVSQ(H12:H15)</f>
        <v>127.12125000000003</v>
      </c>
      <c r="L13">
        <f>COUNT(B12:B15)-1</f>
        <v>3</v>
      </c>
      <c r="M13">
        <f>K13/L13</f>
        <v>42.373750000000008</v>
      </c>
      <c r="N13">
        <f>M13/M15</f>
        <v>16.761215677225838</v>
      </c>
      <c r="O13">
        <f>FDIST(N13,L13,L15)</f>
        <v>4.6901407613544823E-5</v>
      </c>
      <c r="P13">
        <f>FINV(O11,L13,L15)</f>
        <v>3.2873821046365093</v>
      </c>
      <c r="R13" t="str">
        <f t="shared" ref="R13:X16" si="4">A4</f>
        <v>Field 1</v>
      </c>
      <c r="S13" s="550">
        <f t="shared" si="4"/>
        <v>9.7000000000000011</v>
      </c>
      <c r="T13" s="556">
        <f t="shared" si="4"/>
        <v>19.2</v>
      </c>
      <c r="U13" s="556">
        <f t="shared" si="4"/>
        <v>8.3000000000000007</v>
      </c>
      <c r="V13" s="556">
        <f t="shared" si="4"/>
        <v>6.3</v>
      </c>
      <c r="W13" s="556">
        <f t="shared" si="4"/>
        <v>6.7</v>
      </c>
      <c r="X13" s="557">
        <f t="shared" si="4"/>
        <v>5.8</v>
      </c>
      <c r="Y13" s="551">
        <f>SUMPRODUCT($S$12:$X$12,S13:X13)</f>
        <v>11.839999999999998</v>
      </c>
      <c r="AA13" s="7">
        <v>15</v>
      </c>
      <c r="AB13" s="539"/>
      <c r="AC13" s="7">
        <f>AVERAGE(D4:D7)</f>
        <v>5.625</v>
      </c>
      <c r="AD13" s="7">
        <f>COUNT(D4:D7)</f>
        <v>4</v>
      </c>
    </row>
    <row r="14" spans="1:30" x14ac:dyDescent="0.25">
      <c r="A14" t="str">
        <f t="shared" ref="A14:G14" si="5">A6</f>
        <v>Field 3</v>
      </c>
      <c r="B14" s="183">
        <f t="shared" si="5"/>
        <v>15.6</v>
      </c>
      <c r="C14" s="7">
        <f t="shared" si="5"/>
        <v>17.7</v>
      </c>
      <c r="D14" s="7">
        <f t="shared" si="5"/>
        <v>6.1</v>
      </c>
      <c r="E14" s="7">
        <f t="shared" si="5"/>
        <v>3.9999999999999996</v>
      </c>
      <c r="F14" s="7">
        <f t="shared" si="5"/>
        <v>3.1</v>
      </c>
      <c r="G14" s="43">
        <f t="shared" si="5"/>
        <v>4.0999999999999996</v>
      </c>
      <c r="H14">
        <f>AVERAGE(B14:G14)</f>
        <v>8.4333333333333336</v>
      </c>
      <c r="J14" t="s">
        <v>53</v>
      </c>
      <c r="K14">
        <f>(L13+1)*DEVSQ(B16:G16)</f>
        <v>611.64708333333328</v>
      </c>
      <c r="L14">
        <f>COUNT(B12:G12)-1</f>
        <v>5</v>
      </c>
      <c r="M14">
        <f>K14/L14</f>
        <v>122.32941666666666</v>
      </c>
      <c r="N14">
        <f>M14/M15</f>
        <v>48.388205821274362</v>
      </c>
      <c r="O14">
        <f>FDIST(N14,L14,L15)</f>
        <v>1.0032783080736466E-8</v>
      </c>
      <c r="P14">
        <f>FINV(O11,L14,L15)</f>
        <v>2.9012945362361564</v>
      </c>
      <c r="R14" t="str">
        <f t="shared" si="4"/>
        <v>Field 2</v>
      </c>
      <c r="S14" s="183">
        <f t="shared" si="4"/>
        <v>13</v>
      </c>
      <c r="T14" s="7">
        <f t="shared" si="4"/>
        <v>20.2</v>
      </c>
      <c r="U14" s="7">
        <f t="shared" si="4"/>
        <v>6.4</v>
      </c>
      <c r="V14" s="7">
        <f t="shared" si="4"/>
        <v>6</v>
      </c>
      <c r="W14" s="7">
        <f t="shared" si="4"/>
        <v>5.1999999999999993</v>
      </c>
      <c r="X14" s="43">
        <f t="shared" si="4"/>
        <v>3.6</v>
      </c>
      <c r="Y14" s="322">
        <f>SUMPRODUCT($S$12:$X$12,S14:X14)</f>
        <v>13.359999999999998</v>
      </c>
      <c r="AA14" s="7">
        <v>20</v>
      </c>
      <c r="AB14" s="539"/>
      <c r="AC14" s="7">
        <f>AVERAGE(E4:E7)</f>
        <v>4.2</v>
      </c>
      <c r="AD14" s="7">
        <f>COUNT(E4:E7)</f>
        <v>4</v>
      </c>
    </row>
    <row r="15" spans="1:30" x14ac:dyDescent="0.25">
      <c r="A15" t="str">
        <f t="shared" ref="A15:G15" si="6">A7</f>
        <v>Field 4</v>
      </c>
      <c r="B15" s="351">
        <f t="shared" si="6"/>
        <v>7.1</v>
      </c>
      <c r="C15" s="352">
        <f t="shared" si="6"/>
        <v>11.8</v>
      </c>
      <c r="D15" s="352">
        <f t="shared" si="6"/>
        <v>1.7</v>
      </c>
      <c r="E15" s="352">
        <f t="shared" si="6"/>
        <v>0.5</v>
      </c>
      <c r="F15" s="352">
        <f t="shared" si="6"/>
        <v>0.8</v>
      </c>
      <c r="G15" s="353">
        <f t="shared" si="6"/>
        <v>0.2</v>
      </c>
      <c r="H15">
        <f>AVERAGE(B15:G15)</f>
        <v>3.6833333333333331</v>
      </c>
      <c r="J15" t="s">
        <v>176</v>
      </c>
      <c r="K15">
        <f>K16-K13-K14</f>
        <v>37.921249999999986</v>
      </c>
      <c r="L15">
        <f>L16-L13-L14</f>
        <v>15</v>
      </c>
      <c r="M15">
        <f>K15/L15</f>
        <v>2.5280833333333326</v>
      </c>
      <c r="R15" t="str">
        <f t="shared" si="4"/>
        <v>Field 3</v>
      </c>
      <c r="S15" s="183">
        <f t="shared" si="4"/>
        <v>15.6</v>
      </c>
      <c r="T15" s="7">
        <f t="shared" si="4"/>
        <v>17.7</v>
      </c>
      <c r="U15" s="7">
        <f t="shared" si="4"/>
        <v>6.1</v>
      </c>
      <c r="V15" s="7">
        <f t="shared" si="4"/>
        <v>3.9999999999999996</v>
      </c>
      <c r="W15" s="7">
        <f t="shared" si="4"/>
        <v>3.1</v>
      </c>
      <c r="X15" s="43">
        <f t="shared" si="4"/>
        <v>4.0999999999999996</v>
      </c>
      <c r="Y15" s="322">
        <f>SUMPRODUCT($S$12:$X$12,S15:X15)</f>
        <v>11.119999999999997</v>
      </c>
      <c r="AA15" s="7">
        <v>25</v>
      </c>
      <c r="AB15" s="539"/>
      <c r="AC15" s="7">
        <f>AVERAGE(F4:F7)</f>
        <v>3.9499999999999997</v>
      </c>
      <c r="AD15" s="7">
        <f>COUNT(F4:F7)</f>
        <v>4</v>
      </c>
    </row>
    <row r="16" spans="1:30" x14ac:dyDescent="0.25">
      <c r="A16" t="s">
        <v>9</v>
      </c>
      <c r="B16">
        <f>AVERAGE(B12:B15)</f>
        <v>11.350000000000001</v>
      </c>
      <c r="C16">
        <f t="shared" ref="C16:H16" si="7">AVERAGE(C12:C15)</f>
        <v>17.224999999999998</v>
      </c>
      <c r="D16">
        <f t="shared" si="7"/>
        <v>5.625</v>
      </c>
      <c r="E16">
        <f t="shared" si="7"/>
        <v>4.2</v>
      </c>
      <c r="F16">
        <f t="shared" si="7"/>
        <v>3.9499999999999997</v>
      </c>
      <c r="G16">
        <f t="shared" si="7"/>
        <v>3.4249999999999998</v>
      </c>
      <c r="H16">
        <f t="shared" si="7"/>
        <v>7.6291666666666664</v>
      </c>
      <c r="J16" s="354" t="s">
        <v>1</v>
      </c>
      <c r="K16" s="354">
        <f>DEVSQ(B12:G15)</f>
        <v>776.6895833333333</v>
      </c>
      <c r="L16" s="354">
        <f>(L13+1)*(L14+1)-1</f>
        <v>23</v>
      </c>
      <c r="M16" s="354"/>
      <c r="N16" s="354"/>
      <c r="O16" s="354"/>
      <c r="P16" s="354"/>
      <c r="R16" t="str">
        <f t="shared" si="4"/>
        <v>Field 4</v>
      </c>
      <c r="S16" s="351">
        <f t="shared" si="4"/>
        <v>7.1</v>
      </c>
      <c r="T16" s="352">
        <f t="shared" si="4"/>
        <v>11.8</v>
      </c>
      <c r="U16" s="352">
        <f t="shared" si="4"/>
        <v>1.7</v>
      </c>
      <c r="V16" s="352">
        <f t="shared" si="4"/>
        <v>0.5</v>
      </c>
      <c r="W16" s="352">
        <f t="shared" si="4"/>
        <v>0.8</v>
      </c>
      <c r="X16" s="353">
        <f t="shared" si="4"/>
        <v>0.2</v>
      </c>
      <c r="Y16" s="349">
        <f>SUMPRODUCT($S$12:$X$12,S16:X16)</f>
        <v>9.740000000000002</v>
      </c>
      <c r="AA16" s="354">
        <v>30</v>
      </c>
      <c r="AB16" s="540"/>
      <c r="AC16" s="354">
        <f>AVERAGE(G4:G7)</f>
        <v>3.4249999999999998</v>
      </c>
      <c r="AD16" s="354">
        <f>COUNT(G4:G7)</f>
        <v>4</v>
      </c>
    </row>
    <row r="17" spans="1:35" x14ac:dyDescent="0.25">
      <c r="A17" t="s">
        <v>54</v>
      </c>
      <c r="B17">
        <f>VAR(B12:B15)</f>
        <v>13.856666666666646</v>
      </c>
      <c r="C17">
        <f t="shared" ref="C17:H17" si="8">VAR(C12:C15)</f>
        <v>14.135833333333343</v>
      </c>
      <c r="D17">
        <f t="shared" si="8"/>
        <v>7.7958333333333298</v>
      </c>
      <c r="E17">
        <f t="shared" si="8"/>
        <v>7.1266666666666652</v>
      </c>
      <c r="F17">
        <f t="shared" si="8"/>
        <v>6.5900000000000007</v>
      </c>
      <c r="G17">
        <f t="shared" si="8"/>
        <v>5.5091666666666681</v>
      </c>
      <c r="H17">
        <f t="shared" si="8"/>
        <v>7.0622916666666713</v>
      </c>
      <c r="X17" t="s">
        <v>6</v>
      </c>
      <c r="Y17" s="551">
        <f>AVERAGE(Y13:Y16)</f>
        <v>11.514999999999999</v>
      </c>
      <c r="AB17">
        <f>SUM(AB11:AB16)</f>
        <v>0</v>
      </c>
      <c r="AC17">
        <f>SUMPRODUCT(AB11:AB16,AC11:AC16)</f>
        <v>5.8749999999999964</v>
      </c>
      <c r="AD17">
        <f>SUMPRODUCT(ABS(AB11:AB16),AD11:AD16)/SUMPRODUCT(ABS(AB11:AB16))</f>
        <v>4</v>
      </c>
    </row>
    <row r="18" spans="1:35" ht="15.75" thickBot="1" x14ac:dyDescent="0.3">
      <c r="X18" t="s">
        <v>52</v>
      </c>
      <c r="Y18" s="322">
        <f>STDEV(Y13:Y16)</f>
        <v>1.5073486657041182</v>
      </c>
      <c r="AA18" t="s">
        <v>801</v>
      </c>
      <c r="AF18" t="s">
        <v>18</v>
      </c>
      <c r="AG18">
        <v>0.05</v>
      </c>
    </row>
    <row r="19" spans="1:35" ht="15.75" thickTop="1" x14ac:dyDescent="0.25">
      <c r="X19" t="s">
        <v>390</v>
      </c>
      <c r="Y19" s="349">
        <f>Y18/SQRT(COUNTA(Y13:Y16))</f>
        <v>0.75367433285205909</v>
      </c>
      <c r="AA19" s="386" t="s">
        <v>390</v>
      </c>
      <c r="AB19" s="386" t="s">
        <v>800</v>
      </c>
      <c r="AC19" s="386" t="s">
        <v>41</v>
      </c>
      <c r="AD19" s="386" t="s">
        <v>166</v>
      </c>
      <c r="AE19" s="386" t="s">
        <v>75</v>
      </c>
      <c r="AF19" s="386" t="s">
        <v>15</v>
      </c>
      <c r="AG19" s="386" t="s">
        <v>16</v>
      </c>
      <c r="AH19" s="386" t="s">
        <v>48</v>
      </c>
      <c r="AI19" s="386" t="s">
        <v>45</v>
      </c>
    </row>
    <row r="20" spans="1:35" x14ac:dyDescent="0.25">
      <c r="AA20" s="500" t="e">
        <f ca="1">SQRT(MSWF(B4:G7,1)/AD17)</f>
        <v>#NAME?</v>
      </c>
      <c r="AB20" s="500" t="e">
        <f ca="1">AC17/AA20</f>
        <v>#NAME?</v>
      </c>
      <c r="AC20" s="500" t="e">
        <f ca="1">dfWF(B4:G7,1)</f>
        <v>#NAME?</v>
      </c>
      <c r="AD20" s="500" t="e">
        <f ca="1">QCRIT(COUNT(AD11:AD16),AC20,AG18,2)</f>
        <v>#NAME?</v>
      </c>
      <c r="AE20" s="500" t="e">
        <f ca="1">AA20*AD20</f>
        <v>#NAME?</v>
      </c>
      <c r="AF20" s="500" t="e">
        <f ca="1">AC17-AA20*AD20</f>
        <v>#NAME?</v>
      </c>
      <c r="AG20" s="500" t="e">
        <f ca="1">AC17+AA20*AD20</f>
        <v>#NAME?</v>
      </c>
      <c r="AH20" s="500" t="e">
        <f ca="1">QDIST(ABS(AB20),COUNT(AD11:AD16),AC20)</f>
        <v>#NAME?</v>
      </c>
      <c r="AI20" s="500" t="e">
        <f ca="1">ABS(AC17)/(AA20*SQRT(AD17))</f>
        <v>#NAME?</v>
      </c>
    </row>
    <row r="21" spans="1:35" ht="15.75" thickBot="1" x14ac:dyDescent="0.3">
      <c r="R21" t="s">
        <v>46</v>
      </c>
      <c r="U21" t="s">
        <v>18</v>
      </c>
      <c r="V21">
        <v>0.05</v>
      </c>
    </row>
    <row r="22" spans="1:35" ht="15.75" thickTop="1" x14ac:dyDescent="0.25">
      <c r="R22" s="386" t="s">
        <v>6</v>
      </c>
      <c r="S22" s="386" t="s">
        <v>390</v>
      </c>
      <c r="T22" s="386" t="s">
        <v>60</v>
      </c>
      <c r="U22" s="386" t="s">
        <v>41</v>
      </c>
      <c r="V22" s="386" t="s">
        <v>48</v>
      </c>
      <c r="W22" s="386" t="s">
        <v>164</v>
      </c>
      <c r="X22" s="386" t="s">
        <v>398</v>
      </c>
      <c r="Y22" s="386" t="s">
        <v>399</v>
      </c>
    </row>
    <row r="23" spans="1:35" x14ac:dyDescent="0.25">
      <c r="R23" s="500">
        <f>Y17</f>
        <v>11.514999999999999</v>
      </c>
      <c r="S23" s="500">
        <f>Y19</f>
        <v>0.75367433285205909</v>
      </c>
      <c r="T23" s="500">
        <f>R23/S23</f>
        <v>15.278482360444549</v>
      </c>
      <c r="U23" s="500">
        <f>COUNTA(Y13:Y16)-1</f>
        <v>3</v>
      </c>
      <c r="V23" s="500">
        <f>TDIST(ABS(T23),U23,2)</f>
        <v>6.0893737190653751E-4</v>
      </c>
      <c r="W23" s="611" t="str">
        <f>IF(V23&lt;V21,"yes","no")</f>
        <v>yes</v>
      </c>
      <c r="X23" s="500">
        <f>ABS(Y17)/Y18</f>
        <v>7.6392411802222746</v>
      </c>
      <c r="Y23" s="500">
        <f>SQRT(R23^2/(R23^2+U23))</f>
        <v>0.9888757895203325</v>
      </c>
      <c r="Z23" s="612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O83"/>
  <sheetViews>
    <sheetView zoomScaleNormal="100" workbookViewId="0"/>
  </sheetViews>
  <sheetFormatPr defaultRowHeight="15" x14ac:dyDescent="0.25"/>
  <cols>
    <col min="1" max="1" width="5" customWidth="1"/>
    <col min="2" max="6" width="7.5703125" customWidth="1"/>
    <col min="7" max="9" width="7.5703125" style="612" customWidth="1"/>
    <col min="10" max="10" width="7.5703125" customWidth="1"/>
    <col min="11" max="11" width="3.28515625" customWidth="1"/>
    <col min="12" max="14" width="6" customWidth="1"/>
    <col min="15" max="15" width="7.28515625" customWidth="1"/>
    <col min="18" max="18" width="6" customWidth="1"/>
    <col min="19" max="19" width="16.140625" customWidth="1"/>
    <col min="21" max="21" width="6.5703125" customWidth="1"/>
    <col min="25" max="25" width="6.5703125" customWidth="1"/>
  </cols>
  <sheetData>
    <row r="1" spans="1:67" ht="15.75" thickBot="1" x14ac:dyDescent="0.3">
      <c r="A1" s="1" t="s">
        <v>1411</v>
      </c>
      <c r="G1" s="39" t="s">
        <v>819</v>
      </c>
      <c r="L1" t="s">
        <v>13</v>
      </c>
      <c r="S1" t="s">
        <v>1412</v>
      </c>
      <c r="AA1" t="s">
        <v>1419</v>
      </c>
      <c r="AL1" t="s">
        <v>1420</v>
      </c>
      <c r="AW1" t="s">
        <v>1421</v>
      </c>
      <c r="BG1" t="s">
        <v>1422</v>
      </c>
    </row>
    <row r="2" spans="1:67" ht="15.75" thickTop="1" x14ac:dyDescent="0.25">
      <c r="AA2" s="386" t="s">
        <v>53</v>
      </c>
      <c r="AB2" s="386" t="s">
        <v>27</v>
      </c>
      <c r="AC2" s="386" t="s">
        <v>6</v>
      </c>
      <c r="AD2" s="386" t="s">
        <v>110</v>
      </c>
      <c r="AL2" s="386" t="s">
        <v>53</v>
      </c>
      <c r="AM2" s="386" t="s">
        <v>27</v>
      </c>
      <c r="AN2" s="386" t="s">
        <v>6</v>
      </c>
      <c r="AO2" s="386" t="s">
        <v>110</v>
      </c>
      <c r="AW2" s="386" t="s">
        <v>53</v>
      </c>
      <c r="AX2" s="386" t="s">
        <v>27</v>
      </c>
      <c r="AY2" s="386" t="s">
        <v>6</v>
      </c>
      <c r="AZ2" s="386" t="s">
        <v>110</v>
      </c>
      <c r="BG2" s="386" t="s">
        <v>53</v>
      </c>
      <c r="BH2" s="386" t="s">
        <v>27</v>
      </c>
      <c r="BI2" s="386" t="s">
        <v>6</v>
      </c>
      <c r="BJ2" s="386" t="s">
        <v>110</v>
      </c>
    </row>
    <row r="3" spans="1:67" ht="15.75" thickBot="1" x14ac:dyDescent="0.3">
      <c r="B3" s="612" t="s">
        <v>109</v>
      </c>
      <c r="C3" s="612" t="s">
        <v>95</v>
      </c>
      <c r="D3" s="612" t="s">
        <v>96</v>
      </c>
      <c r="E3" s="612" t="s">
        <v>97</v>
      </c>
      <c r="G3" s="599" t="e">
        <f t="array" aca="1" ref="G3:J38" ca="1">Split2Std(A3:E12, 3)</f>
        <v>#NAME?</v>
      </c>
      <c r="H3" s="666" t="e">
        <f ca="1"/>
        <v>#NAME?</v>
      </c>
      <c r="I3" s="666" t="e">
        <f ca="1"/>
        <v>#NAME?</v>
      </c>
      <c r="J3" s="557" t="e">
        <f ca="1"/>
        <v>#NAME?</v>
      </c>
      <c r="O3" s="12" t="s">
        <v>12</v>
      </c>
      <c r="P3" s="12" t="s">
        <v>9</v>
      </c>
      <c r="Q3" s="12" t="s">
        <v>54</v>
      </c>
      <c r="S3" t="s">
        <v>125</v>
      </c>
      <c r="W3" s="612" t="s">
        <v>18</v>
      </c>
      <c r="X3" s="612">
        <v>0.05</v>
      </c>
      <c r="AA3" s="664" t="e">
        <f t="array" ref="AA3:AA6" ca="1">N10:N13</f>
        <v>#NAME?</v>
      </c>
      <c r="AB3" s="665"/>
      <c r="AC3" s="664" t="e">
        <f t="array" ref="AC3:AC6" ca="1">P10:P13</f>
        <v>#NAME?</v>
      </c>
      <c r="AD3" s="664">
        <f t="array" ref="AD3:AD6" ca="1">O10:O13</f>
        <v>1296</v>
      </c>
      <c r="AL3" s="664" t="e">
        <f t="array" ref="AL3:AL5" ca="1">M7:M9</f>
        <v>#NAME?</v>
      </c>
      <c r="AM3" s="665"/>
      <c r="AN3" s="664" t="e">
        <f t="array" ref="AN3:AN5" ca="1">P7:P9</f>
        <v>#NAME?</v>
      </c>
      <c r="AO3" s="664">
        <f t="array" ref="AO3:AO5" ca="1">O7:O9</f>
        <v>1296</v>
      </c>
      <c r="AW3" s="664" t="e">
        <f t="array" ref="AW3:AW6" ca="1">N10:N13</f>
        <v>#NAME?</v>
      </c>
      <c r="AX3" s="665"/>
      <c r="AY3" s="664" t="e">
        <f t="array" ref="AY3:AY6" ca="1">P10:P13</f>
        <v>#NAME?</v>
      </c>
      <c r="AZ3" s="664">
        <f t="array" ref="AZ3:AZ6" ca="1">O10:O13</f>
        <v>1296</v>
      </c>
      <c r="BG3" s="664" t="e">
        <f t="array" ref="BG3:BG5" ca="1">M7:M9</f>
        <v>#NAME?</v>
      </c>
      <c r="BH3" s="665"/>
      <c r="BI3" s="664" t="e">
        <f t="array" ref="BI3:BI5" ca="1">P7:P9</f>
        <v>#NAME?</v>
      </c>
      <c r="BJ3" s="664">
        <f t="array" ref="BJ3:BJ5" ca="1">O7:O9</f>
        <v>1296</v>
      </c>
    </row>
    <row r="4" spans="1:67" ht="15.75" thickTop="1" x14ac:dyDescent="0.25">
      <c r="A4" s="612">
        <v>580</v>
      </c>
      <c r="B4" s="646">
        <v>217</v>
      </c>
      <c r="C4" s="387">
        <v>158</v>
      </c>
      <c r="D4" s="387">
        <v>229</v>
      </c>
      <c r="E4" s="647">
        <v>223</v>
      </c>
      <c r="G4" s="182" t="e">
        <f ca="1"/>
        <v>#NAME?</v>
      </c>
      <c r="H4" s="613" t="e">
        <f ca="1"/>
        <v>#NAME?</v>
      </c>
      <c r="I4" s="613" t="e">
        <f ca="1"/>
        <v>#NAME?</v>
      </c>
      <c r="J4" s="43" t="e">
        <f ca="1"/>
        <v>#NAME?</v>
      </c>
      <c r="L4" s="550" t="e">
        <f t="array" aca="1" ref="L4:L6" ca="1">SortUnique(G3:G38)</f>
        <v>#NAME?</v>
      </c>
      <c r="M4" s="556"/>
      <c r="N4" s="557"/>
      <c r="O4" s="550">
        <f ca="1">SUMIF($L$47:$L$82,L4,$O$47:$O$82)</f>
        <v>1296</v>
      </c>
      <c r="P4" s="556" t="e">
        <f ca="1">IF(O4=0,"",AVERAGEIF($G$3:$G$38,$L4,$J$3:$J$38))</f>
        <v>#NAME?</v>
      </c>
      <c r="Q4" s="557" t="e">
        <f t="array" aca="1" ref="Q4" ca="1">IF(O4&lt;2,"",VAR(IF($G$3:$G$38=$L4,$J$3:$J$38,"")))</f>
        <v>#NAME?</v>
      </c>
      <c r="S4" s="386"/>
      <c r="T4" s="386" t="s">
        <v>111</v>
      </c>
      <c r="U4" s="386" t="s">
        <v>41</v>
      </c>
      <c r="V4" s="386" t="s">
        <v>115</v>
      </c>
      <c r="W4" s="386" t="s">
        <v>98</v>
      </c>
      <c r="X4" s="386" t="s">
        <v>48</v>
      </c>
      <c r="Y4" s="386" t="s">
        <v>164</v>
      </c>
      <c r="AA4" s="7" t="e">
        <f ca="1"/>
        <v>#NAME?</v>
      </c>
      <c r="AB4" s="539">
        <v>-1</v>
      </c>
      <c r="AC4" s="7" t="e">
        <f ca="1"/>
        <v>#NAME?</v>
      </c>
      <c r="AD4" s="7">
        <f ca="1"/>
        <v>1296</v>
      </c>
      <c r="AL4" s="7" t="e">
        <f ca="1"/>
        <v>#NAME?</v>
      </c>
      <c r="AM4" s="539">
        <v>1</v>
      </c>
      <c r="AN4" s="7" t="e">
        <f ca="1"/>
        <v>#NAME?</v>
      </c>
      <c r="AO4" s="7">
        <f ca="1"/>
        <v>1296</v>
      </c>
      <c r="AW4" s="7" t="e">
        <f ca="1"/>
        <v>#NAME?</v>
      </c>
      <c r="AX4" s="539">
        <v>-1</v>
      </c>
      <c r="AY4" s="7" t="e">
        <f ca="1"/>
        <v>#NAME?</v>
      </c>
      <c r="AZ4" s="7">
        <f ca="1"/>
        <v>1296</v>
      </c>
      <c r="BG4" s="7" t="e">
        <f ca="1"/>
        <v>#NAME?</v>
      </c>
      <c r="BH4" s="539">
        <v>1</v>
      </c>
      <c r="BI4" s="7" t="e">
        <f ca="1"/>
        <v>#NAME?</v>
      </c>
      <c r="BJ4" s="7">
        <f ca="1"/>
        <v>1296</v>
      </c>
    </row>
    <row r="5" spans="1:67" x14ac:dyDescent="0.25">
      <c r="A5" s="612">
        <v>600</v>
      </c>
      <c r="B5" s="214">
        <v>233</v>
      </c>
      <c r="C5" s="7">
        <v>138</v>
      </c>
      <c r="D5" s="7">
        <v>186</v>
      </c>
      <c r="E5" s="215">
        <v>227</v>
      </c>
      <c r="G5" s="182" t="e">
        <f ca="1"/>
        <v>#NAME?</v>
      </c>
      <c r="H5" s="613" t="e">
        <f ca="1"/>
        <v>#NAME?</v>
      </c>
      <c r="I5" s="613" t="e">
        <f ca="1"/>
        <v>#NAME?</v>
      </c>
      <c r="J5" s="43" t="e">
        <f ca="1"/>
        <v>#NAME?</v>
      </c>
      <c r="L5" s="183" t="e">
        <f ca="1"/>
        <v>#NAME?</v>
      </c>
      <c r="M5" s="7"/>
      <c r="N5" s="43"/>
      <c r="O5" s="183">
        <f ca="1">SUMIF($L$47:$L$82,L5,$O$47:$O$82)</f>
        <v>1296</v>
      </c>
      <c r="P5" s="7" t="e">
        <f ca="1">IF(O5=0,"",AVERAGEIF($G$3:$G$38,$L5,$J$3:$J$38))</f>
        <v>#NAME?</v>
      </c>
      <c r="Q5" s="43" t="e">
        <f t="array" aca="1" ref="Q5" ca="1">IF(O5&lt;2,"",VAR(IF($G$3:$G$38=$L5,$J$3:$J$38,"")))</f>
        <v>#NAME?</v>
      </c>
      <c r="S5" t="s">
        <v>1413</v>
      </c>
      <c r="T5" t="e">
        <f ca="1">DEVSQ(P4:P6)*O4</f>
        <v>#NAME?</v>
      </c>
      <c r="U5">
        <f ca="1">COUNT(P4:P6)-1</f>
        <v>-1</v>
      </c>
      <c r="V5" t="e">
        <f t="shared" ref="V5:V11" ca="1" si="0">T5/U5</f>
        <v>#NAME?</v>
      </c>
      <c r="W5" t="e">
        <f ca="1">V5/V7</f>
        <v>#NAME?</v>
      </c>
      <c r="X5" t="e">
        <f ca="1">FDIST(W5,U5,U7)</f>
        <v>#NAME?</v>
      </c>
      <c r="Y5" s="612" t="e">
        <f ca="1">IF(X5&lt;X3,"yes","no")</f>
        <v>#NAME?</v>
      </c>
      <c r="AA5" s="7" t="e">
        <f ca="1"/>
        <v>#NAME?</v>
      </c>
      <c r="AB5" s="539">
        <v>1</v>
      </c>
      <c r="AC5" s="7" t="e">
        <f ca="1"/>
        <v>#NAME?</v>
      </c>
      <c r="AD5" s="7">
        <f ca="1"/>
        <v>1296</v>
      </c>
      <c r="AL5" s="354" t="e">
        <f ca="1"/>
        <v>#NAME?</v>
      </c>
      <c r="AM5" s="540">
        <v>-1</v>
      </c>
      <c r="AN5" s="354" t="e">
        <f ca="1"/>
        <v>#NAME?</v>
      </c>
      <c r="AO5" s="354">
        <f ca="1"/>
        <v>1296</v>
      </c>
      <c r="AW5" s="7" t="e">
        <f ca="1"/>
        <v>#NAME?</v>
      </c>
      <c r="AX5" s="539">
        <v>1</v>
      </c>
      <c r="AY5" s="7" t="e">
        <f ca="1"/>
        <v>#NAME?</v>
      </c>
      <c r="AZ5" s="7">
        <f ca="1"/>
        <v>1296</v>
      </c>
      <c r="BG5" s="354" t="e">
        <f ca="1"/>
        <v>#NAME?</v>
      </c>
      <c r="BH5" s="540">
        <v>-1</v>
      </c>
      <c r="BI5" s="354" t="e">
        <f ca="1"/>
        <v>#NAME?</v>
      </c>
      <c r="BJ5" s="354">
        <f ca="1"/>
        <v>1296</v>
      </c>
    </row>
    <row r="6" spans="1:67" x14ac:dyDescent="0.25">
      <c r="A6" s="612">
        <v>620</v>
      </c>
      <c r="B6" s="214">
        <v>175</v>
      </c>
      <c r="C6" s="7">
        <v>152</v>
      </c>
      <c r="D6" s="7">
        <v>155</v>
      </c>
      <c r="E6" s="215">
        <v>156</v>
      </c>
      <c r="G6" s="182" t="e">
        <f ca="1"/>
        <v>#NAME?</v>
      </c>
      <c r="H6" s="613" t="e">
        <f ca="1"/>
        <v>#NAME?</v>
      </c>
      <c r="I6" s="613" t="e">
        <f ca="1"/>
        <v>#NAME?</v>
      </c>
      <c r="J6" s="43" t="e">
        <f ca="1"/>
        <v>#NAME?</v>
      </c>
      <c r="L6" s="183" t="e">
        <f ca="1"/>
        <v>#NAME?</v>
      </c>
      <c r="M6" s="7"/>
      <c r="N6" s="43"/>
      <c r="O6" s="183">
        <f ca="1">SUMIF($L$47:$L$82,L6,$O$47:$O$82)</f>
        <v>1296</v>
      </c>
      <c r="P6" s="7" t="e">
        <f ca="1">IF(O6=0,"",AVERAGEIF($G$3:$G$38,$L6,$J$3:$J$38))</f>
        <v>#NAME?</v>
      </c>
      <c r="Q6" s="43" t="e">
        <f t="array" aca="1" ref="Q6" ca="1">IF(O6&lt;2,"",VAR(IF($G$3:$G$38=$L6,$J$3:$J$38,"")))</f>
        <v>#NAME?</v>
      </c>
      <c r="S6" t="s">
        <v>1414</v>
      </c>
      <c r="T6" t="e">
        <f ca="1">DEVSQ(P10:P13)*O10</f>
        <v>#NAME?</v>
      </c>
      <c r="U6">
        <f ca="1">COUNT(P10:P13)-1</f>
        <v>-1</v>
      </c>
      <c r="V6" t="e">
        <f t="shared" ca="1" si="0"/>
        <v>#NAME?</v>
      </c>
      <c r="W6" t="e">
        <f ca="1">V6/V7</f>
        <v>#NAME?</v>
      </c>
      <c r="X6" t="e">
        <f ca="1">FDIST(W6,U6,U7)</f>
        <v>#NAME?</v>
      </c>
      <c r="Y6" s="612" t="e">
        <f ca="1">IF(X6&lt;X3,"yes","no")</f>
        <v>#NAME?</v>
      </c>
      <c r="AA6" s="354" t="e">
        <f ca="1"/>
        <v>#NAME?</v>
      </c>
      <c r="AB6" s="540"/>
      <c r="AC6" s="354" t="e">
        <f ca="1"/>
        <v>#NAME?</v>
      </c>
      <c r="AD6" s="354">
        <f ca="1"/>
        <v>1296</v>
      </c>
      <c r="AM6">
        <f>SUM(AM3:AM5)</f>
        <v>0</v>
      </c>
      <c r="AN6" t="e">
        <f ca="1">SUMPRODUCT(AM3:AM5,AN3:AN5)</f>
        <v>#NAME?</v>
      </c>
      <c r="AO6">
        <f ca="1">HARMEAN(AO3:AO5)</f>
        <v>1296</v>
      </c>
      <c r="AW6" s="354" t="e">
        <f ca="1"/>
        <v>#NAME?</v>
      </c>
      <c r="AX6" s="540"/>
      <c r="AY6" s="354" t="e">
        <f ca="1"/>
        <v>#NAME?</v>
      </c>
      <c r="AZ6" s="354">
        <f ca="1"/>
        <v>1296</v>
      </c>
      <c r="BH6">
        <f>SUM(BH3:BH5)</f>
        <v>0</v>
      </c>
      <c r="BI6" t="e">
        <f ca="1">SUMPRODUCT(BH3:BH5,BI3:BI5)</f>
        <v>#NAME?</v>
      </c>
      <c r="BJ6">
        <f ca="1">HARMEAN(BJ3:BJ5)</f>
        <v>1296</v>
      </c>
    </row>
    <row r="7" spans="1:67" ht="15.75" thickBot="1" x14ac:dyDescent="0.3">
      <c r="A7" s="612">
        <v>580</v>
      </c>
      <c r="B7" s="646">
        <v>188</v>
      </c>
      <c r="C7" s="387">
        <v>126</v>
      </c>
      <c r="D7" s="387">
        <v>160</v>
      </c>
      <c r="E7" s="647">
        <v>201</v>
      </c>
      <c r="G7" s="182" t="e">
        <f ca="1"/>
        <v>#NAME?</v>
      </c>
      <c r="H7" s="613" t="e">
        <f ca="1"/>
        <v>#NAME?</v>
      </c>
      <c r="I7" s="613" t="e">
        <f ca="1"/>
        <v>#NAME?</v>
      </c>
      <c r="J7" s="43" t="e">
        <f ca="1"/>
        <v>#NAME?</v>
      </c>
      <c r="L7" s="183"/>
      <c r="M7" s="7" t="e">
        <f t="array" aca="1" ref="M7:M9" ca="1">SortUnique(H3:H38)</f>
        <v>#NAME?</v>
      </c>
      <c r="N7" s="43"/>
      <c r="O7" s="183">
        <f ca="1">SUMIF($M$47:$M$82,M7,$O$47:$O$82)</f>
        <v>1296</v>
      </c>
      <c r="P7" s="7" t="e">
        <f ca="1">IF(O7=0,"",AVERAGEIF($H$3:$H$38,$M7,$J$3:$J$38))</f>
        <v>#NAME?</v>
      </c>
      <c r="Q7" s="43" t="e">
        <f t="array" aca="1" ref="Q7" ca="1">IF(O7&lt;2,"",VAR(IF($H$3:$H$38=$M7,$J$3:$J$38,"")))</f>
        <v>#NAME?</v>
      </c>
      <c r="S7" s="354" t="s">
        <v>1415</v>
      </c>
      <c r="T7" s="354" t="e">
        <f ca="1">DEVSQ(P23:P34)*O23-T5-T6</f>
        <v>#NAME?</v>
      </c>
      <c r="U7" s="354">
        <f ca="1">U5*U6</f>
        <v>1</v>
      </c>
      <c r="V7" s="354" t="e">
        <f t="shared" ca="1" si="0"/>
        <v>#NAME?</v>
      </c>
      <c r="W7" s="354" t="e">
        <f ca="1">V7/V10</f>
        <v>#NAME?</v>
      </c>
      <c r="X7" s="354" t="e">
        <f ca="1">FDIST(W7,U7,U10)</f>
        <v>#NAME?</v>
      </c>
      <c r="Y7" s="614" t="e">
        <f ca="1">IF(X7&lt;X3,"yes","no")</f>
        <v>#NAME?</v>
      </c>
      <c r="AB7">
        <f>SUM(AB3:AB6)</f>
        <v>0</v>
      </c>
      <c r="AC7" t="e">
        <f ca="1">SUMPRODUCT(AB3:AB6,AC3:AC6)</f>
        <v>#NAME?</v>
      </c>
      <c r="AD7">
        <f ca="1">HARMEAN(AD3:AD6)</f>
        <v>1296</v>
      </c>
      <c r="AL7" t="s">
        <v>46</v>
      </c>
      <c r="AQ7" t="s">
        <v>18</v>
      </c>
      <c r="AR7">
        <v>0.05</v>
      </c>
      <c r="AX7">
        <f>SUM(AX3:AX6)</f>
        <v>0</v>
      </c>
      <c r="AY7" t="e">
        <f ca="1">SUMPRODUCT(AX3:AX6,AY3:AY6)</f>
        <v>#NAME?</v>
      </c>
      <c r="AZ7">
        <f ca="1">HARMEAN(AZ3:AZ6)</f>
        <v>1296</v>
      </c>
      <c r="BG7" t="s">
        <v>801</v>
      </c>
      <c r="BK7" s="612" t="s">
        <v>18</v>
      </c>
      <c r="BL7" s="612">
        <v>0.05</v>
      </c>
    </row>
    <row r="8" spans="1:67" ht="16.5" thickTop="1" thickBot="1" x14ac:dyDescent="0.3">
      <c r="A8" s="612">
        <v>600</v>
      </c>
      <c r="B8" s="214">
        <v>201</v>
      </c>
      <c r="C8" s="7">
        <v>130</v>
      </c>
      <c r="D8" s="7">
        <v>170</v>
      </c>
      <c r="E8" s="215">
        <v>181</v>
      </c>
      <c r="G8" s="182" t="e">
        <f ca="1"/>
        <v>#NAME?</v>
      </c>
      <c r="H8" s="613" t="e">
        <f ca="1"/>
        <v>#NAME?</v>
      </c>
      <c r="I8" s="613" t="e">
        <f ca="1"/>
        <v>#NAME?</v>
      </c>
      <c r="J8" s="43" t="e">
        <f ca="1"/>
        <v>#NAME?</v>
      </c>
      <c r="L8" s="183"/>
      <c r="M8" s="7" t="e">
        <f ca="1"/>
        <v>#NAME?</v>
      </c>
      <c r="N8" s="43"/>
      <c r="O8" s="183">
        <f ca="1">SUMIF($M$47:$M$82,M8,$O$47:$O$82)</f>
        <v>1296</v>
      </c>
      <c r="P8" s="7" t="e">
        <f ca="1">IF(O8=0,"",AVERAGEIF($H$3:$H$38,$M8,$J$3:$J$38))</f>
        <v>#NAME?</v>
      </c>
      <c r="Q8" s="43" t="e">
        <f t="array" aca="1" ref="Q8" ca="1">IF(O8&lt;2,"",VAR(IF($H$3:$H$38=$M8,$J$3:$J$38,"")))</f>
        <v>#NAME?</v>
      </c>
      <c r="S8" t="s">
        <v>1416</v>
      </c>
      <c r="T8" t="e">
        <f ca="1">DEVSQ(P7:P9)*O7</f>
        <v>#NAME?</v>
      </c>
      <c r="U8">
        <f ca="1">COUNT(P7:P9)-1</f>
        <v>-1</v>
      </c>
      <c r="V8" t="e">
        <f t="shared" ca="1" si="0"/>
        <v>#NAME?</v>
      </c>
      <c r="W8" t="e">
        <f ca="1">V8/V10</f>
        <v>#NAME?</v>
      </c>
      <c r="X8" t="e">
        <f ca="1">FDIST(W8,U8,U10)</f>
        <v>#NAME?</v>
      </c>
      <c r="Y8" s="612" t="e">
        <f ca="1">IF(X8&lt;X3,"yes","no")</f>
        <v>#NAME?</v>
      </c>
      <c r="AA8" t="s">
        <v>46</v>
      </c>
      <c r="AF8" t="s">
        <v>18</v>
      </c>
      <c r="AG8">
        <v>0.05</v>
      </c>
      <c r="AL8" s="386" t="s">
        <v>390</v>
      </c>
      <c r="AM8" s="386" t="s">
        <v>60</v>
      </c>
      <c r="AN8" s="386" t="s">
        <v>41</v>
      </c>
      <c r="AO8" s="386" t="s">
        <v>48</v>
      </c>
      <c r="AP8" s="386" t="s">
        <v>49</v>
      </c>
      <c r="AQ8" s="386" t="s">
        <v>15</v>
      </c>
      <c r="AR8" s="386" t="s">
        <v>16</v>
      </c>
      <c r="AS8" s="386" t="s">
        <v>164</v>
      </c>
      <c r="AT8" s="386" t="s">
        <v>45</v>
      </c>
      <c r="AU8" s="386" t="s">
        <v>399</v>
      </c>
      <c r="AW8" t="s">
        <v>801</v>
      </c>
      <c r="BA8" s="612" t="s">
        <v>18</v>
      </c>
      <c r="BB8" s="612">
        <v>0.05</v>
      </c>
      <c r="BG8" s="386" t="s">
        <v>390</v>
      </c>
      <c r="BH8" s="386" t="s">
        <v>800</v>
      </c>
      <c r="BI8" s="386" t="s">
        <v>41</v>
      </c>
      <c r="BJ8" s="386" t="s">
        <v>166</v>
      </c>
      <c r="BK8" s="386" t="s">
        <v>15</v>
      </c>
      <c r="BL8" s="386" t="s">
        <v>16</v>
      </c>
      <c r="BM8" s="386" t="s">
        <v>48</v>
      </c>
      <c r="BN8" s="386" t="s">
        <v>75</v>
      </c>
      <c r="BO8" s="386" t="s">
        <v>45</v>
      </c>
    </row>
    <row r="9" spans="1:67" ht="15.75" thickTop="1" x14ac:dyDescent="0.25">
      <c r="A9" s="612">
        <v>620</v>
      </c>
      <c r="B9" s="112">
        <v>195</v>
      </c>
      <c r="C9" s="354">
        <v>147</v>
      </c>
      <c r="D9" s="354">
        <v>161</v>
      </c>
      <c r="E9" s="120">
        <v>172</v>
      </c>
      <c r="G9" s="182" t="e">
        <f ca="1"/>
        <v>#NAME?</v>
      </c>
      <c r="H9" s="613" t="e">
        <f ca="1"/>
        <v>#NAME?</v>
      </c>
      <c r="I9" s="613" t="e">
        <f ca="1"/>
        <v>#NAME?</v>
      </c>
      <c r="J9" s="43" t="e">
        <f ca="1"/>
        <v>#NAME?</v>
      </c>
      <c r="L9" s="183"/>
      <c r="M9" s="7" t="e">
        <f ca="1"/>
        <v>#NAME?</v>
      </c>
      <c r="N9" s="43"/>
      <c r="O9" s="183">
        <f ca="1">SUMIF($M$47:$M$82,M9,$O$47:$O$82)</f>
        <v>1296</v>
      </c>
      <c r="P9" s="7" t="e">
        <f ca="1">IF(O9=0,"",AVERAGEIF($H$3:$H$38,$M9,$J$3:$J$38))</f>
        <v>#NAME?</v>
      </c>
      <c r="Q9" s="43" t="e">
        <f t="array" aca="1" ref="Q9" ca="1">IF(O9&lt;2,"",VAR(IF($H$3:$H$38=$M9,$J$3:$J$38,"")))</f>
        <v>#NAME?</v>
      </c>
      <c r="S9" t="s">
        <v>1417</v>
      </c>
      <c r="T9" t="e">
        <f ca="1">DEVSQ(P35:P46)*O35-T6-T8</f>
        <v>#NAME?</v>
      </c>
      <c r="U9">
        <f ca="1">U6*U8</f>
        <v>1</v>
      </c>
      <c r="V9" t="e">
        <f t="shared" ca="1" si="0"/>
        <v>#NAME?</v>
      </c>
      <c r="W9" t="e">
        <f ca="1">V9/V10</f>
        <v>#NAME?</v>
      </c>
      <c r="X9" t="e">
        <f ca="1">FDIST(W9,U9,U10)</f>
        <v>#NAME?</v>
      </c>
      <c r="Y9" s="612" t="e">
        <f ca="1">IF(X9&lt;X3,"yes","no")</f>
        <v>#NAME?</v>
      </c>
      <c r="AA9" s="386" t="s">
        <v>390</v>
      </c>
      <c r="AB9" s="386" t="s">
        <v>60</v>
      </c>
      <c r="AC9" s="386" t="s">
        <v>41</v>
      </c>
      <c r="AD9" s="386" t="s">
        <v>48</v>
      </c>
      <c r="AE9" s="386" t="s">
        <v>49</v>
      </c>
      <c r="AF9" s="386" t="s">
        <v>15</v>
      </c>
      <c r="AG9" s="386" t="s">
        <v>16</v>
      </c>
      <c r="AH9" s="386" t="s">
        <v>164</v>
      </c>
      <c r="AI9" s="386" t="s">
        <v>45</v>
      </c>
      <c r="AJ9" s="386" t="s">
        <v>399</v>
      </c>
      <c r="AL9" s="663" t="e">
        <f ca="1">SQRT(V10*SUMPRODUCT(AM3:AM5^2,1/AO3:AO5))</f>
        <v>#NAME?</v>
      </c>
      <c r="AM9" s="663" t="e">
        <f ca="1">AN6/AL9</f>
        <v>#NAME?</v>
      </c>
      <c r="AN9" s="663">
        <f ca="1">U10</f>
        <v>1296</v>
      </c>
      <c r="AO9" s="663" t="e">
        <f ca="1">TDIST(ABS(AM9),AN9,2)</f>
        <v>#NAME?</v>
      </c>
      <c r="AP9" s="663">
        <f ca="1">TINV(AR7,AN9)</f>
        <v>1.961796122353757</v>
      </c>
      <c r="AQ9" s="663" t="e">
        <f ca="1">AN6-AL9*AP9</f>
        <v>#NAME?</v>
      </c>
      <c r="AR9" s="663" t="e">
        <f ca="1">AN6+AL9*AP9</f>
        <v>#NAME?</v>
      </c>
      <c r="AS9" s="196" t="e">
        <f ca="1">IF(AO9&lt;AR7,"yes","no")</f>
        <v>#NAME?</v>
      </c>
      <c r="AT9" s="663" t="e">
        <f ca="1">ABS(AN6)/SQRT(V10)</f>
        <v>#NAME?</v>
      </c>
      <c r="AU9" s="663" t="e">
        <f ca="1">SQRT(AM9^2/(AM9^2+AN9))</f>
        <v>#NAME?</v>
      </c>
      <c r="AW9" s="386" t="s">
        <v>390</v>
      </c>
      <c r="AX9" s="386" t="s">
        <v>800</v>
      </c>
      <c r="AY9" s="386" t="s">
        <v>41</v>
      </c>
      <c r="AZ9" s="386" t="s">
        <v>166</v>
      </c>
      <c r="BA9" s="386" t="s">
        <v>15</v>
      </c>
      <c r="BB9" s="386" t="s">
        <v>16</v>
      </c>
      <c r="BC9" s="386" t="s">
        <v>48</v>
      </c>
      <c r="BD9" s="386" t="s">
        <v>75</v>
      </c>
      <c r="BE9" s="386" t="s">
        <v>45</v>
      </c>
      <c r="BG9" s="663" t="e">
        <f ca="1">SQRT(V10/BJ6)</f>
        <v>#NAME?</v>
      </c>
      <c r="BH9" s="663" t="e">
        <f ca="1">BI6/BG9</f>
        <v>#NAME?</v>
      </c>
      <c r="BI9" s="663">
        <f ca="1">U10</f>
        <v>1296</v>
      </c>
      <c r="BJ9" s="663" t="e">
        <f ca="1">QCRIT(COUNTA(BG3:BG5),BI9,BL7,2)</f>
        <v>#NAME?</v>
      </c>
      <c r="BK9" s="663" t="e">
        <f ca="1">BI6-BG9*BJ9</f>
        <v>#NAME?</v>
      </c>
      <c r="BL9" s="663" t="e">
        <f ca="1">BI6+BG9*BJ9</f>
        <v>#NAME?</v>
      </c>
      <c r="BM9" s="663" t="e">
        <f ca="1">QDIST(ABS(BH9),COUNTA(BG3:BG5),BI9)</f>
        <v>#NAME?</v>
      </c>
      <c r="BN9" s="663" t="e">
        <f ca="1">BG9*BJ9</f>
        <v>#NAME?</v>
      </c>
      <c r="BO9" s="663" t="e">
        <f ca="1">ABS(BI6)/SQRT(V10)</f>
        <v>#NAME?</v>
      </c>
    </row>
    <row r="10" spans="1:67" x14ac:dyDescent="0.25">
      <c r="A10" s="612">
        <v>580</v>
      </c>
      <c r="B10" s="214">
        <v>162</v>
      </c>
      <c r="C10" s="7">
        <v>122</v>
      </c>
      <c r="D10" s="7">
        <v>167</v>
      </c>
      <c r="E10" s="215">
        <v>182</v>
      </c>
      <c r="G10" s="182" t="e">
        <f ca="1"/>
        <v>#NAME?</v>
      </c>
      <c r="H10" s="613" t="e">
        <f ca="1"/>
        <v>#NAME?</v>
      </c>
      <c r="I10" s="613" t="e">
        <f ca="1"/>
        <v>#NAME?</v>
      </c>
      <c r="J10" s="43" t="e">
        <f ca="1"/>
        <v>#NAME?</v>
      </c>
      <c r="L10" s="183"/>
      <c r="M10" s="7"/>
      <c r="N10" s="43" t="e">
        <f t="array" aca="1" ref="N10:N13" ca="1">SortUnique(I3:I38)</f>
        <v>#NAME?</v>
      </c>
      <c r="O10" s="183">
        <f ca="1">SUMIF($N$47:$N$82,N10,$O$47:$O$82)</f>
        <v>1296</v>
      </c>
      <c r="P10" s="7" t="e">
        <f ca="1">IF(O10=0,"",AVERAGEIF($I$3:$I$38,$N10,$J$3:$J$38))</f>
        <v>#NAME?</v>
      </c>
      <c r="Q10" s="43" t="e">
        <f t="array" aca="1" ref="Q10" ca="1">IF(O10&lt;2,"",VAR(IF($I$3:$I$38=$N10,$J$3:$J$38,"")))</f>
        <v>#NAME?</v>
      </c>
      <c r="S10" t="s">
        <v>1418</v>
      </c>
      <c r="T10" t="e">
        <f ca="1">T11-SUM(T5:T9)</f>
        <v>#NAME?</v>
      </c>
      <c r="U10">
        <f ca="1">U11-SUM(U5:U9)</f>
        <v>1296</v>
      </c>
      <c r="V10" t="e">
        <f t="shared" ca="1" si="0"/>
        <v>#NAME?</v>
      </c>
      <c r="AA10" s="663" t="e">
        <f ca="1">SQRT(V7*SUMPRODUCT(AB3:AB6^2,1/AD3:AD6))</f>
        <v>#NAME?</v>
      </c>
      <c r="AB10" s="663" t="e">
        <f ca="1">AC7/AA10</f>
        <v>#NAME?</v>
      </c>
      <c r="AC10" s="663">
        <f ca="1">U7</f>
        <v>1</v>
      </c>
      <c r="AD10" s="663" t="e">
        <f ca="1">TDIST(ABS(AB10),AC10,2)</f>
        <v>#NAME?</v>
      </c>
      <c r="AE10" s="663">
        <f ca="1">TINV(AG8,AC10)</f>
        <v>12.706204736174707</v>
      </c>
      <c r="AF10" s="663" t="e">
        <f ca="1">AC7-AA10*AE10</f>
        <v>#NAME?</v>
      </c>
      <c r="AG10" s="663" t="e">
        <f ca="1">AC7+AA10*AE10</f>
        <v>#NAME?</v>
      </c>
      <c r="AH10" s="196" t="e">
        <f ca="1">IF(AD10&lt;AG8,"yes","no")</f>
        <v>#NAME?</v>
      </c>
      <c r="AI10" s="663" t="e">
        <f ca="1">ABS(AC7)/SQRT(V7)</f>
        <v>#NAME?</v>
      </c>
      <c r="AJ10" s="663" t="e">
        <f ca="1">SQRT(AB10^2/(AB10^2+AC10))</f>
        <v>#NAME?</v>
      </c>
      <c r="AW10" s="663" t="e">
        <f ca="1">SQRT(V7/AZ7)</f>
        <v>#NAME?</v>
      </c>
      <c r="AX10" s="663" t="e">
        <f ca="1">AY7/AW10</f>
        <v>#NAME?</v>
      </c>
      <c r="AY10" s="663">
        <f ca="1">U7</f>
        <v>1</v>
      </c>
      <c r="AZ10" s="663" t="e">
        <f ca="1">QCRIT(COUNTA(AW3:AW6),AY10,BB8,2)</f>
        <v>#NAME?</v>
      </c>
      <c r="BA10" s="663" t="e">
        <f ca="1">AY7-AW10*AZ10</f>
        <v>#NAME?</v>
      </c>
      <c r="BB10" s="663" t="e">
        <f ca="1">AY7+AW10*AZ10</f>
        <v>#NAME?</v>
      </c>
      <c r="BC10" s="663" t="e">
        <f ca="1">QDIST(ABS(AX10),COUNTA(AW3:AW6),AY10)</f>
        <v>#NAME?</v>
      </c>
      <c r="BD10" s="663" t="e">
        <f ca="1">AW10*AZ10</f>
        <v>#NAME?</v>
      </c>
      <c r="BE10" s="663" t="e">
        <f ca="1">ABS(AY7)/SQRT(V7)</f>
        <v>#NAME?</v>
      </c>
    </row>
    <row r="11" spans="1:67" x14ac:dyDescent="0.25">
      <c r="A11" s="612">
        <v>600</v>
      </c>
      <c r="B11" s="214">
        <v>170</v>
      </c>
      <c r="C11" s="7">
        <v>185</v>
      </c>
      <c r="D11" s="7">
        <v>181</v>
      </c>
      <c r="E11" s="215">
        <v>201</v>
      </c>
      <c r="G11" s="182" t="e">
        <f ca="1"/>
        <v>#NAME?</v>
      </c>
      <c r="H11" s="613" t="e">
        <f ca="1"/>
        <v>#NAME?</v>
      </c>
      <c r="I11" s="613" t="e">
        <f ca="1"/>
        <v>#NAME?</v>
      </c>
      <c r="J11" s="43" t="e">
        <f ca="1"/>
        <v>#NAME?</v>
      </c>
      <c r="L11" s="183"/>
      <c r="M11" s="7"/>
      <c r="N11" s="43" t="e">
        <f ca="1"/>
        <v>#NAME?</v>
      </c>
      <c r="O11" s="183">
        <f ca="1">SUMIF($N$47:$N$82,N11,$O$47:$O$82)</f>
        <v>1296</v>
      </c>
      <c r="P11" s="7" t="e">
        <f ca="1">IF(O11=0,"",AVERAGEIF($I$3:$I$38,$N11,$J$3:$J$38))</f>
        <v>#NAME?</v>
      </c>
      <c r="Q11" s="43" t="e">
        <f t="array" aca="1" ref="Q11" ca="1">IF(O11&lt;2,"",VAR(IF($I$3:$I$38=$N11,$J$3:$J$38,"")))</f>
        <v>#NAME?</v>
      </c>
      <c r="S11" s="354" t="s">
        <v>1</v>
      </c>
      <c r="T11" s="354" t="e">
        <f ca="1">Q83*U11</f>
        <v>#NAME?</v>
      </c>
      <c r="U11" s="354">
        <f ca="1">O83-1</f>
        <v>1295</v>
      </c>
      <c r="V11" s="354" t="e">
        <f t="shared" ca="1" si="0"/>
        <v>#NAME?</v>
      </c>
      <c r="W11" s="354"/>
      <c r="X11" s="354"/>
      <c r="Y11" s="354"/>
    </row>
    <row r="12" spans="1:67" x14ac:dyDescent="0.25">
      <c r="A12" s="612">
        <v>620</v>
      </c>
      <c r="B12" s="112">
        <v>213</v>
      </c>
      <c r="C12" s="354">
        <v>180</v>
      </c>
      <c r="D12" s="354">
        <v>182</v>
      </c>
      <c r="E12" s="120">
        <v>199</v>
      </c>
      <c r="G12" s="182" t="e">
        <f ca="1"/>
        <v>#NAME?</v>
      </c>
      <c r="H12" s="613" t="e">
        <f ca="1"/>
        <v>#NAME?</v>
      </c>
      <c r="I12" s="613" t="e">
        <f ca="1"/>
        <v>#NAME?</v>
      </c>
      <c r="J12" s="43" t="e">
        <f ca="1"/>
        <v>#NAME?</v>
      </c>
      <c r="L12" s="183"/>
      <c r="M12" s="7"/>
      <c r="N12" s="43" t="e">
        <f ca="1"/>
        <v>#NAME?</v>
      </c>
      <c r="O12" s="183">
        <f ca="1">SUMIF($N$47:$N$82,N12,$O$47:$O$82)</f>
        <v>1296</v>
      </c>
      <c r="P12" s="7" t="e">
        <f ca="1">IF(O12=0,"",AVERAGEIF($I$3:$I$38,$N12,$J$3:$J$38))</f>
        <v>#NAME?</v>
      </c>
      <c r="Q12" s="43" t="e">
        <f t="array" aca="1" ref="Q12" ca="1">IF(O12&lt;2,"",VAR(IF($I$3:$I$38=$N12,$J$3:$J$38,"")))</f>
        <v>#NAME?</v>
      </c>
    </row>
    <row r="13" spans="1:67" x14ac:dyDescent="0.25">
      <c r="G13" s="182" t="e">
        <f ca="1"/>
        <v>#NAME?</v>
      </c>
      <c r="H13" s="613" t="e">
        <f ca="1"/>
        <v>#NAME?</v>
      </c>
      <c r="I13" s="613" t="e">
        <f ca="1"/>
        <v>#NAME?</v>
      </c>
      <c r="J13" s="43" t="e">
        <f ca="1"/>
        <v>#NAME?</v>
      </c>
      <c r="L13" s="351"/>
      <c r="M13" s="352"/>
      <c r="N13" s="353" t="e">
        <f ca="1"/>
        <v>#NAME?</v>
      </c>
      <c r="O13" s="351">
        <f ca="1">SUMIF($N$47:$N$82,N13,$O$47:$O$82)</f>
        <v>1296</v>
      </c>
      <c r="P13" s="352" t="e">
        <f ca="1">IF(O13=0,"",AVERAGEIF($I$3:$I$38,$N13,$J$3:$J$38))</f>
        <v>#NAME?</v>
      </c>
      <c r="Q13" s="353" t="e">
        <f t="array" aca="1" ref="Q13" ca="1">IF(O13&lt;2,"",VAR(IF($I$3:$I$38=$N13,$J$3:$J$38,"")))</f>
        <v>#NAME?</v>
      </c>
    </row>
    <row r="14" spans="1:67" x14ac:dyDescent="0.25">
      <c r="G14" s="182" t="e">
        <f ca="1"/>
        <v>#NAME?</v>
      </c>
      <c r="H14" s="613" t="e">
        <f ca="1"/>
        <v>#NAME?</v>
      </c>
      <c r="I14" s="613" t="e">
        <f ca="1"/>
        <v>#NAME?</v>
      </c>
      <c r="J14" s="43" t="e">
        <f ca="1"/>
        <v>#NAME?</v>
      </c>
      <c r="L14" s="550" t="e">
        <f ca="1">$L$4</f>
        <v>#NAME?</v>
      </c>
      <c r="M14" s="556" t="e">
        <f ca="1">$M7</f>
        <v>#NAME?</v>
      </c>
      <c r="N14" s="557"/>
      <c r="O14" s="550">
        <f ca="1">SUMIFS($O$47:$O$82,$L$47:$L$82,L14,$M$47:$M$82,M14)</f>
        <v>1296</v>
      </c>
      <c r="P14" s="556" t="e">
        <f ca="1">IF(O14=0,"",AVERAGEIFS($J$3:$J$38,$G$3:$G$38,$L14,$H$3:$H$38,$M14))</f>
        <v>#NAME?</v>
      </c>
      <c r="Q14" s="557" t="e">
        <f t="array" aca="1" ref="Q14" ca="1">IF(O14&lt;2,"",VAR(IF($G$3:$G$38=$L14,IF($H$3:$H$38=$M14,$J$3:$J$38,""))))</f>
        <v>#NAME?</v>
      </c>
    </row>
    <row r="15" spans="1:67" x14ac:dyDescent="0.25">
      <c r="G15" s="182" t="e">
        <f ca="1"/>
        <v>#NAME?</v>
      </c>
      <c r="H15" s="613" t="e">
        <f ca="1"/>
        <v>#NAME?</v>
      </c>
      <c r="I15" s="613" t="e">
        <f ca="1"/>
        <v>#NAME?</v>
      </c>
      <c r="J15" s="43" t="e">
        <f ca="1"/>
        <v>#NAME?</v>
      </c>
      <c r="L15" s="183" t="e">
        <f ca="1">$L$4</f>
        <v>#NAME?</v>
      </c>
      <c r="M15" s="7" t="e">
        <f ca="1">$M8</f>
        <v>#NAME?</v>
      </c>
      <c r="N15" s="43"/>
      <c r="O15" s="183">
        <f t="shared" ref="O15:O22" ca="1" si="1">SUMIFS($O$47:$O$82,$L$47:$L$82,L15,$M$47:$M$82,M15)</f>
        <v>1296</v>
      </c>
      <c r="P15" s="7" t="e">
        <f t="shared" ref="P15:P22" ca="1" si="2">IF(O15=0,"",AVERAGEIFS($J$3:$J$38,$G$3:$G$38,$L15,$H$3:$H$38,$M15))</f>
        <v>#NAME?</v>
      </c>
      <c r="Q15" s="43" t="e">
        <f t="array" aca="1" ref="Q15" ca="1">IF(O15&lt;2,"",VAR(IF($G$3:$G$38=$L15,IF($H$3:$H$38=$M15,$J$3:$J$38,""))))</f>
        <v>#NAME?</v>
      </c>
    </row>
    <row r="16" spans="1:67" x14ac:dyDescent="0.25">
      <c r="G16" s="182" t="e">
        <f ca="1"/>
        <v>#NAME?</v>
      </c>
      <c r="H16" s="613" t="e">
        <f ca="1"/>
        <v>#NAME?</v>
      </c>
      <c r="I16" s="613" t="e">
        <f ca="1"/>
        <v>#NAME?</v>
      </c>
      <c r="J16" s="43" t="e">
        <f ca="1"/>
        <v>#NAME?</v>
      </c>
      <c r="L16" s="183" t="e">
        <f ca="1">$L$4</f>
        <v>#NAME?</v>
      </c>
      <c r="M16" s="7" t="e">
        <f ca="1">$M9</f>
        <v>#NAME?</v>
      </c>
      <c r="N16" s="43"/>
      <c r="O16" s="183">
        <f t="shared" ca="1" si="1"/>
        <v>1296</v>
      </c>
      <c r="P16" s="7" t="e">
        <f t="shared" ca="1" si="2"/>
        <v>#NAME?</v>
      </c>
      <c r="Q16" s="43" t="e">
        <f t="array" aca="1" ref="Q16" ca="1">IF(O16&lt;2,"",VAR(IF($G$3:$G$38=$L16,IF($H$3:$H$38=$M16,$J$3:$J$38,""))))</f>
        <v>#NAME?</v>
      </c>
    </row>
    <row r="17" spans="7:17" x14ac:dyDescent="0.25">
      <c r="G17" s="182" t="e">
        <f ca="1"/>
        <v>#NAME?</v>
      </c>
      <c r="H17" s="613" t="e">
        <f ca="1"/>
        <v>#NAME?</v>
      </c>
      <c r="I17" s="613" t="e">
        <f ca="1"/>
        <v>#NAME?</v>
      </c>
      <c r="J17" s="43" t="e">
        <f ca="1"/>
        <v>#NAME?</v>
      </c>
      <c r="L17" s="183" t="e">
        <f ca="1">$L$5</f>
        <v>#NAME?</v>
      </c>
      <c r="M17" s="7" t="e">
        <f ca="1">$M7</f>
        <v>#NAME?</v>
      </c>
      <c r="N17" s="43"/>
      <c r="O17" s="183">
        <f t="shared" ca="1" si="1"/>
        <v>1296</v>
      </c>
      <c r="P17" s="7" t="e">
        <f t="shared" ca="1" si="2"/>
        <v>#NAME?</v>
      </c>
      <c r="Q17" s="43" t="e">
        <f t="array" aca="1" ref="Q17" ca="1">IF(O17&lt;2,"",VAR(IF($G$3:$G$38=$L17,IF($H$3:$H$38=$M17,$J$3:$J$38,""))))</f>
        <v>#NAME?</v>
      </c>
    </row>
    <row r="18" spans="7:17" x14ac:dyDescent="0.25">
      <c r="G18" s="182" t="e">
        <f ca="1"/>
        <v>#NAME?</v>
      </c>
      <c r="H18" s="613" t="e">
        <f ca="1"/>
        <v>#NAME?</v>
      </c>
      <c r="I18" s="613" t="e">
        <f ca="1"/>
        <v>#NAME?</v>
      </c>
      <c r="J18" s="43" t="e">
        <f ca="1"/>
        <v>#NAME?</v>
      </c>
      <c r="L18" s="183" t="e">
        <f ca="1">$L$5</f>
        <v>#NAME?</v>
      </c>
      <c r="M18" s="7" t="e">
        <f ca="1">$M8</f>
        <v>#NAME?</v>
      </c>
      <c r="N18" s="43"/>
      <c r="O18" s="183">
        <f t="shared" ca="1" si="1"/>
        <v>1296</v>
      </c>
      <c r="P18" s="7" t="e">
        <f t="shared" ca="1" si="2"/>
        <v>#NAME?</v>
      </c>
      <c r="Q18" s="43" t="e">
        <f t="array" aca="1" ref="Q18" ca="1">IF(O18&lt;2,"",VAR(IF($G$3:$G$38=$L18,IF($H$3:$H$38=$M18,$J$3:$J$38,""))))</f>
        <v>#NAME?</v>
      </c>
    </row>
    <row r="19" spans="7:17" x14ac:dyDescent="0.25">
      <c r="G19" s="182" t="e">
        <f ca="1"/>
        <v>#NAME?</v>
      </c>
      <c r="H19" s="613" t="e">
        <f ca="1"/>
        <v>#NAME?</v>
      </c>
      <c r="I19" s="613" t="e">
        <f ca="1"/>
        <v>#NAME?</v>
      </c>
      <c r="J19" s="43" t="e">
        <f ca="1"/>
        <v>#NAME?</v>
      </c>
      <c r="L19" s="183" t="e">
        <f ca="1">$L$5</f>
        <v>#NAME?</v>
      </c>
      <c r="M19" s="7" t="e">
        <f ca="1">$M9</f>
        <v>#NAME?</v>
      </c>
      <c r="N19" s="43"/>
      <c r="O19" s="183">
        <f t="shared" ca="1" si="1"/>
        <v>1296</v>
      </c>
      <c r="P19" s="7" t="e">
        <f t="shared" ca="1" si="2"/>
        <v>#NAME?</v>
      </c>
      <c r="Q19" s="43" t="e">
        <f t="array" aca="1" ref="Q19" ca="1">IF(O19&lt;2,"",VAR(IF($G$3:$G$38=$L19,IF($H$3:$H$38=$M19,$J$3:$J$38,""))))</f>
        <v>#NAME?</v>
      </c>
    </row>
    <row r="20" spans="7:17" x14ac:dyDescent="0.25">
      <c r="G20" s="182" t="e">
        <f ca="1"/>
        <v>#NAME?</v>
      </c>
      <c r="H20" s="613" t="e">
        <f ca="1"/>
        <v>#NAME?</v>
      </c>
      <c r="I20" s="613" t="e">
        <f ca="1"/>
        <v>#NAME?</v>
      </c>
      <c r="J20" s="43" t="e">
        <f ca="1"/>
        <v>#NAME?</v>
      </c>
      <c r="L20" s="183" t="e">
        <f ca="1">$L$6</f>
        <v>#NAME?</v>
      </c>
      <c r="M20" s="7" t="e">
        <f ca="1">$M7</f>
        <v>#NAME?</v>
      </c>
      <c r="N20" s="43"/>
      <c r="O20" s="183">
        <f t="shared" ca="1" si="1"/>
        <v>1296</v>
      </c>
      <c r="P20" s="7" t="e">
        <f t="shared" ca="1" si="2"/>
        <v>#NAME?</v>
      </c>
      <c r="Q20" s="43" t="e">
        <f t="array" aca="1" ref="Q20" ca="1">IF(O20&lt;2,"",VAR(IF($G$3:$G$38=$L20,IF($H$3:$H$38=$M20,$J$3:$J$38,""))))</f>
        <v>#NAME?</v>
      </c>
    </row>
    <row r="21" spans="7:17" x14ac:dyDescent="0.25">
      <c r="G21" s="182" t="e">
        <f ca="1"/>
        <v>#NAME?</v>
      </c>
      <c r="H21" s="613" t="e">
        <f ca="1"/>
        <v>#NAME?</v>
      </c>
      <c r="I21" s="613" t="e">
        <f ca="1"/>
        <v>#NAME?</v>
      </c>
      <c r="J21" s="43" t="e">
        <f ca="1"/>
        <v>#NAME?</v>
      </c>
      <c r="L21" s="183" t="e">
        <f ca="1">$L$6</f>
        <v>#NAME?</v>
      </c>
      <c r="M21" s="7" t="e">
        <f ca="1">$M8</f>
        <v>#NAME?</v>
      </c>
      <c r="N21" s="43"/>
      <c r="O21" s="183">
        <f t="shared" ca="1" si="1"/>
        <v>1296</v>
      </c>
      <c r="P21" s="7" t="e">
        <f t="shared" ca="1" si="2"/>
        <v>#NAME?</v>
      </c>
      <c r="Q21" s="43" t="e">
        <f t="array" aca="1" ref="Q21" ca="1">IF(O21&lt;2,"",VAR(IF($G$3:$G$38=$L21,IF($H$3:$H$38=$M21,$J$3:$J$38,""))))</f>
        <v>#NAME?</v>
      </c>
    </row>
    <row r="22" spans="7:17" x14ac:dyDescent="0.25">
      <c r="G22" s="182" t="e">
        <f ca="1"/>
        <v>#NAME?</v>
      </c>
      <c r="H22" s="613" t="e">
        <f ca="1"/>
        <v>#NAME?</v>
      </c>
      <c r="I22" s="613" t="e">
        <f ca="1"/>
        <v>#NAME?</v>
      </c>
      <c r="J22" s="43" t="e">
        <f ca="1"/>
        <v>#NAME?</v>
      </c>
      <c r="L22" s="351" t="e">
        <f ca="1">$L$6</f>
        <v>#NAME?</v>
      </c>
      <c r="M22" s="352" t="e">
        <f ca="1">$M9</f>
        <v>#NAME?</v>
      </c>
      <c r="N22" s="353"/>
      <c r="O22" s="351">
        <f t="shared" ca="1" si="1"/>
        <v>1296</v>
      </c>
      <c r="P22" s="352" t="e">
        <f t="shared" ca="1" si="2"/>
        <v>#NAME?</v>
      </c>
      <c r="Q22" s="353" t="e">
        <f t="array" aca="1" ref="Q22" ca="1">IF(O22&lt;2,"",VAR(IF($G$3:$G$38=$L22,IF($H$3:$H$38=$M22,$J$3:$J$38,""))))</f>
        <v>#NAME?</v>
      </c>
    </row>
    <row r="23" spans="7:17" x14ac:dyDescent="0.25">
      <c r="G23" s="182" t="e">
        <f ca="1"/>
        <v>#NAME?</v>
      </c>
      <c r="H23" s="613" t="e">
        <f ca="1"/>
        <v>#NAME?</v>
      </c>
      <c r="I23" s="613" t="e">
        <f ca="1"/>
        <v>#NAME?</v>
      </c>
      <c r="J23" s="43" t="e">
        <f ca="1"/>
        <v>#NAME?</v>
      </c>
      <c r="L23" s="550" t="e">
        <f ca="1">$L$4</f>
        <v>#NAME?</v>
      </c>
      <c r="M23" s="556"/>
      <c r="N23" s="557" t="e">
        <f ca="1">$N10</f>
        <v>#NAME?</v>
      </c>
      <c r="O23" s="550">
        <f ca="1">SUMIFS($O$47:$O$82,$L$47:$L$82,L23,$N$47:$N$82,N23)</f>
        <v>1296</v>
      </c>
      <c r="P23" s="556" t="e">
        <f ca="1">IF(O23=0,"",AVERAGEIFS($J$3:$J$38,$G$3:$G$38,$L23,$I$3:$I$38,$N23))</f>
        <v>#NAME?</v>
      </c>
      <c r="Q23" s="557" t="e">
        <f t="array" aca="1" ref="Q23" ca="1">IF(O23&lt;2,"",VAR(IF($G$3:$G$38=$L23,IF($I$3:$I$38=$N23,$J$3:$J$38,""))))</f>
        <v>#NAME?</v>
      </c>
    </row>
    <row r="24" spans="7:17" x14ac:dyDescent="0.25">
      <c r="G24" s="182" t="e">
        <f ca="1"/>
        <v>#NAME?</v>
      </c>
      <c r="H24" s="613" t="e">
        <f ca="1"/>
        <v>#NAME?</v>
      </c>
      <c r="I24" s="613" t="e">
        <f ca="1"/>
        <v>#NAME?</v>
      </c>
      <c r="J24" s="43" t="e">
        <f ca="1"/>
        <v>#NAME?</v>
      </c>
      <c r="L24" s="183" t="e">
        <f ca="1">$L$4</f>
        <v>#NAME?</v>
      </c>
      <c r="M24" s="7"/>
      <c r="N24" s="43" t="e">
        <f ca="1">$N11</f>
        <v>#NAME?</v>
      </c>
      <c r="O24" s="183">
        <f t="shared" ref="O24:O34" ca="1" si="3">SUMIFS($O$47:$O$82,$L$47:$L$82,L24,$N$47:$N$82,N24)</f>
        <v>1296</v>
      </c>
      <c r="P24" s="7" t="e">
        <f t="shared" ref="P24:P34" ca="1" si="4">IF(O24=0,"",AVERAGEIFS($J$3:$J$38,$G$3:$G$38,$L24,$I$3:$I$38,$N24))</f>
        <v>#NAME?</v>
      </c>
      <c r="Q24" s="43" t="e">
        <f t="array" aca="1" ref="Q24" ca="1">IF(O24&lt;2,"",VAR(IF($G$3:$G$38=$L24,IF($I$3:$I$38=$N24,$J$3:$J$38,""))))</f>
        <v>#NAME?</v>
      </c>
    </row>
    <row r="25" spans="7:17" x14ac:dyDescent="0.25">
      <c r="G25" s="182" t="e">
        <f ca="1"/>
        <v>#NAME?</v>
      </c>
      <c r="H25" s="613" t="e">
        <f ca="1"/>
        <v>#NAME?</v>
      </c>
      <c r="I25" s="613" t="e">
        <f ca="1"/>
        <v>#NAME?</v>
      </c>
      <c r="J25" s="43" t="e">
        <f ca="1"/>
        <v>#NAME?</v>
      </c>
      <c r="L25" s="183" t="e">
        <f ca="1">$L$4</f>
        <v>#NAME?</v>
      </c>
      <c r="M25" s="7"/>
      <c r="N25" s="43" t="e">
        <f ca="1">$N12</f>
        <v>#NAME?</v>
      </c>
      <c r="O25" s="183">
        <f t="shared" ca="1" si="3"/>
        <v>1296</v>
      </c>
      <c r="P25" s="7" t="e">
        <f t="shared" ca="1" si="4"/>
        <v>#NAME?</v>
      </c>
      <c r="Q25" s="43" t="e">
        <f t="array" aca="1" ref="Q25" ca="1">IF(O25&lt;2,"",VAR(IF($G$3:$G$38=$L25,IF($I$3:$I$38=$N25,$J$3:$J$38,""))))</f>
        <v>#NAME?</v>
      </c>
    </row>
    <row r="26" spans="7:17" x14ac:dyDescent="0.25">
      <c r="G26" s="182" t="e">
        <f ca="1"/>
        <v>#NAME?</v>
      </c>
      <c r="H26" s="613" t="e">
        <f ca="1"/>
        <v>#NAME?</v>
      </c>
      <c r="I26" s="613" t="e">
        <f ca="1"/>
        <v>#NAME?</v>
      </c>
      <c r="J26" s="43" t="e">
        <f ca="1"/>
        <v>#NAME?</v>
      </c>
      <c r="L26" s="183" t="e">
        <f ca="1">$L$4</f>
        <v>#NAME?</v>
      </c>
      <c r="M26" s="7"/>
      <c r="N26" s="43" t="e">
        <f ca="1">$N13</f>
        <v>#NAME?</v>
      </c>
      <c r="O26" s="183">
        <f t="shared" ca="1" si="3"/>
        <v>1296</v>
      </c>
      <c r="P26" s="7" t="e">
        <f t="shared" ca="1" si="4"/>
        <v>#NAME?</v>
      </c>
      <c r="Q26" s="43" t="e">
        <f t="array" aca="1" ref="Q26" ca="1">IF(O26&lt;2,"",VAR(IF($G$3:$G$38=$L26,IF($I$3:$I$38=$N26,$J$3:$J$38,""))))</f>
        <v>#NAME?</v>
      </c>
    </row>
    <row r="27" spans="7:17" x14ac:dyDescent="0.25">
      <c r="G27" s="182" t="e">
        <f ca="1"/>
        <v>#NAME?</v>
      </c>
      <c r="H27" s="613" t="e">
        <f ca="1"/>
        <v>#NAME?</v>
      </c>
      <c r="I27" s="613" t="e">
        <f ca="1"/>
        <v>#NAME?</v>
      </c>
      <c r="J27" s="43" t="e">
        <f ca="1"/>
        <v>#NAME?</v>
      </c>
      <c r="L27" s="183" t="e">
        <f ca="1">$L$5</f>
        <v>#NAME?</v>
      </c>
      <c r="M27" s="7"/>
      <c r="N27" s="43" t="e">
        <f ca="1">$N10</f>
        <v>#NAME?</v>
      </c>
      <c r="O27" s="183">
        <f t="shared" ca="1" si="3"/>
        <v>1296</v>
      </c>
      <c r="P27" s="7" t="e">
        <f t="shared" ca="1" si="4"/>
        <v>#NAME?</v>
      </c>
      <c r="Q27" s="43" t="e">
        <f t="array" aca="1" ref="Q27" ca="1">IF(O27&lt;2,"",VAR(IF($G$3:$G$38=$L27,IF($I$3:$I$38=$N27,$J$3:$J$38,""))))</f>
        <v>#NAME?</v>
      </c>
    </row>
    <row r="28" spans="7:17" x14ac:dyDescent="0.25">
      <c r="G28" s="182" t="e">
        <f ca="1"/>
        <v>#NAME?</v>
      </c>
      <c r="H28" s="613" t="e">
        <f ca="1"/>
        <v>#NAME?</v>
      </c>
      <c r="I28" s="613" t="e">
        <f ca="1"/>
        <v>#NAME?</v>
      </c>
      <c r="J28" s="43" t="e">
        <f ca="1"/>
        <v>#NAME?</v>
      </c>
      <c r="L28" s="183" t="e">
        <f ca="1">$L$5</f>
        <v>#NAME?</v>
      </c>
      <c r="M28" s="7"/>
      <c r="N28" s="43" t="e">
        <f ca="1">$N11</f>
        <v>#NAME?</v>
      </c>
      <c r="O28" s="183">
        <f t="shared" ca="1" si="3"/>
        <v>1296</v>
      </c>
      <c r="P28" s="7" t="e">
        <f t="shared" ca="1" si="4"/>
        <v>#NAME?</v>
      </c>
      <c r="Q28" s="43" t="e">
        <f t="array" aca="1" ref="Q28" ca="1">IF(O28&lt;2,"",VAR(IF($G$3:$G$38=$L28,IF($I$3:$I$38=$N28,$J$3:$J$38,""))))</f>
        <v>#NAME?</v>
      </c>
    </row>
    <row r="29" spans="7:17" x14ac:dyDescent="0.25">
      <c r="G29" s="182" t="e">
        <f ca="1"/>
        <v>#NAME?</v>
      </c>
      <c r="H29" s="613" t="e">
        <f ca="1"/>
        <v>#NAME?</v>
      </c>
      <c r="I29" s="613" t="e">
        <f ca="1"/>
        <v>#NAME?</v>
      </c>
      <c r="J29" s="43" t="e">
        <f ca="1"/>
        <v>#NAME?</v>
      </c>
      <c r="L29" s="183" t="e">
        <f ca="1">$L$5</f>
        <v>#NAME?</v>
      </c>
      <c r="M29" s="7"/>
      <c r="N29" s="43" t="e">
        <f ca="1">$N12</f>
        <v>#NAME?</v>
      </c>
      <c r="O29" s="183">
        <f t="shared" ca="1" si="3"/>
        <v>1296</v>
      </c>
      <c r="P29" s="7" t="e">
        <f t="shared" ca="1" si="4"/>
        <v>#NAME?</v>
      </c>
      <c r="Q29" s="43" t="e">
        <f t="array" aca="1" ref="Q29" ca="1">IF(O29&lt;2,"",VAR(IF($G$3:$G$38=$L29,IF($I$3:$I$38=$N29,$J$3:$J$38,""))))</f>
        <v>#NAME?</v>
      </c>
    </row>
    <row r="30" spans="7:17" x14ac:dyDescent="0.25">
      <c r="G30" s="182" t="e">
        <f ca="1"/>
        <v>#NAME?</v>
      </c>
      <c r="H30" s="613" t="e">
        <f ca="1"/>
        <v>#NAME?</v>
      </c>
      <c r="I30" s="613" t="e">
        <f ca="1"/>
        <v>#NAME?</v>
      </c>
      <c r="J30" s="43" t="e">
        <f ca="1"/>
        <v>#NAME?</v>
      </c>
      <c r="L30" s="183" t="e">
        <f ca="1">$L$5</f>
        <v>#NAME?</v>
      </c>
      <c r="M30" s="7"/>
      <c r="N30" s="43" t="e">
        <f ca="1">$N13</f>
        <v>#NAME?</v>
      </c>
      <c r="O30" s="183">
        <f t="shared" ca="1" si="3"/>
        <v>1296</v>
      </c>
      <c r="P30" s="7" t="e">
        <f t="shared" ca="1" si="4"/>
        <v>#NAME?</v>
      </c>
      <c r="Q30" s="43" t="e">
        <f t="array" aca="1" ref="Q30" ca="1">IF(O30&lt;2,"",VAR(IF($G$3:$G$38=$L30,IF($I$3:$I$38=$N30,$J$3:$J$38,""))))</f>
        <v>#NAME?</v>
      </c>
    </row>
    <row r="31" spans="7:17" x14ac:dyDescent="0.25">
      <c r="G31" s="182" t="e">
        <f ca="1"/>
        <v>#NAME?</v>
      </c>
      <c r="H31" s="613" t="e">
        <f ca="1"/>
        <v>#NAME?</v>
      </c>
      <c r="I31" s="613" t="e">
        <f ca="1"/>
        <v>#NAME?</v>
      </c>
      <c r="J31" s="43" t="e">
        <f ca="1"/>
        <v>#NAME?</v>
      </c>
      <c r="L31" s="183" t="e">
        <f ca="1">$L$6</f>
        <v>#NAME?</v>
      </c>
      <c r="M31" s="7"/>
      <c r="N31" s="43" t="e">
        <f ca="1">$N10</f>
        <v>#NAME?</v>
      </c>
      <c r="O31" s="183">
        <f t="shared" ca="1" si="3"/>
        <v>1296</v>
      </c>
      <c r="P31" s="7" t="e">
        <f t="shared" ca="1" si="4"/>
        <v>#NAME?</v>
      </c>
      <c r="Q31" s="43" t="e">
        <f t="array" aca="1" ref="Q31" ca="1">IF(O31&lt;2,"",VAR(IF($G$3:$G$38=$L31,IF($I$3:$I$38=$N31,$J$3:$J$38,""))))</f>
        <v>#NAME?</v>
      </c>
    </row>
    <row r="32" spans="7:17" x14ac:dyDescent="0.25">
      <c r="G32" s="182" t="e">
        <f ca="1"/>
        <v>#NAME?</v>
      </c>
      <c r="H32" s="613" t="e">
        <f ca="1"/>
        <v>#NAME?</v>
      </c>
      <c r="I32" s="613" t="e">
        <f ca="1"/>
        <v>#NAME?</v>
      </c>
      <c r="J32" s="43" t="e">
        <f ca="1"/>
        <v>#NAME?</v>
      </c>
      <c r="L32" s="183" t="e">
        <f ca="1">$L$6</f>
        <v>#NAME?</v>
      </c>
      <c r="M32" s="7"/>
      <c r="N32" s="43" t="e">
        <f ca="1">$N11</f>
        <v>#NAME?</v>
      </c>
      <c r="O32" s="183">
        <f t="shared" ca="1" si="3"/>
        <v>1296</v>
      </c>
      <c r="P32" s="7" t="e">
        <f t="shared" ca="1" si="4"/>
        <v>#NAME?</v>
      </c>
      <c r="Q32" s="43" t="e">
        <f t="array" aca="1" ref="Q32" ca="1">IF(O32&lt;2,"",VAR(IF($G$3:$G$38=$L32,IF($I$3:$I$38=$N32,$J$3:$J$38,""))))</f>
        <v>#NAME?</v>
      </c>
    </row>
    <row r="33" spans="7:17" x14ac:dyDescent="0.25">
      <c r="G33" s="182" t="e">
        <f ca="1"/>
        <v>#NAME?</v>
      </c>
      <c r="H33" s="613" t="e">
        <f ca="1"/>
        <v>#NAME?</v>
      </c>
      <c r="I33" s="613" t="e">
        <f ca="1"/>
        <v>#NAME?</v>
      </c>
      <c r="J33" s="43" t="e">
        <f ca="1"/>
        <v>#NAME?</v>
      </c>
      <c r="L33" s="183" t="e">
        <f ca="1">$L$6</f>
        <v>#NAME?</v>
      </c>
      <c r="M33" s="7"/>
      <c r="N33" s="43" t="e">
        <f ca="1">$N12</f>
        <v>#NAME?</v>
      </c>
      <c r="O33" s="183">
        <f t="shared" ca="1" si="3"/>
        <v>1296</v>
      </c>
      <c r="P33" s="7" t="e">
        <f t="shared" ca="1" si="4"/>
        <v>#NAME?</v>
      </c>
      <c r="Q33" s="43" t="e">
        <f t="array" aca="1" ref="Q33" ca="1">IF(O33&lt;2,"",VAR(IF($G$3:$G$38=$L33,IF($I$3:$I$38=$N33,$J$3:$J$38,""))))</f>
        <v>#NAME?</v>
      </c>
    </row>
    <row r="34" spans="7:17" x14ac:dyDescent="0.25">
      <c r="G34" s="182" t="e">
        <f ca="1"/>
        <v>#NAME?</v>
      </c>
      <c r="H34" s="613" t="e">
        <f ca="1"/>
        <v>#NAME?</v>
      </c>
      <c r="I34" s="613" t="e">
        <f ca="1"/>
        <v>#NAME?</v>
      </c>
      <c r="J34" s="43" t="e">
        <f ca="1"/>
        <v>#NAME?</v>
      </c>
      <c r="L34" s="351" t="e">
        <f ca="1">$L$6</f>
        <v>#NAME?</v>
      </c>
      <c r="M34" s="352"/>
      <c r="N34" s="353" t="e">
        <f ca="1">$N13</f>
        <v>#NAME?</v>
      </c>
      <c r="O34" s="351">
        <f t="shared" ca="1" si="3"/>
        <v>1296</v>
      </c>
      <c r="P34" s="352" t="e">
        <f t="shared" ca="1" si="4"/>
        <v>#NAME?</v>
      </c>
      <c r="Q34" s="353" t="e">
        <f t="array" aca="1" ref="Q34" ca="1">IF(O34&lt;2,"",VAR(IF($G$3:$G$38=$L34,IF($I$3:$I$38=$N34,$J$3:$J$38,""))))</f>
        <v>#NAME?</v>
      </c>
    </row>
    <row r="35" spans="7:17" x14ac:dyDescent="0.25">
      <c r="G35" s="182" t="e">
        <f ca="1"/>
        <v>#NAME?</v>
      </c>
      <c r="H35" s="613" t="e">
        <f ca="1"/>
        <v>#NAME?</v>
      </c>
      <c r="I35" s="613" t="e">
        <f ca="1"/>
        <v>#NAME?</v>
      </c>
      <c r="J35" s="43" t="e">
        <f ca="1"/>
        <v>#NAME?</v>
      </c>
      <c r="L35" s="550"/>
      <c r="M35" s="556" t="e">
        <f ca="1">$M$7</f>
        <v>#NAME?</v>
      </c>
      <c r="N35" s="557" t="e">
        <f ca="1">$N10</f>
        <v>#NAME?</v>
      </c>
      <c r="O35" s="550">
        <f ca="1">SUMIFS($O$47:$O$82,$M$47:$M$82,M35,$N$47:$N$82,N35)</f>
        <v>1296</v>
      </c>
      <c r="P35" s="556" t="e">
        <f ca="1">IF(O35=0,"",AVERAGEIFS($J$3:$J$38,$H$3:$H$38,$M35,$I$3:$I$38,$N35))</f>
        <v>#NAME?</v>
      </c>
      <c r="Q35" s="557" t="e">
        <f t="array" aca="1" ref="Q35" ca="1">IF(O35&lt;2,"",VAR(IF($H$3:$H$38=$M35,IF($I$3:$I$38=$N35,$J$3:$J$38,""))))</f>
        <v>#NAME?</v>
      </c>
    </row>
    <row r="36" spans="7:17" x14ac:dyDescent="0.25">
      <c r="G36" s="182" t="e">
        <f ca="1"/>
        <v>#NAME?</v>
      </c>
      <c r="H36" s="613" t="e">
        <f ca="1"/>
        <v>#NAME?</v>
      </c>
      <c r="I36" s="613" t="e">
        <f ca="1"/>
        <v>#NAME?</v>
      </c>
      <c r="J36" s="43" t="e">
        <f ca="1"/>
        <v>#NAME?</v>
      </c>
      <c r="L36" s="183"/>
      <c r="M36" s="7" t="e">
        <f ca="1">$M$7</f>
        <v>#NAME?</v>
      </c>
      <c r="N36" s="43" t="e">
        <f ca="1">$N11</f>
        <v>#NAME?</v>
      </c>
      <c r="O36" s="183">
        <f t="shared" ref="O36:O46" ca="1" si="5">SUMIFS($O$47:$O$82,$M$47:$M$82,M36,$N$47:$N$82,N36)</f>
        <v>1296</v>
      </c>
      <c r="P36" s="7" t="e">
        <f t="shared" ref="P36:P46" ca="1" si="6">IF(O36=0,"",AVERAGEIFS($J$3:$J$38,$H$3:$H$38,$M36,$I$3:$I$38,$N36))</f>
        <v>#NAME?</v>
      </c>
      <c r="Q36" s="43" t="e">
        <f t="array" aca="1" ref="Q36" ca="1">IF(O36&lt;2,"",VAR(IF($H$3:$H$38=$M36,IF($I$3:$I$38=$N36,$J$3:$J$38,""))))</f>
        <v>#NAME?</v>
      </c>
    </row>
    <row r="37" spans="7:17" x14ac:dyDescent="0.25">
      <c r="G37" s="182" t="e">
        <f ca="1"/>
        <v>#NAME?</v>
      </c>
      <c r="H37" s="613" t="e">
        <f ca="1"/>
        <v>#NAME?</v>
      </c>
      <c r="I37" s="613" t="e">
        <f ca="1"/>
        <v>#NAME?</v>
      </c>
      <c r="J37" s="43" t="e">
        <f ca="1"/>
        <v>#NAME?</v>
      </c>
      <c r="L37" s="183"/>
      <c r="M37" s="7" t="e">
        <f ca="1">$M$7</f>
        <v>#NAME?</v>
      </c>
      <c r="N37" s="43" t="e">
        <f ca="1">$N12</f>
        <v>#NAME?</v>
      </c>
      <c r="O37" s="183">
        <f t="shared" ca="1" si="5"/>
        <v>1296</v>
      </c>
      <c r="P37" s="7" t="e">
        <f t="shared" ca="1" si="6"/>
        <v>#NAME?</v>
      </c>
      <c r="Q37" s="43" t="e">
        <f t="array" aca="1" ref="Q37" ca="1">IF(O37&lt;2,"",VAR(IF($H$3:$H$38=$M37,IF($I$3:$I$38=$N37,$J$3:$J$38,""))))</f>
        <v>#NAME?</v>
      </c>
    </row>
    <row r="38" spans="7:17" x14ac:dyDescent="0.25">
      <c r="G38" s="377" t="e">
        <f ca="1"/>
        <v>#NAME?</v>
      </c>
      <c r="H38" s="440" t="e">
        <f ca="1"/>
        <v>#NAME?</v>
      </c>
      <c r="I38" s="440" t="e">
        <f ca="1"/>
        <v>#NAME?</v>
      </c>
      <c r="J38" s="353" t="e">
        <f ca="1"/>
        <v>#NAME?</v>
      </c>
      <c r="L38" s="183"/>
      <c r="M38" s="7" t="e">
        <f ca="1">$M$7</f>
        <v>#NAME?</v>
      </c>
      <c r="N38" s="43" t="e">
        <f ca="1">$N13</f>
        <v>#NAME?</v>
      </c>
      <c r="O38" s="183">
        <f t="shared" ca="1" si="5"/>
        <v>1296</v>
      </c>
      <c r="P38" s="7" t="e">
        <f t="shared" ca="1" si="6"/>
        <v>#NAME?</v>
      </c>
      <c r="Q38" s="43" t="e">
        <f t="array" aca="1" ref="Q38" ca="1">IF(O38&lt;2,"",VAR(IF($H$3:$H$38=$M38,IF($I$3:$I$38=$N38,$J$3:$J$38,""))))</f>
        <v>#NAME?</v>
      </c>
    </row>
    <row r="39" spans="7:17" x14ac:dyDescent="0.25">
      <c r="L39" s="183"/>
      <c r="M39" s="7" t="e">
        <f ca="1">$M$8</f>
        <v>#NAME?</v>
      </c>
      <c r="N39" s="43" t="e">
        <f ca="1">$N10</f>
        <v>#NAME?</v>
      </c>
      <c r="O39" s="183">
        <f t="shared" ca="1" si="5"/>
        <v>1296</v>
      </c>
      <c r="P39" s="7" t="e">
        <f t="shared" ca="1" si="6"/>
        <v>#NAME?</v>
      </c>
      <c r="Q39" s="43" t="e">
        <f t="array" aca="1" ref="Q39" ca="1">IF(O39&lt;2,"",VAR(IF($H$3:$H$38=$M39,IF($I$3:$I$38=$N39,$J$3:$J$38,""))))</f>
        <v>#NAME?</v>
      </c>
    </row>
    <row r="40" spans="7:17" x14ac:dyDescent="0.25">
      <c r="L40" s="183"/>
      <c r="M40" s="7" t="e">
        <f ca="1">$M$8</f>
        <v>#NAME?</v>
      </c>
      <c r="N40" s="43" t="e">
        <f ca="1">$N11</f>
        <v>#NAME?</v>
      </c>
      <c r="O40" s="183">
        <f t="shared" ca="1" si="5"/>
        <v>1296</v>
      </c>
      <c r="P40" s="7" t="e">
        <f t="shared" ca="1" si="6"/>
        <v>#NAME?</v>
      </c>
      <c r="Q40" s="43" t="e">
        <f t="array" aca="1" ref="Q40" ca="1">IF(O40&lt;2,"",VAR(IF($H$3:$H$38=$M40,IF($I$3:$I$38=$N40,$J$3:$J$38,""))))</f>
        <v>#NAME?</v>
      </c>
    </row>
    <row r="41" spans="7:17" x14ac:dyDescent="0.25">
      <c r="L41" s="183"/>
      <c r="M41" s="7" t="e">
        <f ca="1">$M$8</f>
        <v>#NAME?</v>
      </c>
      <c r="N41" s="43" t="e">
        <f ca="1">$N12</f>
        <v>#NAME?</v>
      </c>
      <c r="O41" s="183">
        <f t="shared" ca="1" si="5"/>
        <v>1296</v>
      </c>
      <c r="P41" s="7" t="e">
        <f t="shared" ca="1" si="6"/>
        <v>#NAME?</v>
      </c>
      <c r="Q41" s="43" t="e">
        <f t="array" aca="1" ref="Q41" ca="1">IF(O41&lt;2,"",VAR(IF($H$3:$H$38=$M41,IF($I$3:$I$38=$N41,$J$3:$J$38,""))))</f>
        <v>#NAME?</v>
      </c>
    </row>
    <row r="42" spans="7:17" x14ac:dyDescent="0.25">
      <c r="L42" s="183"/>
      <c r="M42" s="7" t="e">
        <f ca="1">$M$8</f>
        <v>#NAME?</v>
      </c>
      <c r="N42" s="43" t="e">
        <f ca="1">$N13</f>
        <v>#NAME?</v>
      </c>
      <c r="O42" s="183">
        <f t="shared" ca="1" si="5"/>
        <v>1296</v>
      </c>
      <c r="P42" s="7" t="e">
        <f t="shared" ca="1" si="6"/>
        <v>#NAME?</v>
      </c>
      <c r="Q42" s="43" t="e">
        <f t="array" aca="1" ref="Q42" ca="1">IF(O42&lt;2,"",VAR(IF($H$3:$H$38=$M42,IF($I$3:$I$38=$N42,$J$3:$J$38,""))))</f>
        <v>#NAME?</v>
      </c>
    </row>
    <row r="43" spans="7:17" x14ac:dyDescent="0.25">
      <c r="L43" s="183"/>
      <c r="M43" s="7" t="e">
        <f ca="1">$M$9</f>
        <v>#NAME?</v>
      </c>
      <c r="N43" s="43" t="e">
        <f ca="1">$N10</f>
        <v>#NAME?</v>
      </c>
      <c r="O43" s="183">
        <f t="shared" ca="1" si="5"/>
        <v>1296</v>
      </c>
      <c r="P43" s="7" t="e">
        <f t="shared" ca="1" si="6"/>
        <v>#NAME?</v>
      </c>
      <c r="Q43" s="43" t="e">
        <f t="array" aca="1" ref="Q43" ca="1">IF(O43&lt;2,"",VAR(IF($H$3:$H$38=$M43,IF($I$3:$I$38=$N43,$J$3:$J$38,""))))</f>
        <v>#NAME?</v>
      </c>
    </row>
    <row r="44" spans="7:17" x14ac:dyDescent="0.25">
      <c r="L44" s="183"/>
      <c r="M44" s="7" t="e">
        <f ca="1">$M$9</f>
        <v>#NAME?</v>
      </c>
      <c r="N44" s="43" t="e">
        <f ca="1">$N11</f>
        <v>#NAME?</v>
      </c>
      <c r="O44" s="183">
        <f t="shared" ca="1" si="5"/>
        <v>1296</v>
      </c>
      <c r="P44" s="7" t="e">
        <f t="shared" ca="1" si="6"/>
        <v>#NAME?</v>
      </c>
      <c r="Q44" s="43" t="e">
        <f t="array" aca="1" ref="Q44" ca="1">IF(O44&lt;2,"",VAR(IF($H$3:$H$38=$M44,IF($I$3:$I$38=$N44,$J$3:$J$38,""))))</f>
        <v>#NAME?</v>
      </c>
    </row>
    <row r="45" spans="7:17" x14ac:dyDescent="0.25">
      <c r="L45" s="183"/>
      <c r="M45" s="7" t="e">
        <f ca="1">$M$9</f>
        <v>#NAME?</v>
      </c>
      <c r="N45" s="43" t="e">
        <f ca="1">$N12</f>
        <v>#NAME?</v>
      </c>
      <c r="O45" s="183">
        <f t="shared" ca="1" si="5"/>
        <v>1296</v>
      </c>
      <c r="P45" s="7" t="e">
        <f t="shared" ca="1" si="6"/>
        <v>#NAME?</v>
      </c>
      <c r="Q45" s="43" t="e">
        <f t="array" aca="1" ref="Q45" ca="1">IF(O45&lt;2,"",VAR(IF($H$3:$H$38=$M45,IF($I$3:$I$38=$N45,$J$3:$J$38,""))))</f>
        <v>#NAME?</v>
      </c>
    </row>
    <row r="46" spans="7:17" x14ac:dyDescent="0.25">
      <c r="L46" s="351"/>
      <c r="M46" s="352" t="e">
        <f ca="1">$M$9</f>
        <v>#NAME?</v>
      </c>
      <c r="N46" s="353" t="e">
        <f ca="1">$N13</f>
        <v>#NAME?</v>
      </c>
      <c r="O46" s="351">
        <f t="shared" ca="1" si="5"/>
        <v>1296</v>
      </c>
      <c r="P46" s="352" t="e">
        <f t="shared" ca="1" si="6"/>
        <v>#NAME?</v>
      </c>
      <c r="Q46" s="353" t="e">
        <f t="array" aca="1" ref="Q46" ca="1">IF(O46&lt;2,"",VAR(IF($H$3:$H$38=$M46,IF($I$3:$I$38=$N46,$J$3:$J$38,""))))</f>
        <v>#NAME?</v>
      </c>
    </row>
    <row r="47" spans="7:17" x14ac:dyDescent="0.25">
      <c r="L47" s="550" t="e">
        <f ca="1">$L$4</f>
        <v>#NAME?</v>
      </c>
      <c r="M47" s="556" t="e">
        <f t="shared" ref="M47:N66" ca="1" si="7">M35</f>
        <v>#NAME?</v>
      </c>
      <c r="N47" s="557" t="e">
        <f t="shared" ca="1" si="7"/>
        <v>#NAME?</v>
      </c>
      <c r="O47" s="550">
        <f ca="1">COUNTIFS($G$3:$G$38,$L47,$H$3:$H$38,$M47,$I$3:$I$38,$N47)</f>
        <v>36</v>
      </c>
      <c r="P47" s="556" t="e">
        <f ca="1">IF(O47=0,"",AVERAGEIFS($J$3:$J$38,$G$3:$G$38,$L47,$H$3:$H$38,$M47,$I$3:$I$38,$N47))</f>
        <v>#NAME?</v>
      </c>
      <c r="Q47" s="557" t="e">
        <f t="array" aca="1" ref="Q47" ca="1">IF(O47&lt;2,"",VAR(IF($G$3:$G$38=$L47,IF($H$3:$H$38=$M47,IF($I$3:$I$38=$N47,$J$3:$J$38,"")))))</f>
        <v>#NAME?</v>
      </c>
    </row>
    <row r="48" spans="7:17" x14ac:dyDescent="0.25">
      <c r="L48" s="183" t="e">
        <f t="shared" ref="L48:L58" ca="1" si="8">$L$4</f>
        <v>#NAME?</v>
      </c>
      <c r="M48" s="7" t="e">
        <f t="shared" ca="1" si="7"/>
        <v>#NAME?</v>
      </c>
      <c r="N48" s="43" t="e">
        <f t="shared" ca="1" si="7"/>
        <v>#NAME?</v>
      </c>
      <c r="O48" s="183">
        <f t="shared" ref="O48:O82" ca="1" si="9">COUNTIFS($G$3:$G$38,$L48,$H$3:$H$38,$M48,$I$3:$I$38,$N48)</f>
        <v>36</v>
      </c>
      <c r="P48" s="7" t="e">
        <f t="shared" ref="P48:P82" ca="1" si="10">IF(O48=0,"",AVERAGEIFS($J$3:$J$38,$G$3:$G$38,$L48,$H$3:$H$38,$M48,$I$3:$I$38,$N48))</f>
        <v>#NAME?</v>
      </c>
      <c r="Q48" s="43" t="e">
        <f t="array" aca="1" ref="Q48" ca="1">IF(O48&lt;2,"",VAR(IF($G$3:$G$38=$L48,IF($H$3:$H$38=$M48,IF($I$3:$I$38=$N48,$J$3:$J$38,"")))))</f>
        <v>#NAME?</v>
      </c>
    </row>
    <row r="49" spans="12:17" x14ac:dyDescent="0.25">
      <c r="L49" s="183" t="e">
        <f t="shared" ca="1" si="8"/>
        <v>#NAME?</v>
      </c>
      <c r="M49" s="7" t="e">
        <f t="shared" ca="1" si="7"/>
        <v>#NAME?</v>
      </c>
      <c r="N49" s="43" t="e">
        <f t="shared" ca="1" si="7"/>
        <v>#NAME?</v>
      </c>
      <c r="O49" s="183">
        <f t="shared" ca="1" si="9"/>
        <v>36</v>
      </c>
      <c r="P49" s="7" t="e">
        <f t="shared" ca="1" si="10"/>
        <v>#NAME?</v>
      </c>
      <c r="Q49" s="43" t="e">
        <f t="array" aca="1" ref="Q49" ca="1">IF(O49&lt;2,"",VAR(IF($G$3:$G$38=$L49,IF($H$3:$H$38=$M49,IF($I$3:$I$38=$N49,$J$3:$J$38,"")))))</f>
        <v>#NAME?</v>
      </c>
    </row>
    <row r="50" spans="12:17" x14ac:dyDescent="0.25">
      <c r="L50" s="183" t="e">
        <f t="shared" ca="1" si="8"/>
        <v>#NAME?</v>
      </c>
      <c r="M50" s="7" t="e">
        <f t="shared" ca="1" si="7"/>
        <v>#NAME?</v>
      </c>
      <c r="N50" s="43" t="e">
        <f t="shared" ca="1" si="7"/>
        <v>#NAME?</v>
      </c>
      <c r="O50" s="183">
        <f t="shared" ca="1" si="9"/>
        <v>36</v>
      </c>
      <c r="P50" s="7" t="e">
        <f t="shared" ca="1" si="10"/>
        <v>#NAME?</v>
      </c>
      <c r="Q50" s="43" t="e">
        <f t="array" aca="1" ref="Q50" ca="1">IF(O50&lt;2,"",VAR(IF($G$3:$G$38=$L50,IF($H$3:$H$38=$M50,IF($I$3:$I$38=$N50,$J$3:$J$38,"")))))</f>
        <v>#NAME?</v>
      </c>
    </row>
    <row r="51" spans="12:17" x14ac:dyDescent="0.25">
      <c r="L51" s="183" t="e">
        <f t="shared" ca="1" si="8"/>
        <v>#NAME?</v>
      </c>
      <c r="M51" s="7" t="e">
        <f t="shared" ca="1" si="7"/>
        <v>#NAME?</v>
      </c>
      <c r="N51" s="43" t="e">
        <f t="shared" ca="1" si="7"/>
        <v>#NAME?</v>
      </c>
      <c r="O51" s="183">
        <f t="shared" ca="1" si="9"/>
        <v>36</v>
      </c>
      <c r="P51" s="7" t="e">
        <f t="shared" ca="1" si="10"/>
        <v>#NAME?</v>
      </c>
      <c r="Q51" s="43" t="e">
        <f t="array" aca="1" ref="Q51" ca="1">IF(O51&lt;2,"",VAR(IF($G$3:$G$38=$L51,IF($H$3:$H$38=$M51,IF($I$3:$I$38=$N51,$J$3:$J$38,"")))))</f>
        <v>#NAME?</v>
      </c>
    </row>
    <row r="52" spans="12:17" x14ac:dyDescent="0.25">
      <c r="L52" s="183" t="e">
        <f t="shared" ca="1" si="8"/>
        <v>#NAME?</v>
      </c>
      <c r="M52" s="7" t="e">
        <f t="shared" ca="1" si="7"/>
        <v>#NAME?</v>
      </c>
      <c r="N52" s="43" t="e">
        <f t="shared" ca="1" si="7"/>
        <v>#NAME?</v>
      </c>
      <c r="O52" s="183">
        <f t="shared" ca="1" si="9"/>
        <v>36</v>
      </c>
      <c r="P52" s="7" t="e">
        <f t="shared" ca="1" si="10"/>
        <v>#NAME?</v>
      </c>
      <c r="Q52" s="43" t="e">
        <f t="array" aca="1" ref="Q52" ca="1">IF(O52&lt;2,"",VAR(IF($G$3:$G$38=$L52,IF($H$3:$H$38=$M52,IF($I$3:$I$38=$N52,$J$3:$J$38,"")))))</f>
        <v>#NAME?</v>
      </c>
    </row>
    <row r="53" spans="12:17" x14ac:dyDescent="0.25">
      <c r="L53" s="183" t="e">
        <f t="shared" ca="1" si="8"/>
        <v>#NAME?</v>
      </c>
      <c r="M53" s="7" t="e">
        <f t="shared" ca="1" si="7"/>
        <v>#NAME?</v>
      </c>
      <c r="N53" s="43" t="e">
        <f t="shared" ca="1" si="7"/>
        <v>#NAME?</v>
      </c>
      <c r="O53" s="183">
        <f t="shared" ca="1" si="9"/>
        <v>36</v>
      </c>
      <c r="P53" s="7" t="e">
        <f t="shared" ca="1" si="10"/>
        <v>#NAME?</v>
      </c>
      <c r="Q53" s="43" t="e">
        <f t="array" aca="1" ref="Q53" ca="1">IF(O53&lt;2,"",VAR(IF($G$3:$G$38=$L53,IF($H$3:$H$38=$M53,IF($I$3:$I$38=$N53,$J$3:$J$38,"")))))</f>
        <v>#NAME?</v>
      </c>
    </row>
    <row r="54" spans="12:17" x14ac:dyDescent="0.25">
      <c r="L54" s="183" t="e">
        <f t="shared" ca="1" si="8"/>
        <v>#NAME?</v>
      </c>
      <c r="M54" s="7" t="e">
        <f t="shared" ca="1" si="7"/>
        <v>#NAME?</v>
      </c>
      <c r="N54" s="43" t="e">
        <f t="shared" ca="1" si="7"/>
        <v>#NAME?</v>
      </c>
      <c r="O54" s="183">
        <f t="shared" ca="1" si="9"/>
        <v>36</v>
      </c>
      <c r="P54" s="7" t="e">
        <f t="shared" ca="1" si="10"/>
        <v>#NAME?</v>
      </c>
      <c r="Q54" s="43" t="e">
        <f t="array" aca="1" ref="Q54" ca="1">IF(O54&lt;2,"",VAR(IF($G$3:$G$38=$L54,IF($H$3:$H$38=$M54,IF($I$3:$I$38=$N54,$J$3:$J$38,"")))))</f>
        <v>#NAME?</v>
      </c>
    </row>
    <row r="55" spans="12:17" x14ac:dyDescent="0.25">
      <c r="L55" s="183" t="e">
        <f t="shared" ca="1" si="8"/>
        <v>#NAME?</v>
      </c>
      <c r="M55" s="7" t="e">
        <f t="shared" ca="1" si="7"/>
        <v>#NAME?</v>
      </c>
      <c r="N55" s="43" t="e">
        <f t="shared" ca="1" si="7"/>
        <v>#NAME?</v>
      </c>
      <c r="O55" s="183">
        <f t="shared" ca="1" si="9"/>
        <v>36</v>
      </c>
      <c r="P55" s="7" t="e">
        <f t="shared" ca="1" si="10"/>
        <v>#NAME?</v>
      </c>
      <c r="Q55" s="43" t="e">
        <f t="array" aca="1" ref="Q55" ca="1">IF(O55&lt;2,"",VAR(IF($G$3:$G$38=$L55,IF($H$3:$H$38=$M55,IF($I$3:$I$38=$N55,$J$3:$J$38,"")))))</f>
        <v>#NAME?</v>
      </c>
    </row>
    <row r="56" spans="12:17" x14ac:dyDescent="0.25">
      <c r="L56" s="183" t="e">
        <f t="shared" ca="1" si="8"/>
        <v>#NAME?</v>
      </c>
      <c r="M56" s="7" t="e">
        <f t="shared" ca="1" si="7"/>
        <v>#NAME?</v>
      </c>
      <c r="N56" s="43" t="e">
        <f t="shared" ca="1" si="7"/>
        <v>#NAME?</v>
      </c>
      <c r="O56" s="183">
        <f t="shared" ca="1" si="9"/>
        <v>36</v>
      </c>
      <c r="P56" s="7" t="e">
        <f t="shared" ca="1" si="10"/>
        <v>#NAME?</v>
      </c>
      <c r="Q56" s="43" t="e">
        <f t="array" aca="1" ref="Q56" ca="1">IF(O56&lt;2,"",VAR(IF($G$3:$G$38=$L56,IF($H$3:$H$38=$M56,IF($I$3:$I$38=$N56,$J$3:$J$38,"")))))</f>
        <v>#NAME?</v>
      </c>
    </row>
    <row r="57" spans="12:17" x14ac:dyDescent="0.25">
      <c r="L57" s="183" t="e">
        <f t="shared" ca="1" si="8"/>
        <v>#NAME?</v>
      </c>
      <c r="M57" s="7" t="e">
        <f t="shared" ca="1" si="7"/>
        <v>#NAME?</v>
      </c>
      <c r="N57" s="43" t="e">
        <f t="shared" ca="1" si="7"/>
        <v>#NAME?</v>
      </c>
      <c r="O57" s="183">
        <f t="shared" ca="1" si="9"/>
        <v>36</v>
      </c>
      <c r="P57" s="7" t="e">
        <f t="shared" ca="1" si="10"/>
        <v>#NAME?</v>
      </c>
      <c r="Q57" s="43" t="e">
        <f t="array" aca="1" ref="Q57" ca="1">IF(O57&lt;2,"",VAR(IF($G$3:$G$38=$L57,IF($H$3:$H$38=$M57,IF($I$3:$I$38=$N57,$J$3:$J$38,"")))))</f>
        <v>#NAME?</v>
      </c>
    </row>
    <row r="58" spans="12:17" x14ac:dyDescent="0.25">
      <c r="L58" s="183" t="e">
        <f t="shared" ca="1" si="8"/>
        <v>#NAME?</v>
      </c>
      <c r="M58" s="7" t="e">
        <f t="shared" ca="1" si="7"/>
        <v>#NAME?</v>
      </c>
      <c r="N58" s="43" t="e">
        <f t="shared" ca="1" si="7"/>
        <v>#NAME?</v>
      </c>
      <c r="O58" s="183">
        <f t="shared" ca="1" si="9"/>
        <v>36</v>
      </c>
      <c r="P58" s="7" t="e">
        <f t="shared" ca="1" si="10"/>
        <v>#NAME?</v>
      </c>
      <c r="Q58" s="43" t="e">
        <f t="array" aca="1" ref="Q58" ca="1">IF(O58&lt;2,"",VAR(IF($G$3:$G$38=$L58,IF($H$3:$H$38=$M58,IF($I$3:$I$38=$N58,$J$3:$J$38,"")))))</f>
        <v>#NAME?</v>
      </c>
    </row>
    <row r="59" spans="12:17" x14ac:dyDescent="0.25">
      <c r="L59" s="183" t="e">
        <f ca="1">$L$5</f>
        <v>#NAME?</v>
      </c>
      <c r="M59" s="7" t="e">
        <f t="shared" ca="1" si="7"/>
        <v>#NAME?</v>
      </c>
      <c r="N59" s="43" t="e">
        <f t="shared" ca="1" si="7"/>
        <v>#NAME?</v>
      </c>
      <c r="O59" s="183">
        <f t="shared" ca="1" si="9"/>
        <v>36</v>
      </c>
      <c r="P59" s="7" t="e">
        <f t="shared" ca="1" si="10"/>
        <v>#NAME?</v>
      </c>
      <c r="Q59" s="43" t="e">
        <f t="array" aca="1" ref="Q59" ca="1">IF(O59&lt;2,"",VAR(IF($G$3:$G$38=$L59,IF($H$3:$H$38=$M59,IF($I$3:$I$38=$N59,$J$3:$J$38,"")))))</f>
        <v>#NAME?</v>
      </c>
    </row>
    <row r="60" spans="12:17" x14ac:dyDescent="0.25">
      <c r="L60" s="183" t="e">
        <f t="shared" ref="L60:L70" ca="1" si="11">$L$5</f>
        <v>#NAME?</v>
      </c>
      <c r="M60" s="7" t="e">
        <f t="shared" ca="1" si="7"/>
        <v>#NAME?</v>
      </c>
      <c r="N60" s="43" t="e">
        <f t="shared" ca="1" si="7"/>
        <v>#NAME?</v>
      </c>
      <c r="O60" s="183">
        <f t="shared" ca="1" si="9"/>
        <v>36</v>
      </c>
      <c r="P60" s="7" t="e">
        <f t="shared" ca="1" si="10"/>
        <v>#NAME?</v>
      </c>
      <c r="Q60" s="43" t="e">
        <f t="array" aca="1" ref="Q60" ca="1">IF(O60&lt;2,"",VAR(IF($G$3:$G$38=$L60,IF($H$3:$H$38=$M60,IF($I$3:$I$38=$N60,$J$3:$J$38,"")))))</f>
        <v>#NAME?</v>
      </c>
    </row>
    <row r="61" spans="12:17" x14ac:dyDescent="0.25">
      <c r="L61" s="183" t="e">
        <f t="shared" ca="1" si="11"/>
        <v>#NAME?</v>
      </c>
      <c r="M61" s="7" t="e">
        <f t="shared" ca="1" si="7"/>
        <v>#NAME?</v>
      </c>
      <c r="N61" s="43" t="e">
        <f t="shared" ca="1" si="7"/>
        <v>#NAME?</v>
      </c>
      <c r="O61" s="183">
        <f t="shared" ca="1" si="9"/>
        <v>36</v>
      </c>
      <c r="P61" s="7" t="e">
        <f t="shared" ca="1" si="10"/>
        <v>#NAME?</v>
      </c>
      <c r="Q61" s="43" t="e">
        <f t="array" aca="1" ref="Q61" ca="1">IF(O61&lt;2,"",VAR(IF($G$3:$G$38=$L61,IF($H$3:$H$38=$M61,IF($I$3:$I$38=$N61,$J$3:$J$38,"")))))</f>
        <v>#NAME?</v>
      </c>
    </row>
    <row r="62" spans="12:17" x14ac:dyDescent="0.25">
      <c r="L62" s="183" t="e">
        <f t="shared" ca="1" si="11"/>
        <v>#NAME?</v>
      </c>
      <c r="M62" s="7" t="e">
        <f t="shared" ca="1" si="7"/>
        <v>#NAME?</v>
      </c>
      <c r="N62" s="43" t="e">
        <f t="shared" ca="1" si="7"/>
        <v>#NAME?</v>
      </c>
      <c r="O62" s="183">
        <f t="shared" ca="1" si="9"/>
        <v>36</v>
      </c>
      <c r="P62" s="7" t="e">
        <f t="shared" ca="1" si="10"/>
        <v>#NAME?</v>
      </c>
      <c r="Q62" s="43" t="e">
        <f t="array" aca="1" ref="Q62" ca="1">IF(O62&lt;2,"",VAR(IF($G$3:$G$38=$L62,IF($H$3:$H$38=$M62,IF($I$3:$I$38=$N62,$J$3:$J$38,"")))))</f>
        <v>#NAME?</v>
      </c>
    </row>
    <row r="63" spans="12:17" x14ac:dyDescent="0.25">
      <c r="L63" s="183" t="e">
        <f t="shared" ca="1" si="11"/>
        <v>#NAME?</v>
      </c>
      <c r="M63" s="7" t="e">
        <f t="shared" ca="1" si="7"/>
        <v>#NAME?</v>
      </c>
      <c r="N63" s="43" t="e">
        <f t="shared" ca="1" si="7"/>
        <v>#NAME?</v>
      </c>
      <c r="O63" s="183">
        <f t="shared" ca="1" si="9"/>
        <v>36</v>
      </c>
      <c r="P63" s="7" t="e">
        <f t="shared" ca="1" si="10"/>
        <v>#NAME?</v>
      </c>
      <c r="Q63" s="43" t="e">
        <f t="array" aca="1" ref="Q63" ca="1">IF(O63&lt;2,"",VAR(IF($G$3:$G$38=$L63,IF($H$3:$H$38=$M63,IF($I$3:$I$38=$N63,$J$3:$J$38,"")))))</f>
        <v>#NAME?</v>
      </c>
    </row>
    <row r="64" spans="12:17" x14ac:dyDescent="0.25">
      <c r="L64" s="183" t="e">
        <f t="shared" ca="1" si="11"/>
        <v>#NAME?</v>
      </c>
      <c r="M64" s="7" t="e">
        <f t="shared" ca="1" si="7"/>
        <v>#NAME?</v>
      </c>
      <c r="N64" s="43" t="e">
        <f t="shared" ca="1" si="7"/>
        <v>#NAME?</v>
      </c>
      <c r="O64" s="183">
        <f t="shared" ca="1" si="9"/>
        <v>36</v>
      </c>
      <c r="P64" s="7" t="e">
        <f t="shared" ca="1" si="10"/>
        <v>#NAME?</v>
      </c>
      <c r="Q64" s="43" t="e">
        <f t="array" aca="1" ref="Q64" ca="1">IF(O64&lt;2,"",VAR(IF($G$3:$G$38=$L64,IF($H$3:$H$38=$M64,IF($I$3:$I$38=$N64,$J$3:$J$38,"")))))</f>
        <v>#NAME?</v>
      </c>
    </row>
    <row r="65" spans="12:17" x14ac:dyDescent="0.25">
      <c r="L65" s="183" t="e">
        <f t="shared" ca="1" si="11"/>
        <v>#NAME?</v>
      </c>
      <c r="M65" s="7" t="e">
        <f t="shared" ca="1" si="7"/>
        <v>#NAME?</v>
      </c>
      <c r="N65" s="43" t="e">
        <f t="shared" ca="1" si="7"/>
        <v>#NAME?</v>
      </c>
      <c r="O65" s="183">
        <f t="shared" ca="1" si="9"/>
        <v>36</v>
      </c>
      <c r="P65" s="7" t="e">
        <f t="shared" ca="1" si="10"/>
        <v>#NAME?</v>
      </c>
      <c r="Q65" s="43" t="e">
        <f t="array" aca="1" ref="Q65" ca="1">IF(O65&lt;2,"",VAR(IF($G$3:$G$38=$L65,IF($H$3:$H$38=$M65,IF($I$3:$I$38=$N65,$J$3:$J$38,"")))))</f>
        <v>#NAME?</v>
      </c>
    </row>
    <row r="66" spans="12:17" x14ac:dyDescent="0.25">
      <c r="L66" s="183" t="e">
        <f t="shared" ca="1" si="11"/>
        <v>#NAME?</v>
      </c>
      <c r="M66" s="7" t="e">
        <f t="shared" ca="1" si="7"/>
        <v>#NAME?</v>
      </c>
      <c r="N66" s="43" t="e">
        <f t="shared" ca="1" si="7"/>
        <v>#NAME?</v>
      </c>
      <c r="O66" s="183">
        <f t="shared" ca="1" si="9"/>
        <v>36</v>
      </c>
      <c r="P66" s="7" t="e">
        <f t="shared" ca="1" si="10"/>
        <v>#NAME?</v>
      </c>
      <c r="Q66" s="43" t="e">
        <f t="array" aca="1" ref="Q66" ca="1">IF(O66&lt;2,"",VAR(IF($G$3:$G$38=$L66,IF($H$3:$H$38=$M66,IF($I$3:$I$38=$N66,$J$3:$J$38,"")))))</f>
        <v>#NAME?</v>
      </c>
    </row>
    <row r="67" spans="12:17" x14ac:dyDescent="0.25">
      <c r="L67" s="183" t="e">
        <f t="shared" ca="1" si="11"/>
        <v>#NAME?</v>
      </c>
      <c r="M67" s="7" t="e">
        <f t="shared" ref="M67:N82" ca="1" si="12">M55</f>
        <v>#NAME?</v>
      </c>
      <c r="N67" s="43" t="e">
        <f t="shared" ca="1" si="12"/>
        <v>#NAME?</v>
      </c>
      <c r="O67" s="183">
        <f t="shared" ca="1" si="9"/>
        <v>36</v>
      </c>
      <c r="P67" s="7" t="e">
        <f t="shared" ca="1" si="10"/>
        <v>#NAME?</v>
      </c>
      <c r="Q67" s="43" t="e">
        <f t="array" aca="1" ref="Q67" ca="1">IF(O67&lt;2,"",VAR(IF($G$3:$G$38=$L67,IF($H$3:$H$38=$M67,IF($I$3:$I$38=$N67,$J$3:$J$38,"")))))</f>
        <v>#NAME?</v>
      </c>
    </row>
    <row r="68" spans="12:17" x14ac:dyDescent="0.25">
      <c r="L68" s="183" t="e">
        <f t="shared" ca="1" si="11"/>
        <v>#NAME?</v>
      </c>
      <c r="M68" s="7" t="e">
        <f t="shared" ca="1" si="12"/>
        <v>#NAME?</v>
      </c>
      <c r="N68" s="43" t="e">
        <f t="shared" ca="1" si="12"/>
        <v>#NAME?</v>
      </c>
      <c r="O68" s="183">
        <f t="shared" ca="1" si="9"/>
        <v>36</v>
      </c>
      <c r="P68" s="7" t="e">
        <f t="shared" ca="1" si="10"/>
        <v>#NAME?</v>
      </c>
      <c r="Q68" s="43" t="e">
        <f t="array" aca="1" ref="Q68" ca="1">IF(O68&lt;2,"",VAR(IF($G$3:$G$38=$L68,IF($H$3:$H$38=$M68,IF($I$3:$I$38=$N68,$J$3:$J$38,"")))))</f>
        <v>#NAME?</v>
      </c>
    </row>
    <row r="69" spans="12:17" x14ac:dyDescent="0.25">
      <c r="L69" s="183" t="e">
        <f t="shared" ca="1" si="11"/>
        <v>#NAME?</v>
      </c>
      <c r="M69" s="7" t="e">
        <f t="shared" ca="1" si="12"/>
        <v>#NAME?</v>
      </c>
      <c r="N69" s="43" t="e">
        <f t="shared" ca="1" si="12"/>
        <v>#NAME?</v>
      </c>
      <c r="O69" s="183">
        <f t="shared" ca="1" si="9"/>
        <v>36</v>
      </c>
      <c r="P69" s="7" t="e">
        <f t="shared" ca="1" si="10"/>
        <v>#NAME?</v>
      </c>
      <c r="Q69" s="43" t="e">
        <f t="array" aca="1" ref="Q69" ca="1">IF(O69&lt;2,"",VAR(IF($G$3:$G$38=$L69,IF($H$3:$H$38=$M69,IF($I$3:$I$38=$N69,$J$3:$J$38,"")))))</f>
        <v>#NAME?</v>
      </c>
    </row>
    <row r="70" spans="12:17" x14ac:dyDescent="0.25">
      <c r="L70" s="183" t="e">
        <f t="shared" ca="1" si="11"/>
        <v>#NAME?</v>
      </c>
      <c r="M70" s="7" t="e">
        <f t="shared" ca="1" si="12"/>
        <v>#NAME?</v>
      </c>
      <c r="N70" s="43" t="e">
        <f t="shared" ca="1" si="12"/>
        <v>#NAME?</v>
      </c>
      <c r="O70" s="183">
        <f t="shared" ca="1" si="9"/>
        <v>36</v>
      </c>
      <c r="P70" s="7" t="e">
        <f t="shared" ca="1" si="10"/>
        <v>#NAME?</v>
      </c>
      <c r="Q70" s="43" t="e">
        <f t="array" aca="1" ref="Q70" ca="1">IF(O70&lt;2,"",VAR(IF($G$3:$G$38=$L70,IF($H$3:$H$38=$M70,IF($I$3:$I$38=$N70,$J$3:$J$38,"")))))</f>
        <v>#NAME?</v>
      </c>
    </row>
    <row r="71" spans="12:17" x14ac:dyDescent="0.25">
      <c r="L71" s="183" t="e">
        <f ca="1">$L$6</f>
        <v>#NAME?</v>
      </c>
      <c r="M71" s="7" t="e">
        <f t="shared" ca="1" si="12"/>
        <v>#NAME?</v>
      </c>
      <c r="N71" s="43" t="e">
        <f t="shared" ca="1" si="12"/>
        <v>#NAME?</v>
      </c>
      <c r="O71" s="183">
        <f t="shared" ca="1" si="9"/>
        <v>36</v>
      </c>
      <c r="P71" s="7" t="e">
        <f t="shared" ca="1" si="10"/>
        <v>#NAME?</v>
      </c>
      <c r="Q71" s="43" t="e">
        <f t="array" aca="1" ref="Q71" ca="1">IF(O71&lt;2,"",VAR(IF($G$3:$G$38=$L71,IF($H$3:$H$38=$M71,IF($I$3:$I$38=$N71,$J$3:$J$38,"")))))</f>
        <v>#NAME?</v>
      </c>
    </row>
    <row r="72" spans="12:17" x14ac:dyDescent="0.25">
      <c r="L72" s="183" t="e">
        <f t="shared" ref="L72:L82" ca="1" si="13">$L$6</f>
        <v>#NAME?</v>
      </c>
      <c r="M72" s="7" t="e">
        <f t="shared" ca="1" si="12"/>
        <v>#NAME?</v>
      </c>
      <c r="N72" s="43" t="e">
        <f t="shared" ca="1" si="12"/>
        <v>#NAME?</v>
      </c>
      <c r="O72" s="183">
        <f t="shared" ca="1" si="9"/>
        <v>36</v>
      </c>
      <c r="P72" s="7" t="e">
        <f t="shared" ca="1" si="10"/>
        <v>#NAME?</v>
      </c>
      <c r="Q72" s="43" t="e">
        <f t="array" aca="1" ref="Q72" ca="1">IF(O72&lt;2,"",VAR(IF($G$3:$G$38=$L72,IF($H$3:$H$38=$M72,IF($I$3:$I$38=$N72,$J$3:$J$38,"")))))</f>
        <v>#NAME?</v>
      </c>
    </row>
    <row r="73" spans="12:17" x14ac:dyDescent="0.25">
      <c r="L73" s="183" t="e">
        <f t="shared" ca="1" si="13"/>
        <v>#NAME?</v>
      </c>
      <c r="M73" s="7" t="e">
        <f t="shared" ca="1" si="12"/>
        <v>#NAME?</v>
      </c>
      <c r="N73" s="43" t="e">
        <f t="shared" ca="1" si="12"/>
        <v>#NAME?</v>
      </c>
      <c r="O73" s="183">
        <f t="shared" ca="1" si="9"/>
        <v>36</v>
      </c>
      <c r="P73" s="7" t="e">
        <f t="shared" ca="1" si="10"/>
        <v>#NAME?</v>
      </c>
      <c r="Q73" s="43" t="e">
        <f t="array" aca="1" ref="Q73" ca="1">IF(O73&lt;2,"",VAR(IF($G$3:$G$38=$L73,IF($H$3:$H$38=$M73,IF($I$3:$I$38=$N73,$J$3:$J$38,"")))))</f>
        <v>#NAME?</v>
      </c>
    </row>
    <row r="74" spans="12:17" x14ac:dyDescent="0.25">
      <c r="L74" s="183" t="e">
        <f t="shared" ca="1" si="13"/>
        <v>#NAME?</v>
      </c>
      <c r="M74" s="7" t="e">
        <f t="shared" ca="1" si="12"/>
        <v>#NAME?</v>
      </c>
      <c r="N74" s="43" t="e">
        <f t="shared" ca="1" si="12"/>
        <v>#NAME?</v>
      </c>
      <c r="O74" s="183">
        <f t="shared" ca="1" si="9"/>
        <v>36</v>
      </c>
      <c r="P74" s="7" t="e">
        <f t="shared" ca="1" si="10"/>
        <v>#NAME?</v>
      </c>
      <c r="Q74" s="43" t="e">
        <f t="array" aca="1" ref="Q74" ca="1">IF(O74&lt;2,"",VAR(IF($G$3:$G$38=$L74,IF($H$3:$H$38=$M74,IF($I$3:$I$38=$N74,$J$3:$J$38,"")))))</f>
        <v>#NAME?</v>
      </c>
    </row>
    <row r="75" spans="12:17" x14ac:dyDescent="0.25">
      <c r="L75" s="183" t="e">
        <f t="shared" ca="1" si="13"/>
        <v>#NAME?</v>
      </c>
      <c r="M75" s="7" t="e">
        <f t="shared" ca="1" si="12"/>
        <v>#NAME?</v>
      </c>
      <c r="N75" s="43" t="e">
        <f t="shared" ca="1" si="12"/>
        <v>#NAME?</v>
      </c>
      <c r="O75" s="183">
        <f t="shared" ca="1" si="9"/>
        <v>36</v>
      </c>
      <c r="P75" s="7" t="e">
        <f t="shared" ca="1" si="10"/>
        <v>#NAME?</v>
      </c>
      <c r="Q75" s="43" t="e">
        <f t="array" aca="1" ref="Q75" ca="1">IF(O75&lt;2,"",VAR(IF($G$3:$G$38=$L75,IF($H$3:$H$38=$M75,IF($I$3:$I$38=$N75,$J$3:$J$38,"")))))</f>
        <v>#NAME?</v>
      </c>
    </row>
    <row r="76" spans="12:17" x14ac:dyDescent="0.25">
      <c r="L76" s="183" t="e">
        <f t="shared" ca="1" si="13"/>
        <v>#NAME?</v>
      </c>
      <c r="M76" s="7" t="e">
        <f t="shared" ca="1" si="12"/>
        <v>#NAME?</v>
      </c>
      <c r="N76" s="43" t="e">
        <f t="shared" ca="1" si="12"/>
        <v>#NAME?</v>
      </c>
      <c r="O76" s="183">
        <f t="shared" ca="1" si="9"/>
        <v>36</v>
      </c>
      <c r="P76" s="7" t="e">
        <f t="shared" ca="1" si="10"/>
        <v>#NAME?</v>
      </c>
      <c r="Q76" s="43" t="e">
        <f t="array" aca="1" ref="Q76" ca="1">IF(O76&lt;2,"",VAR(IF($G$3:$G$38=$L76,IF($H$3:$H$38=$M76,IF($I$3:$I$38=$N76,$J$3:$J$38,"")))))</f>
        <v>#NAME?</v>
      </c>
    </row>
    <row r="77" spans="12:17" x14ac:dyDescent="0.25">
      <c r="L77" s="183" t="e">
        <f t="shared" ca="1" si="13"/>
        <v>#NAME?</v>
      </c>
      <c r="M77" s="7" t="e">
        <f t="shared" ca="1" si="12"/>
        <v>#NAME?</v>
      </c>
      <c r="N77" s="43" t="e">
        <f t="shared" ca="1" si="12"/>
        <v>#NAME?</v>
      </c>
      <c r="O77" s="183">
        <f t="shared" ca="1" si="9"/>
        <v>36</v>
      </c>
      <c r="P77" s="7" t="e">
        <f t="shared" ca="1" si="10"/>
        <v>#NAME?</v>
      </c>
      <c r="Q77" s="43" t="e">
        <f t="array" aca="1" ref="Q77" ca="1">IF(O77&lt;2,"",VAR(IF($G$3:$G$38=$L77,IF($H$3:$H$38=$M77,IF($I$3:$I$38=$N77,$J$3:$J$38,"")))))</f>
        <v>#NAME?</v>
      </c>
    </row>
    <row r="78" spans="12:17" x14ac:dyDescent="0.25">
      <c r="L78" s="183" t="e">
        <f t="shared" ca="1" si="13"/>
        <v>#NAME?</v>
      </c>
      <c r="M78" s="7" t="e">
        <f t="shared" ca="1" si="12"/>
        <v>#NAME?</v>
      </c>
      <c r="N78" s="43" t="e">
        <f t="shared" ca="1" si="12"/>
        <v>#NAME?</v>
      </c>
      <c r="O78" s="183">
        <f t="shared" ca="1" si="9"/>
        <v>36</v>
      </c>
      <c r="P78" s="7" t="e">
        <f t="shared" ca="1" si="10"/>
        <v>#NAME?</v>
      </c>
      <c r="Q78" s="43" t="e">
        <f t="array" aca="1" ref="Q78" ca="1">IF(O78&lt;2,"",VAR(IF($G$3:$G$38=$L78,IF($H$3:$H$38=$M78,IF($I$3:$I$38=$N78,$J$3:$J$38,"")))))</f>
        <v>#NAME?</v>
      </c>
    </row>
    <row r="79" spans="12:17" x14ac:dyDescent="0.25">
      <c r="L79" s="183" t="e">
        <f t="shared" ca="1" si="13"/>
        <v>#NAME?</v>
      </c>
      <c r="M79" s="7" t="e">
        <f t="shared" ca="1" si="12"/>
        <v>#NAME?</v>
      </c>
      <c r="N79" s="43" t="e">
        <f t="shared" ca="1" si="12"/>
        <v>#NAME?</v>
      </c>
      <c r="O79" s="183">
        <f t="shared" ca="1" si="9"/>
        <v>36</v>
      </c>
      <c r="P79" s="7" t="e">
        <f t="shared" ca="1" si="10"/>
        <v>#NAME?</v>
      </c>
      <c r="Q79" s="43" t="e">
        <f t="array" aca="1" ref="Q79" ca="1">IF(O79&lt;2,"",VAR(IF($G$3:$G$38=$L79,IF($H$3:$H$38=$M79,IF($I$3:$I$38=$N79,$J$3:$J$38,"")))))</f>
        <v>#NAME?</v>
      </c>
    </row>
    <row r="80" spans="12:17" x14ac:dyDescent="0.25">
      <c r="L80" s="183" t="e">
        <f t="shared" ca="1" si="13"/>
        <v>#NAME?</v>
      </c>
      <c r="M80" s="7" t="e">
        <f t="shared" ca="1" si="12"/>
        <v>#NAME?</v>
      </c>
      <c r="N80" s="43" t="e">
        <f t="shared" ca="1" si="12"/>
        <v>#NAME?</v>
      </c>
      <c r="O80" s="183">
        <f t="shared" ca="1" si="9"/>
        <v>36</v>
      </c>
      <c r="P80" s="7" t="e">
        <f t="shared" ca="1" si="10"/>
        <v>#NAME?</v>
      </c>
      <c r="Q80" s="43" t="e">
        <f t="array" aca="1" ref="Q80" ca="1">IF(O80&lt;2,"",VAR(IF($G$3:$G$38=$L80,IF($H$3:$H$38=$M80,IF($I$3:$I$38=$N80,$J$3:$J$38,"")))))</f>
        <v>#NAME?</v>
      </c>
    </row>
    <row r="81" spans="12:17" x14ac:dyDescent="0.25">
      <c r="L81" s="183" t="e">
        <f t="shared" ca="1" si="13"/>
        <v>#NAME?</v>
      </c>
      <c r="M81" s="7" t="e">
        <f t="shared" ca="1" si="12"/>
        <v>#NAME?</v>
      </c>
      <c r="N81" s="43" t="e">
        <f t="shared" ca="1" si="12"/>
        <v>#NAME?</v>
      </c>
      <c r="O81" s="183">
        <f t="shared" ca="1" si="9"/>
        <v>36</v>
      </c>
      <c r="P81" s="7" t="e">
        <f t="shared" ca="1" si="10"/>
        <v>#NAME?</v>
      </c>
      <c r="Q81" s="43" t="e">
        <f t="array" aca="1" ref="Q81" ca="1">IF(O81&lt;2,"",VAR(IF($G$3:$G$38=$L81,IF($H$3:$H$38=$M81,IF($I$3:$I$38=$N81,$J$3:$J$38,"")))))</f>
        <v>#NAME?</v>
      </c>
    </row>
    <row r="82" spans="12:17" x14ac:dyDescent="0.25">
      <c r="L82" s="351" t="e">
        <f t="shared" ca="1" si="13"/>
        <v>#NAME?</v>
      </c>
      <c r="M82" s="352" t="e">
        <f t="shared" ca="1" si="12"/>
        <v>#NAME?</v>
      </c>
      <c r="N82" s="353" t="e">
        <f t="shared" ca="1" si="12"/>
        <v>#NAME?</v>
      </c>
      <c r="O82" s="351">
        <f t="shared" ca="1" si="9"/>
        <v>36</v>
      </c>
      <c r="P82" s="352" t="e">
        <f t="shared" ca="1" si="10"/>
        <v>#NAME?</v>
      </c>
      <c r="Q82" s="353" t="e">
        <f t="array" aca="1" ref="Q82" ca="1">IF(O82&lt;2,"",VAR(IF($G$3:$G$38=$L82,IF($H$3:$H$38=$M82,IF($I$3:$I$38=$N82,$J$3:$J$38,"")))))</f>
        <v>#NAME?</v>
      </c>
    </row>
    <row r="83" spans="12:17" x14ac:dyDescent="0.25">
      <c r="O83">
        <f ca="1">SUM(O47:O82)</f>
        <v>1296</v>
      </c>
      <c r="P83" t="e">
        <f ca="1">AVERAGE(J3:J38)</f>
        <v>#NAME?</v>
      </c>
      <c r="Q83" t="e">
        <f ca="1">VAR(J3:J38)</f>
        <v>#NAME?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Q83"/>
  <sheetViews>
    <sheetView workbookViewId="0"/>
  </sheetViews>
  <sheetFormatPr defaultRowHeight="15" x14ac:dyDescent="0.25"/>
  <cols>
    <col min="1" max="1" width="5" customWidth="1"/>
    <col min="2" max="5" width="7.5703125" customWidth="1"/>
    <col min="7" max="9" width="9.140625" style="612"/>
    <col min="19" max="19" width="16.7109375" customWidth="1"/>
  </cols>
  <sheetData>
    <row r="1" spans="1:69" ht="15.75" thickBot="1" x14ac:dyDescent="0.3">
      <c r="A1" s="1" t="s">
        <v>1411</v>
      </c>
      <c r="G1" s="39" t="s">
        <v>819</v>
      </c>
      <c r="L1" t="s">
        <v>13</v>
      </c>
      <c r="S1" t="s">
        <v>1423</v>
      </c>
      <c r="AA1" t="s">
        <v>1419</v>
      </c>
      <c r="AL1" t="s">
        <v>1420</v>
      </c>
      <c r="AW1" t="s">
        <v>1421</v>
      </c>
      <c r="BH1" t="s">
        <v>1422</v>
      </c>
    </row>
    <row r="2" spans="1:69" ht="15.75" thickTop="1" x14ac:dyDescent="0.25">
      <c r="AA2" s="386" t="s">
        <v>53</v>
      </c>
      <c r="AB2" s="386" t="s">
        <v>27</v>
      </c>
      <c r="AC2" s="386" t="s">
        <v>6</v>
      </c>
      <c r="AD2" s="386" t="s">
        <v>110</v>
      </c>
      <c r="AL2" s="386" t="s">
        <v>53</v>
      </c>
      <c r="AM2" s="386" t="s">
        <v>27</v>
      </c>
      <c r="AN2" s="386" t="s">
        <v>6</v>
      </c>
      <c r="AO2" s="386" t="s">
        <v>110</v>
      </c>
      <c r="AW2" s="386" t="s">
        <v>53</v>
      </c>
      <c r="AX2" s="386" t="s">
        <v>27</v>
      </c>
      <c r="AY2" s="386" t="s">
        <v>6</v>
      </c>
      <c r="AZ2" s="386" t="s">
        <v>110</v>
      </c>
      <c r="BH2" s="386" t="s">
        <v>53</v>
      </c>
      <c r="BI2" s="386" t="s">
        <v>27</v>
      </c>
      <c r="BJ2" s="386" t="s">
        <v>6</v>
      </c>
      <c r="BK2" s="386" t="s">
        <v>110</v>
      </c>
    </row>
    <row r="3" spans="1:69" ht="15.75" thickBot="1" x14ac:dyDescent="0.3">
      <c r="B3" s="612" t="s">
        <v>109</v>
      </c>
      <c r="C3" s="612" t="s">
        <v>95</v>
      </c>
      <c r="D3" s="612" t="s">
        <v>96</v>
      </c>
      <c r="E3" s="612" t="s">
        <v>97</v>
      </c>
      <c r="G3" s="599" t="e">
        <f t="array" aca="1" ref="G3:J38" ca="1">Split2Std(A3:E12, 3)</f>
        <v>#NAME?</v>
      </c>
      <c r="H3" s="666" t="e">
        <f ca="1"/>
        <v>#NAME?</v>
      </c>
      <c r="I3" s="666" t="e">
        <f ca="1"/>
        <v>#NAME?</v>
      </c>
      <c r="J3" s="557" t="e">
        <f ca="1"/>
        <v>#NAME?</v>
      </c>
      <c r="O3" s="12" t="s">
        <v>12</v>
      </c>
      <c r="P3" s="12" t="s">
        <v>9</v>
      </c>
      <c r="Q3" s="12" t="s">
        <v>54</v>
      </c>
      <c r="S3" t="s">
        <v>125</v>
      </c>
      <c r="W3" s="612" t="s">
        <v>18</v>
      </c>
      <c r="X3" s="612">
        <v>0.05</v>
      </c>
      <c r="AA3" s="664" t="e">
        <f t="array" ref="AA3:AA6" ca="1">N10:N13</f>
        <v>#NAME?</v>
      </c>
      <c r="AB3" s="665"/>
      <c r="AC3" s="664" t="e">
        <f t="array" ref="AC3:AC6" ca="1">P10:P13</f>
        <v>#NAME?</v>
      </c>
      <c r="AD3" s="664">
        <f t="array" ref="AD3:AD6" ca="1">O10:O13</f>
        <v>1296</v>
      </c>
      <c r="AL3" s="664" t="e">
        <f t="array" ref="AL3:AL5" ca="1">M7:M9</f>
        <v>#NAME?</v>
      </c>
      <c r="AM3" s="665"/>
      <c r="AN3" s="664" t="e">
        <f t="array" ref="AN3:AN5" ca="1">P7:P9</f>
        <v>#NAME?</v>
      </c>
      <c r="AO3" s="664">
        <f t="array" ref="AO3:AO5" ca="1">O7:O9</f>
        <v>1296</v>
      </c>
      <c r="AW3" s="664" t="e">
        <f t="array" ref="AW3:AW6" ca="1">N10:N13</f>
        <v>#NAME?</v>
      </c>
      <c r="AX3" s="665"/>
      <c r="AY3" s="664" t="e">
        <f t="array" ref="AY3:AY6" ca="1">P10:P13</f>
        <v>#NAME?</v>
      </c>
      <c r="AZ3" s="664">
        <f t="array" ref="AZ3:AZ6" ca="1">O10:O13</f>
        <v>1296</v>
      </c>
      <c r="BH3" s="664" t="e">
        <f t="array" ref="BH3:BH5" ca="1">M7:M9</f>
        <v>#NAME?</v>
      </c>
      <c r="BI3" s="665"/>
      <c r="BJ3" s="664" t="e">
        <f t="array" ref="BJ3:BJ5" ca="1">P7:P9</f>
        <v>#NAME?</v>
      </c>
      <c r="BK3" s="664">
        <f t="array" ref="BK3:BK5" ca="1">O7:O9</f>
        <v>1296</v>
      </c>
    </row>
    <row r="4" spans="1:69" ht="15.75" thickTop="1" x14ac:dyDescent="0.25">
      <c r="A4" s="612">
        <v>580</v>
      </c>
      <c r="B4" s="646">
        <v>217</v>
      </c>
      <c r="C4" s="387">
        <v>158</v>
      </c>
      <c r="D4" s="387">
        <v>229</v>
      </c>
      <c r="E4" s="647">
        <v>223</v>
      </c>
      <c r="G4" s="182" t="e">
        <f ca="1"/>
        <v>#NAME?</v>
      </c>
      <c r="H4" s="613" t="e">
        <f ca="1"/>
        <v>#NAME?</v>
      </c>
      <c r="I4" s="613" t="e">
        <f ca="1"/>
        <v>#NAME?</v>
      </c>
      <c r="J4" s="43" t="e">
        <f ca="1"/>
        <v>#NAME?</v>
      </c>
      <c r="L4" s="550" t="e">
        <f t="array" aca="1" ref="L4:L6" ca="1">SortUnique(G3:G38)</f>
        <v>#NAME?</v>
      </c>
      <c r="M4" s="556"/>
      <c r="N4" s="557"/>
      <c r="O4" s="550">
        <f ca="1">SUMIF($L$47:$L$82,L4,$O$47:$O$82)</f>
        <v>1296</v>
      </c>
      <c r="P4" s="556" t="e">
        <f ca="1">IF(O4=0,"",AVERAGEIF($G$3:$G$38,$L4,$J$3:$J$38))</f>
        <v>#NAME?</v>
      </c>
      <c r="Q4" s="557" t="e">
        <f t="array" aca="1" ref="Q4" ca="1">IF(O4&lt;2,"",VAR(IF($G$3:$G$38=$L4,$J$3:$J$38,"")))</f>
        <v>#NAME?</v>
      </c>
      <c r="S4" s="386"/>
      <c r="T4" s="386" t="s">
        <v>111</v>
      </c>
      <c r="U4" s="386" t="s">
        <v>41</v>
      </c>
      <c r="V4" s="386" t="s">
        <v>115</v>
      </c>
      <c r="W4" s="386" t="s">
        <v>98</v>
      </c>
      <c r="X4" s="386" t="s">
        <v>48</v>
      </c>
      <c r="Y4" s="386" t="s">
        <v>164</v>
      </c>
      <c r="AA4" s="7" t="e">
        <f ca="1"/>
        <v>#NAME?</v>
      </c>
      <c r="AB4" s="539">
        <v>-1</v>
      </c>
      <c r="AC4" s="7" t="e">
        <f ca="1"/>
        <v>#NAME?</v>
      </c>
      <c r="AD4" s="7">
        <f ca="1"/>
        <v>1296</v>
      </c>
      <c r="AL4" s="7" t="e">
        <f ca="1"/>
        <v>#NAME?</v>
      </c>
      <c r="AM4" s="539">
        <v>1</v>
      </c>
      <c r="AN4" s="7" t="e">
        <f ca="1"/>
        <v>#NAME?</v>
      </c>
      <c r="AO4" s="7">
        <f ca="1"/>
        <v>1296</v>
      </c>
      <c r="AW4" s="7" t="e">
        <f ca="1"/>
        <v>#NAME?</v>
      </c>
      <c r="AX4" s="539">
        <v>-1</v>
      </c>
      <c r="AY4" s="7" t="e">
        <f ca="1"/>
        <v>#NAME?</v>
      </c>
      <c r="AZ4" s="7">
        <f ca="1"/>
        <v>1296</v>
      </c>
      <c r="BH4" s="7" t="e">
        <f ca="1"/>
        <v>#NAME?</v>
      </c>
      <c r="BI4" s="539">
        <v>1</v>
      </c>
      <c r="BJ4" s="7" t="e">
        <f ca="1"/>
        <v>#NAME?</v>
      </c>
      <c r="BK4" s="7">
        <f ca="1"/>
        <v>1296</v>
      </c>
    </row>
    <row r="5" spans="1:69" x14ac:dyDescent="0.25">
      <c r="A5" s="612">
        <v>600</v>
      </c>
      <c r="B5" s="214">
        <v>233</v>
      </c>
      <c r="C5" s="7">
        <v>138</v>
      </c>
      <c r="D5" s="7">
        <v>186</v>
      </c>
      <c r="E5" s="215">
        <v>227</v>
      </c>
      <c r="G5" s="182" t="e">
        <f ca="1"/>
        <v>#NAME?</v>
      </c>
      <c r="H5" s="613" t="e">
        <f ca="1"/>
        <v>#NAME?</v>
      </c>
      <c r="I5" s="613" t="e">
        <f ca="1"/>
        <v>#NAME?</v>
      </c>
      <c r="J5" s="43" t="e">
        <f ca="1"/>
        <v>#NAME?</v>
      </c>
      <c r="L5" s="183" t="e">
        <f ca="1"/>
        <v>#NAME?</v>
      </c>
      <c r="M5" s="7"/>
      <c r="N5" s="43"/>
      <c r="O5" s="183">
        <f ca="1">SUMIF($L$47:$L$82,L5,$O$47:$O$82)</f>
        <v>1296</v>
      </c>
      <c r="P5" s="7" t="e">
        <f ca="1">IF(O5=0,"",AVERAGEIF($G$3:$G$38,$L5,$J$3:$J$38))</f>
        <v>#NAME?</v>
      </c>
      <c r="Q5" s="43" t="e">
        <f t="array" aca="1" ref="Q5" ca="1">IF(O5&lt;2,"",VAR(IF($G$3:$G$38=$L5,$J$3:$J$38,"")))</f>
        <v>#NAME?</v>
      </c>
      <c r="S5" t="s">
        <v>1413</v>
      </c>
      <c r="T5" t="e">
        <f ca="1">DEVSQ(P4:P6)*O4</f>
        <v>#NAME?</v>
      </c>
      <c r="U5">
        <f ca="1">COUNT(P4:P6)-1</f>
        <v>-1</v>
      </c>
      <c r="V5" t="e">
        <f t="shared" ref="V5:V11" ca="1" si="0">T5/U5</f>
        <v>#NAME?</v>
      </c>
      <c r="W5" t="e">
        <f ca="1">V5/V7</f>
        <v>#NAME?</v>
      </c>
      <c r="X5" t="e">
        <f ca="1">FDIST(W5,U5,U7)</f>
        <v>#NAME?</v>
      </c>
      <c r="Y5" s="612" t="e">
        <f ca="1">IF(X5&lt;X3,"yes","no")</f>
        <v>#NAME?</v>
      </c>
      <c r="AA5" s="7" t="e">
        <f ca="1"/>
        <v>#NAME?</v>
      </c>
      <c r="AB5" s="539">
        <v>1</v>
      </c>
      <c r="AC5" s="7" t="e">
        <f ca="1"/>
        <v>#NAME?</v>
      </c>
      <c r="AD5" s="7">
        <f ca="1"/>
        <v>1296</v>
      </c>
      <c r="AL5" s="354" t="e">
        <f ca="1"/>
        <v>#NAME?</v>
      </c>
      <c r="AM5" s="540">
        <v>-1</v>
      </c>
      <c r="AN5" s="354" t="e">
        <f ca="1"/>
        <v>#NAME?</v>
      </c>
      <c r="AO5" s="354">
        <f ca="1"/>
        <v>1296</v>
      </c>
      <c r="AW5" s="7" t="e">
        <f ca="1"/>
        <v>#NAME?</v>
      </c>
      <c r="AX5" s="539">
        <v>1</v>
      </c>
      <c r="AY5" s="7" t="e">
        <f ca="1"/>
        <v>#NAME?</v>
      </c>
      <c r="AZ5" s="7">
        <f ca="1"/>
        <v>1296</v>
      </c>
      <c r="BH5" s="354" t="e">
        <f ca="1"/>
        <v>#NAME?</v>
      </c>
      <c r="BI5" s="540">
        <v>-1</v>
      </c>
      <c r="BJ5" s="354" t="e">
        <f ca="1"/>
        <v>#NAME?</v>
      </c>
      <c r="BK5" s="354">
        <f ca="1"/>
        <v>1296</v>
      </c>
    </row>
    <row r="6" spans="1:69" x14ac:dyDescent="0.25">
      <c r="A6" s="612">
        <v>620</v>
      </c>
      <c r="B6" s="214">
        <v>175</v>
      </c>
      <c r="C6" s="7">
        <v>152</v>
      </c>
      <c r="D6" s="7">
        <v>155</v>
      </c>
      <c r="E6" s="215">
        <v>156</v>
      </c>
      <c r="G6" s="182" t="e">
        <f ca="1"/>
        <v>#NAME?</v>
      </c>
      <c r="H6" s="613" t="e">
        <f ca="1"/>
        <v>#NAME?</v>
      </c>
      <c r="I6" s="613" t="e">
        <f ca="1"/>
        <v>#NAME?</v>
      </c>
      <c r="J6" s="43" t="e">
        <f ca="1"/>
        <v>#NAME?</v>
      </c>
      <c r="L6" s="183" t="e">
        <f ca="1"/>
        <v>#NAME?</v>
      </c>
      <c r="M6" s="7"/>
      <c r="N6" s="43"/>
      <c r="O6" s="183">
        <f ca="1">SUMIF($L$47:$L$82,L6,$O$47:$O$82)</f>
        <v>1296</v>
      </c>
      <c r="P6" s="7" t="e">
        <f ca="1">IF(O6=0,"",AVERAGEIF($G$3:$G$38,$L6,$J$3:$J$38))</f>
        <v>#NAME?</v>
      </c>
      <c r="Q6" s="43" t="e">
        <f t="array" aca="1" ref="Q6" ca="1">IF(O6&lt;2,"",VAR(IF($G$3:$G$38=$L6,$J$3:$J$38,"")))</f>
        <v>#NAME?</v>
      </c>
      <c r="S6" t="s">
        <v>1414</v>
      </c>
      <c r="T6" t="e">
        <f ca="1">DEVSQ(P10:P13)*O10</f>
        <v>#NAME?</v>
      </c>
      <c r="U6">
        <f ca="1">COUNT(P10:P13)-1</f>
        <v>-1</v>
      </c>
      <c r="V6" t="e">
        <f t="shared" ca="1" si="0"/>
        <v>#NAME?</v>
      </c>
      <c r="W6" t="e">
        <f ca="1">V6/V7</f>
        <v>#NAME?</v>
      </c>
      <c r="X6" t="e">
        <f ca="1">FDIST(W6,U6,U7)</f>
        <v>#NAME?</v>
      </c>
      <c r="Y6" s="612" t="e">
        <f ca="1">IF(X6&lt;X3,"yes","no")</f>
        <v>#NAME?</v>
      </c>
      <c r="AA6" s="354" t="e">
        <f ca="1"/>
        <v>#NAME?</v>
      </c>
      <c r="AB6" s="540"/>
      <c r="AC6" s="354" t="e">
        <f ca="1"/>
        <v>#NAME?</v>
      </c>
      <c r="AD6" s="354">
        <f ca="1"/>
        <v>1296</v>
      </c>
      <c r="AM6">
        <f>SUM(AM3:AM5)</f>
        <v>0</v>
      </c>
      <c r="AN6" t="e">
        <f ca="1">SUMPRODUCT(AM3:AM5,AN3:AN5)</f>
        <v>#NAME?</v>
      </c>
      <c r="AO6">
        <f ca="1">HARMEAN(AO3:AO5)</f>
        <v>1296</v>
      </c>
      <c r="AW6" s="354" t="e">
        <f ca="1"/>
        <v>#NAME?</v>
      </c>
      <c r="AX6" s="540"/>
      <c r="AY6" s="354" t="e">
        <f ca="1"/>
        <v>#NAME?</v>
      </c>
      <c r="AZ6" s="354">
        <f ca="1"/>
        <v>1296</v>
      </c>
      <c r="BI6">
        <f>SUM(BI3:BI5)</f>
        <v>0</v>
      </c>
      <c r="BJ6" t="e">
        <f ca="1">SUMPRODUCT(BI3:BI5,BJ3:BJ5)</f>
        <v>#NAME?</v>
      </c>
      <c r="BK6">
        <f ca="1">HARMEAN(BK3:BK5)</f>
        <v>1296</v>
      </c>
    </row>
    <row r="7" spans="1:69" ht="15.75" thickBot="1" x14ac:dyDescent="0.3">
      <c r="A7" s="612">
        <v>580</v>
      </c>
      <c r="B7" s="646">
        <v>188</v>
      </c>
      <c r="C7" s="387">
        <v>126</v>
      </c>
      <c r="D7" s="387">
        <v>160</v>
      </c>
      <c r="E7" s="647">
        <v>201</v>
      </c>
      <c r="G7" s="182" t="e">
        <f ca="1"/>
        <v>#NAME?</v>
      </c>
      <c r="H7" s="613" t="e">
        <f ca="1"/>
        <v>#NAME?</v>
      </c>
      <c r="I7" s="613" t="e">
        <f ca="1"/>
        <v>#NAME?</v>
      </c>
      <c r="J7" s="43" t="e">
        <f ca="1"/>
        <v>#NAME?</v>
      </c>
      <c r="L7" s="183"/>
      <c r="M7" s="7" t="e">
        <f t="array" aca="1" ref="M7:M9" ca="1">SortUnique(H3:H38)</f>
        <v>#NAME?</v>
      </c>
      <c r="N7" s="43"/>
      <c r="O7" s="183">
        <f ca="1">SUMIF($M$47:$M$82,M7,$O$47:$O$82)</f>
        <v>1296</v>
      </c>
      <c r="P7" s="7" t="e">
        <f ca="1">IF(O7=0,"",AVERAGEIF($H$3:$H$38,$M7,$J$3:$J$38))</f>
        <v>#NAME?</v>
      </c>
      <c r="Q7" s="43" t="e">
        <f t="array" aca="1" ref="Q7" ca="1">IF(O7&lt;2,"",VAR(IF($H$3:$H$38=$M7,$J$3:$J$38,"")))</f>
        <v>#NAME?</v>
      </c>
      <c r="S7" s="354" t="s">
        <v>1424</v>
      </c>
      <c r="T7" s="354" t="e">
        <f ca="1">DEVSQ(P23:P34)*O23-T5-T6</f>
        <v>#NAME?</v>
      </c>
      <c r="U7" s="354">
        <f ca="1">U5*U6</f>
        <v>1</v>
      </c>
      <c r="V7" s="354" t="e">
        <f t="shared" ca="1" si="0"/>
        <v>#NAME?</v>
      </c>
      <c r="W7" s="354"/>
      <c r="X7" s="354"/>
      <c r="Y7" s="354"/>
      <c r="AB7">
        <f>SUM(AB3:AB6)</f>
        <v>0</v>
      </c>
      <c r="AC7" t="e">
        <f ca="1">SUMPRODUCT(AB3:AB6,AC3:AC6)</f>
        <v>#NAME?</v>
      </c>
      <c r="AD7">
        <f ca="1">HARMEAN(AD3:AD6)</f>
        <v>1296</v>
      </c>
      <c r="AL7" t="s">
        <v>46</v>
      </c>
      <c r="AQ7" t="s">
        <v>18</v>
      </c>
      <c r="AR7">
        <v>0.05</v>
      </c>
      <c r="AX7">
        <f>SUM(AX3:AX6)</f>
        <v>0</v>
      </c>
      <c r="AY7" t="e">
        <f ca="1">SUMPRODUCT(AX3:AX6,AY3:AY6)</f>
        <v>#NAME?</v>
      </c>
      <c r="AZ7">
        <f ca="1">HARMEAN(AZ3:AZ6)</f>
        <v>1296</v>
      </c>
      <c r="BH7" t="s">
        <v>801</v>
      </c>
      <c r="BL7" s="612" t="s">
        <v>18</v>
      </c>
      <c r="BM7" s="612">
        <v>0.05</v>
      </c>
    </row>
    <row r="8" spans="1:69" ht="16.5" thickTop="1" thickBot="1" x14ac:dyDescent="0.3">
      <c r="A8" s="612">
        <v>600</v>
      </c>
      <c r="B8" s="214">
        <v>201</v>
      </c>
      <c r="C8" s="7">
        <v>130</v>
      </c>
      <c r="D8" s="7">
        <v>170</v>
      </c>
      <c r="E8" s="215">
        <v>181</v>
      </c>
      <c r="G8" s="182" t="e">
        <f ca="1"/>
        <v>#NAME?</v>
      </c>
      <c r="H8" s="613" t="e">
        <f ca="1"/>
        <v>#NAME?</v>
      </c>
      <c r="I8" s="613" t="e">
        <f ca="1"/>
        <v>#NAME?</v>
      </c>
      <c r="J8" s="43" t="e">
        <f ca="1"/>
        <v>#NAME?</v>
      </c>
      <c r="L8" s="183"/>
      <c r="M8" s="7" t="e">
        <f ca="1"/>
        <v>#NAME?</v>
      </c>
      <c r="N8" s="43"/>
      <c r="O8" s="183">
        <f ca="1">SUMIF($M$47:$M$82,M8,$O$47:$O$82)</f>
        <v>1296</v>
      </c>
      <c r="P8" s="7" t="e">
        <f ca="1">IF(O8=0,"",AVERAGEIF($H$3:$H$38,$M8,$J$3:$J$38))</f>
        <v>#NAME?</v>
      </c>
      <c r="Q8" s="43" t="e">
        <f t="array" aca="1" ref="Q8" ca="1">IF(O8&lt;2,"",VAR(IF($H$3:$H$38=$M8,$J$3:$J$38,"")))</f>
        <v>#NAME?</v>
      </c>
      <c r="S8" t="s">
        <v>1416</v>
      </c>
      <c r="T8" t="e">
        <f ca="1">DEVSQ(P7:P9)*O7</f>
        <v>#NAME?</v>
      </c>
      <c r="U8">
        <f ca="1">COUNT(P7:P9)-1</f>
        <v>-1</v>
      </c>
      <c r="V8" t="e">
        <f t="shared" ca="1" si="0"/>
        <v>#NAME?</v>
      </c>
      <c r="W8" t="e">
        <f ca="1">V8/V9</f>
        <v>#NAME?</v>
      </c>
      <c r="X8" t="e">
        <f ca="1">FDIST(W8,U8,U9)</f>
        <v>#NAME?</v>
      </c>
      <c r="Y8" s="612" t="e">
        <f ca="1">IF(X8&lt;X3,"yes","no")</f>
        <v>#NAME?</v>
      </c>
      <c r="AA8" t="s">
        <v>46</v>
      </c>
      <c r="AF8" t="s">
        <v>18</v>
      </c>
      <c r="AG8">
        <v>0.05</v>
      </c>
      <c r="AL8" s="386" t="s">
        <v>390</v>
      </c>
      <c r="AM8" s="386" t="s">
        <v>60</v>
      </c>
      <c r="AN8" s="386" t="s">
        <v>41</v>
      </c>
      <c r="AO8" s="386" t="s">
        <v>48</v>
      </c>
      <c r="AP8" s="386" t="s">
        <v>49</v>
      </c>
      <c r="AQ8" s="386" t="s">
        <v>15</v>
      </c>
      <c r="AR8" s="386" t="s">
        <v>16</v>
      </c>
      <c r="AS8" s="386" t="s">
        <v>164</v>
      </c>
      <c r="AT8" s="386" t="s">
        <v>45</v>
      </c>
      <c r="AU8" s="386" t="s">
        <v>399</v>
      </c>
      <c r="AW8" t="s">
        <v>801</v>
      </c>
      <c r="BA8" s="612" t="s">
        <v>18</v>
      </c>
      <c r="BB8" s="612">
        <v>0.05</v>
      </c>
      <c r="BH8" s="386" t="s">
        <v>390</v>
      </c>
      <c r="BI8" s="386" t="s">
        <v>800</v>
      </c>
      <c r="BJ8" s="386" t="s">
        <v>41</v>
      </c>
      <c r="BK8" s="386" t="s">
        <v>166</v>
      </c>
      <c r="BL8" s="386" t="s">
        <v>15</v>
      </c>
      <c r="BM8" s="386" t="s">
        <v>16</v>
      </c>
      <c r="BN8" s="386" t="s">
        <v>48</v>
      </c>
      <c r="BO8" s="386" t="s">
        <v>75</v>
      </c>
      <c r="BP8" s="386" t="s">
        <v>45</v>
      </c>
      <c r="BQ8" s="386" t="s">
        <v>399</v>
      </c>
    </row>
    <row r="9" spans="1:69" ht="15.75" thickTop="1" x14ac:dyDescent="0.25">
      <c r="A9" s="612">
        <v>620</v>
      </c>
      <c r="B9" s="112">
        <v>195</v>
      </c>
      <c r="C9" s="354">
        <v>147</v>
      </c>
      <c r="D9" s="354">
        <v>161</v>
      </c>
      <c r="E9" s="120">
        <v>172</v>
      </c>
      <c r="G9" s="182" t="e">
        <f ca="1"/>
        <v>#NAME?</v>
      </c>
      <c r="H9" s="613" t="e">
        <f ca="1"/>
        <v>#NAME?</v>
      </c>
      <c r="I9" s="613" t="e">
        <f ca="1"/>
        <v>#NAME?</v>
      </c>
      <c r="J9" s="43" t="e">
        <f ca="1"/>
        <v>#NAME?</v>
      </c>
      <c r="L9" s="183"/>
      <c r="M9" s="7" t="e">
        <f ca="1"/>
        <v>#NAME?</v>
      </c>
      <c r="N9" s="43"/>
      <c r="O9" s="183">
        <f ca="1">SUMIF($M$47:$M$82,M9,$O$47:$O$82)</f>
        <v>1296</v>
      </c>
      <c r="P9" s="7" t="e">
        <f ca="1">IF(O9=0,"",AVERAGEIF($H$3:$H$38,$M9,$J$3:$J$38))</f>
        <v>#NAME?</v>
      </c>
      <c r="Q9" s="43" t="e">
        <f t="array" aca="1" ref="Q9" ca="1">IF(O9&lt;2,"",VAR(IF($H$3:$H$38=$M9,$J$3:$J$38,"")))</f>
        <v>#NAME?</v>
      </c>
      <c r="S9" t="s">
        <v>1417</v>
      </c>
      <c r="T9" t="e">
        <f ca="1">DEVSQ(P35:P46)*O35-T6-T8</f>
        <v>#NAME?</v>
      </c>
      <c r="U9">
        <f ca="1">U6*U8</f>
        <v>1</v>
      </c>
      <c r="V9" t="e">
        <f t="shared" ca="1" si="0"/>
        <v>#NAME?</v>
      </c>
      <c r="W9" t="e">
        <f ca="1">V9/V10</f>
        <v>#NAME?</v>
      </c>
      <c r="X9" t="e">
        <f ca="1">FDIST(W9,U9,U10)</f>
        <v>#NAME?</v>
      </c>
      <c r="Y9" s="612" t="e">
        <f ca="1">IF(X9&lt;X3,"yes","no")</f>
        <v>#NAME?</v>
      </c>
      <c r="AA9" s="386" t="s">
        <v>390</v>
      </c>
      <c r="AB9" s="386" t="s">
        <v>60</v>
      </c>
      <c r="AC9" s="386" t="s">
        <v>41</v>
      </c>
      <c r="AD9" s="386" t="s">
        <v>48</v>
      </c>
      <c r="AE9" s="386" t="s">
        <v>49</v>
      </c>
      <c r="AF9" s="386" t="s">
        <v>15</v>
      </c>
      <c r="AG9" s="386" t="s">
        <v>16</v>
      </c>
      <c r="AH9" s="386" t="s">
        <v>164</v>
      </c>
      <c r="AI9" s="386" t="s">
        <v>45</v>
      </c>
      <c r="AJ9" s="386" t="s">
        <v>399</v>
      </c>
      <c r="AL9" s="663" t="e">
        <f ca="1">SQRT(V9*SUMPRODUCT(AM3:AM5^2,1/AO3:AO5))</f>
        <v>#NAME?</v>
      </c>
      <c r="AM9" s="663" t="e">
        <f ca="1">AN6/AL9</f>
        <v>#NAME?</v>
      </c>
      <c r="AN9" s="663">
        <f ca="1">U9</f>
        <v>1</v>
      </c>
      <c r="AO9" s="663" t="e">
        <f ca="1">TDIST(ABS(AM9),AN9,2)</f>
        <v>#NAME?</v>
      </c>
      <c r="AP9" s="663">
        <f ca="1">TINV(AR7,AN9)</f>
        <v>12.706204736174707</v>
      </c>
      <c r="AQ9" s="663" t="e">
        <f ca="1">AN6-AL9*AP9</f>
        <v>#NAME?</v>
      </c>
      <c r="AR9" s="663" t="e">
        <f ca="1">AN6+AL9*AP9</f>
        <v>#NAME?</v>
      </c>
      <c r="AS9" s="196" t="e">
        <f ca="1">IF(AO9&lt;AR7,"yes","no")</f>
        <v>#NAME?</v>
      </c>
      <c r="AT9" s="663" t="e">
        <f ca="1">ABS(AN6)/SQRT(V9)</f>
        <v>#NAME?</v>
      </c>
      <c r="AU9" s="663" t="e">
        <f ca="1">SQRT(AM9^2/(AM9^2+AN9))</f>
        <v>#NAME?</v>
      </c>
      <c r="AW9" s="386" t="s">
        <v>390</v>
      </c>
      <c r="AX9" s="386" t="s">
        <v>800</v>
      </c>
      <c r="AY9" s="386" t="s">
        <v>41</v>
      </c>
      <c r="AZ9" s="386" t="s">
        <v>166</v>
      </c>
      <c r="BA9" s="386" t="s">
        <v>15</v>
      </c>
      <c r="BB9" s="386" t="s">
        <v>16</v>
      </c>
      <c r="BC9" s="386" t="s">
        <v>48</v>
      </c>
      <c r="BD9" s="386" t="s">
        <v>75</v>
      </c>
      <c r="BE9" s="386" t="s">
        <v>45</v>
      </c>
      <c r="BF9" s="386" t="s">
        <v>399</v>
      </c>
      <c r="BH9" s="663" t="e">
        <f ca="1">SQRT(V9/BK6)</f>
        <v>#NAME?</v>
      </c>
      <c r="BI9" s="663" t="e">
        <f ca="1">BJ6/BH9</f>
        <v>#NAME?</v>
      </c>
      <c r="BJ9" s="663">
        <f ca="1">U9</f>
        <v>1</v>
      </c>
      <c r="BK9" s="663" t="e">
        <f ca="1">QCRIT(COUNTA(BH3:BH5),BJ9,BM7,2)</f>
        <v>#NAME?</v>
      </c>
      <c r="BL9" s="663" t="e">
        <f ca="1">BJ6-BH9*BK9</f>
        <v>#NAME?</v>
      </c>
      <c r="BM9" s="663" t="e">
        <f ca="1">BJ6+BH9*BK9</f>
        <v>#NAME?</v>
      </c>
      <c r="BN9" s="663" t="e">
        <f ca="1">QDIST(ABS(BI9),COUNTA(BH3:BH5),BJ9)</f>
        <v>#NAME?</v>
      </c>
      <c r="BO9" s="663" t="e">
        <f ca="1">BH9*BK9</f>
        <v>#NAME?</v>
      </c>
      <c r="BP9" s="663" t="e">
        <f ca="1">ABS(BJ6)/SQRT(V9)</f>
        <v>#NAME?</v>
      </c>
      <c r="BQ9" s="663" t="e">
        <f ca="1">SQRT(BI9^2/(BI9^2+BJ9))</f>
        <v>#NAME?</v>
      </c>
    </row>
    <row r="10" spans="1:69" x14ac:dyDescent="0.25">
      <c r="A10" s="612">
        <v>580</v>
      </c>
      <c r="B10" s="214">
        <v>162</v>
      </c>
      <c r="C10" s="7">
        <v>122</v>
      </c>
      <c r="D10" s="7">
        <v>167</v>
      </c>
      <c r="E10" s="215">
        <v>182</v>
      </c>
      <c r="G10" s="182" t="e">
        <f ca="1"/>
        <v>#NAME?</v>
      </c>
      <c r="H10" s="613" t="e">
        <f ca="1"/>
        <v>#NAME?</v>
      </c>
      <c r="I10" s="613" t="e">
        <f ca="1"/>
        <v>#NAME?</v>
      </c>
      <c r="J10" s="43" t="e">
        <f ca="1"/>
        <v>#NAME?</v>
      </c>
      <c r="L10" s="183"/>
      <c r="M10" s="7"/>
      <c r="N10" s="43" t="e">
        <f t="array" aca="1" ref="N10:N13" ca="1">SortUnique(I3:I38)</f>
        <v>#NAME?</v>
      </c>
      <c r="O10" s="183">
        <f ca="1">SUMIF($N$47:$N$82,N10,$O$47:$O$82)</f>
        <v>1296</v>
      </c>
      <c r="P10" s="7" t="e">
        <f ca="1">IF(O10=0,"",AVERAGEIF($I$3:$I$38,$N10,$J$3:$J$38))</f>
        <v>#NAME?</v>
      </c>
      <c r="Q10" s="43" t="e">
        <f t="array" aca="1" ref="Q10" ca="1">IF(O10&lt;2,"",VAR(IF($I$3:$I$38=$N10,$J$3:$J$38,"")))</f>
        <v>#NAME?</v>
      </c>
      <c r="S10" t="s">
        <v>1418</v>
      </c>
      <c r="T10" t="e">
        <f ca="1">T11-SUM(T5:T9)</f>
        <v>#NAME?</v>
      </c>
      <c r="U10">
        <f ca="1">U11-SUM(U5:U9)</f>
        <v>1296</v>
      </c>
      <c r="V10" t="e">
        <f t="shared" ca="1" si="0"/>
        <v>#NAME?</v>
      </c>
      <c r="AA10" s="663" t="e">
        <f ca="1">SQRT(V7*SUMPRODUCT(AB3:AB6^2,1/AD3:AD6))</f>
        <v>#NAME?</v>
      </c>
      <c r="AB10" s="663" t="e">
        <f ca="1">AC7/AA10</f>
        <v>#NAME?</v>
      </c>
      <c r="AC10" s="663">
        <f ca="1">U7</f>
        <v>1</v>
      </c>
      <c r="AD10" s="663" t="e">
        <f ca="1">TDIST(ABS(AB10),AC10,2)</f>
        <v>#NAME?</v>
      </c>
      <c r="AE10" s="663">
        <f ca="1">TINV(AG8,AC10)</f>
        <v>12.706204736174707</v>
      </c>
      <c r="AF10" s="663" t="e">
        <f ca="1">AC7-AA10*AE10</f>
        <v>#NAME?</v>
      </c>
      <c r="AG10" s="663" t="e">
        <f ca="1">AC7+AA10*AE10</f>
        <v>#NAME?</v>
      </c>
      <c r="AH10" s="196" t="e">
        <f ca="1">IF(AD10&lt;AG8,"yes","no")</f>
        <v>#NAME?</v>
      </c>
      <c r="AI10" s="663" t="e">
        <f ca="1">ABS(AC7)/SQRT(V7)</f>
        <v>#NAME?</v>
      </c>
      <c r="AJ10" s="663" t="e">
        <f ca="1">SQRT(AB10^2/(AB10^2+AC10))</f>
        <v>#NAME?</v>
      </c>
      <c r="AW10" s="663" t="e">
        <f ca="1">SQRT(V7/AZ7)</f>
        <v>#NAME?</v>
      </c>
      <c r="AX10" s="663" t="e">
        <f ca="1">AY7/AW10</f>
        <v>#NAME?</v>
      </c>
      <c r="AY10" s="663">
        <f ca="1">U7</f>
        <v>1</v>
      </c>
      <c r="AZ10" s="663" t="e">
        <f ca="1">QCRIT(COUNTA(AW3:AW6),AY10,BB8,2)</f>
        <v>#NAME?</v>
      </c>
      <c r="BA10" s="663" t="e">
        <f ca="1">AY7-AW10*AZ10</f>
        <v>#NAME?</v>
      </c>
      <c r="BB10" s="663" t="e">
        <f ca="1">AY7+AW10*AZ10</f>
        <v>#NAME?</v>
      </c>
      <c r="BC10" s="663" t="e">
        <f ca="1">QDIST(ABS(AX10),COUNTA(AW3:AW6),AY10)</f>
        <v>#NAME?</v>
      </c>
      <c r="BD10" s="663" t="e">
        <f ca="1">AW10*AZ10</f>
        <v>#NAME?</v>
      </c>
      <c r="BE10" s="663" t="e">
        <f ca="1">ABS(AY7)/SQRT(V7)</f>
        <v>#NAME?</v>
      </c>
      <c r="BF10" s="663" t="e">
        <f ca="1">SQRT(AX10^2/(AX10^2+AY10))</f>
        <v>#NAME?</v>
      </c>
    </row>
    <row r="11" spans="1:69" x14ac:dyDescent="0.25">
      <c r="A11" s="612">
        <v>600</v>
      </c>
      <c r="B11" s="214">
        <v>170</v>
      </c>
      <c r="C11" s="7">
        <v>185</v>
      </c>
      <c r="D11" s="7">
        <v>181</v>
      </c>
      <c r="E11" s="215">
        <v>201</v>
      </c>
      <c r="G11" s="182" t="e">
        <f ca="1"/>
        <v>#NAME?</v>
      </c>
      <c r="H11" s="613" t="e">
        <f ca="1"/>
        <v>#NAME?</v>
      </c>
      <c r="I11" s="613" t="e">
        <f ca="1"/>
        <v>#NAME?</v>
      </c>
      <c r="J11" s="43" t="e">
        <f ca="1"/>
        <v>#NAME?</v>
      </c>
      <c r="L11" s="183"/>
      <c r="M11" s="7"/>
      <c r="N11" s="43" t="e">
        <f ca="1"/>
        <v>#NAME?</v>
      </c>
      <c r="O11" s="183">
        <f ca="1">SUMIF($N$47:$N$82,N11,$O$47:$O$82)</f>
        <v>1296</v>
      </c>
      <c r="P11" s="7" t="e">
        <f ca="1">IF(O11=0,"",AVERAGEIF($I$3:$I$38,$N11,$J$3:$J$38))</f>
        <v>#NAME?</v>
      </c>
      <c r="Q11" s="43" t="e">
        <f t="array" aca="1" ref="Q11" ca="1">IF(O11&lt;2,"",VAR(IF($I$3:$I$38=$N11,$J$3:$J$38,"")))</f>
        <v>#NAME?</v>
      </c>
      <c r="S11" s="354" t="s">
        <v>1</v>
      </c>
      <c r="T11" s="354" t="e">
        <f ca="1">Q83*U11</f>
        <v>#NAME?</v>
      </c>
      <c r="U11" s="354">
        <f ca="1">O83-1</f>
        <v>1295</v>
      </c>
      <c r="V11" s="354" t="e">
        <f t="shared" ca="1" si="0"/>
        <v>#NAME?</v>
      </c>
      <c r="W11" s="354"/>
      <c r="X11" s="354"/>
      <c r="Y11" s="354"/>
    </row>
    <row r="12" spans="1:69" x14ac:dyDescent="0.25">
      <c r="A12" s="612">
        <v>620</v>
      </c>
      <c r="B12" s="112">
        <v>213</v>
      </c>
      <c r="C12" s="354">
        <v>180</v>
      </c>
      <c r="D12" s="354">
        <v>182</v>
      </c>
      <c r="E12" s="120">
        <v>199</v>
      </c>
      <c r="G12" s="182" t="e">
        <f ca="1"/>
        <v>#NAME?</v>
      </c>
      <c r="H12" s="613" t="e">
        <f ca="1"/>
        <v>#NAME?</v>
      </c>
      <c r="I12" s="613" t="e">
        <f ca="1"/>
        <v>#NAME?</v>
      </c>
      <c r="J12" s="43" t="e">
        <f ca="1"/>
        <v>#NAME?</v>
      </c>
      <c r="L12" s="183"/>
      <c r="M12" s="7"/>
      <c r="N12" s="43" t="e">
        <f ca="1"/>
        <v>#NAME?</v>
      </c>
      <c r="O12" s="183">
        <f ca="1">SUMIF($N$47:$N$82,N12,$O$47:$O$82)</f>
        <v>1296</v>
      </c>
      <c r="P12" s="7" t="e">
        <f ca="1">IF(O12=0,"",AVERAGEIF($I$3:$I$38,$N12,$J$3:$J$38))</f>
        <v>#NAME?</v>
      </c>
      <c r="Q12" s="43" t="e">
        <f t="array" aca="1" ref="Q12" ca="1">IF(O12&lt;2,"",VAR(IF($I$3:$I$38=$N12,$J$3:$J$38,"")))</f>
        <v>#NAME?</v>
      </c>
    </row>
    <row r="13" spans="1:69" x14ac:dyDescent="0.25">
      <c r="G13" s="182" t="e">
        <f ca="1"/>
        <v>#NAME?</v>
      </c>
      <c r="H13" s="613" t="e">
        <f ca="1"/>
        <v>#NAME?</v>
      </c>
      <c r="I13" s="613" t="e">
        <f ca="1"/>
        <v>#NAME?</v>
      </c>
      <c r="J13" s="43" t="e">
        <f ca="1"/>
        <v>#NAME?</v>
      </c>
      <c r="L13" s="351"/>
      <c r="M13" s="352"/>
      <c r="N13" s="353" t="e">
        <f ca="1"/>
        <v>#NAME?</v>
      </c>
      <c r="O13" s="351">
        <f ca="1">SUMIF($N$47:$N$82,N13,$O$47:$O$82)</f>
        <v>1296</v>
      </c>
      <c r="P13" s="352" t="e">
        <f ca="1">IF(O13=0,"",AVERAGEIF($I$3:$I$38,$N13,$J$3:$J$38))</f>
        <v>#NAME?</v>
      </c>
      <c r="Q13" s="353" t="e">
        <f t="array" aca="1" ref="Q13" ca="1">IF(O13&lt;2,"",VAR(IF($I$3:$I$38=$N13,$J$3:$J$38,"")))</f>
        <v>#NAME?</v>
      </c>
    </row>
    <row r="14" spans="1:69" x14ac:dyDescent="0.25">
      <c r="G14" s="182" t="e">
        <f ca="1"/>
        <v>#NAME?</v>
      </c>
      <c r="H14" s="613" t="e">
        <f ca="1"/>
        <v>#NAME?</v>
      </c>
      <c r="I14" s="613" t="e">
        <f ca="1"/>
        <v>#NAME?</v>
      </c>
      <c r="J14" s="43" t="e">
        <f ca="1"/>
        <v>#NAME?</v>
      </c>
      <c r="L14" s="550" t="e">
        <f ca="1">$L$4</f>
        <v>#NAME?</v>
      </c>
      <c r="M14" s="556" t="e">
        <f ca="1">$M7</f>
        <v>#NAME?</v>
      </c>
      <c r="N14" s="557"/>
      <c r="O14" s="550">
        <f ca="1">SUMIFS($O$47:$O$82,$L$47:$L$82,L14,$M$47:$M$82,M14)</f>
        <v>1296</v>
      </c>
      <c r="P14" s="556" t="e">
        <f ca="1">IF(O14=0,"",AVERAGEIFS($J$3:$J$38,$G$3:$G$38,$L14,$H$3:$H$38,$M14))</f>
        <v>#NAME?</v>
      </c>
      <c r="Q14" s="557" t="e">
        <f t="array" aca="1" ref="Q14" ca="1">IF(O14&lt;2,"",VAR(IF($G$3:$G$38=$L14,IF($H$3:$H$38=$M14,$J$3:$J$38,""))))</f>
        <v>#NAME?</v>
      </c>
    </row>
    <row r="15" spans="1:69" x14ac:dyDescent="0.25">
      <c r="G15" s="182" t="e">
        <f ca="1"/>
        <v>#NAME?</v>
      </c>
      <c r="H15" s="613" t="e">
        <f ca="1"/>
        <v>#NAME?</v>
      </c>
      <c r="I15" s="613" t="e">
        <f ca="1"/>
        <v>#NAME?</v>
      </c>
      <c r="J15" s="43" t="e">
        <f ca="1"/>
        <v>#NAME?</v>
      </c>
      <c r="L15" s="183" t="e">
        <f ca="1">$L$4</f>
        <v>#NAME?</v>
      </c>
      <c r="M15" s="7" t="e">
        <f ca="1">$M8</f>
        <v>#NAME?</v>
      </c>
      <c r="N15" s="43"/>
      <c r="O15" s="183">
        <f t="shared" ref="O15:O22" ca="1" si="1">SUMIFS($O$47:$O$82,$L$47:$L$82,L15,$M$47:$M$82,M15)</f>
        <v>1296</v>
      </c>
      <c r="P15" s="7" t="e">
        <f t="shared" ref="P15:P22" ca="1" si="2">IF(O15=0,"",AVERAGEIFS($J$3:$J$38,$G$3:$G$38,$L15,$H$3:$H$38,$M15))</f>
        <v>#NAME?</v>
      </c>
      <c r="Q15" s="43" t="e">
        <f t="array" aca="1" ref="Q15" ca="1">IF(O15&lt;2,"",VAR(IF($G$3:$G$38=$L15,IF($H$3:$H$38=$M15,$J$3:$J$38,""))))</f>
        <v>#NAME?</v>
      </c>
    </row>
    <row r="16" spans="1:69" x14ac:dyDescent="0.25">
      <c r="G16" s="182" t="e">
        <f ca="1"/>
        <v>#NAME?</v>
      </c>
      <c r="H16" s="613" t="e">
        <f ca="1"/>
        <v>#NAME?</v>
      </c>
      <c r="I16" s="613" t="e">
        <f ca="1"/>
        <v>#NAME?</v>
      </c>
      <c r="J16" s="43" t="e">
        <f ca="1"/>
        <v>#NAME?</v>
      </c>
      <c r="L16" s="183" t="e">
        <f ca="1">$L$4</f>
        <v>#NAME?</v>
      </c>
      <c r="M16" s="7" t="e">
        <f ca="1">$M9</f>
        <v>#NAME?</v>
      </c>
      <c r="N16" s="43"/>
      <c r="O16" s="183">
        <f t="shared" ca="1" si="1"/>
        <v>1296</v>
      </c>
      <c r="P16" s="7" t="e">
        <f t="shared" ca="1" si="2"/>
        <v>#NAME?</v>
      </c>
      <c r="Q16" s="43" t="e">
        <f t="array" aca="1" ref="Q16" ca="1">IF(O16&lt;2,"",VAR(IF($G$3:$G$38=$L16,IF($H$3:$H$38=$M16,$J$3:$J$38,""))))</f>
        <v>#NAME?</v>
      </c>
    </row>
    <row r="17" spans="7:17" x14ac:dyDescent="0.25">
      <c r="G17" s="182" t="e">
        <f ca="1"/>
        <v>#NAME?</v>
      </c>
      <c r="H17" s="613" t="e">
        <f ca="1"/>
        <v>#NAME?</v>
      </c>
      <c r="I17" s="613" t="e">
        <f ca="1"/>
        <v>#NAME?</v>
      </c>
      <c r="J17" s="43" t="e">
        <f ca="1"/>
        <v>#NAME?</v>
      </c>
      <c r="L17" s="183" t="e">
        <f ca="1">$L$5</f>
        <v>#NAME?</v>
      </c>
      <c r="M17" s="7" t="e">
        <f ca="1">$M7</f>
        <v>#NAME?</v>
      </c>
      <c r="N17" s="43"/>
      <c r="O17" s="183">
        <f t="shared" ca="1" si="1"/>
        <v>1296</v>
      </c>
      <c r="P17" s="7" t="e">
        <f t="shared" ca="1" si="2"/>
        <v>#NAME?</v>
      </c>
      <c r="Q17" s="43" t="e">
        <f t="array" aca="1" ref="Q17" ca="1">IF(O17&lt;2,"",VAR(IF($G$3:$G$38=$L17,IF($H$3:$H$38=$M17,$J$3:$J$38,""))))</f>
        <v>#NAME?</v>
      </c>
    </row>
    <row r="18" spans="7:17" x14ac:dyDescent="0.25">
      <c r="G18" s="182" t="e">
        <f ca="1"/>
        <v>#NAME?</v>
      </c>
      <c r="H18" s="613" t="e">
        <f ca="1"/>
        <v>#NAME?</v>
      </c>
      <c r="I18" s="613" t="e">
        <f ca="1"/>
        <v>#NAME?</v>
      </c>
      <c r="J18" s="43" t="e">
        <f ca="1"/>
        <v>#NAME?</v>
      </c>
      <c r="L18" s="183" t="e">
        <f ca="1">$L$5</f>
        <v>#NAME?</v>
      </c>
      <c r="M18" s="7" t="e">
        <f ca="1">$M8</f>
        <v>#NAME?</v>
      </c>
      <c r="N18" s="43"/>
      <c r="O18" s="183">
        <f t="shared" ca="1" si="1"/>
        <v>1296</v>
      </c>
      <c r="P18" s="7" t="e">
        <f t="shared" ca="1" si="2"/>
        <v>#NAME?</v>
      </c>
      <c r="Q18" s="43" t="e">
        <f t="array" aca="1" ref="Q18" ca="1">IF(O18&lt;2,"",VAR(IF($G$3:$G$38=$L18,IF($H$3:$H$38=$M18,$J$3:$J$38,""))))</f>
        <v>#NAME?</v>
      </c>
    </row>
    <row r="19" spans="7:17" x14ac:dyDescent="0.25">
      <c r="G19" s="182" t="e">
        <f ca="1"/>
        <v>#NAME?</v>
      </c>
      <c r="H19" s="613" t="e">
        <f ca="1"/>
        <v>#NAME?</v>
      </c>
      <c r="I19" s="613" t="e">
        <f ca="1"/>
        <v>#NAME?</v>
      </c>
      <c r="J19" s="43" t="e">
        <f ca="1"/>
        <v>#NAME?</v>
      </c>
      <c r="L19" s="183" t="e">
        <f ca="1">$L$5</f>
        <v>#NAME?</v>
      </c>
      <c r="M19" s="7" t="e">
        <f ca="1">$M9</f>
        <v>#NAME?</v>
      </c>
      <c r="N19" s="43"/>
      <c r="O19" s="183">
        <f t="shared" ca="1" si="1"/>
        <v>1296</v>
      </c>
      <c r="P19" s="7" t="e">
        <f t="shared" ca="1" si="2"/>
        <v>#NAME?</v>
      </c>
      <c r="Q19" s="43" t="e">
        <f t="array" aca="1" ref="Q19" ca="1">IF(O19&lt;2,"",VAR(IF($G$3:$G$38=$L19,IF($H$3:$H$38=$M19,$J$3:$J$38,""))))</f>
        <v>#NAME?</v>
      </c>
    </row>
    <row r="20" spans="7:17" x14ac:dyDescent="0.25">
      <c r="G20" s="182" t="e">
        <f ca="1"/>
        <v>#NAME?</v>
      </c>
      <c r="H20" s="613" t="e">
        <f ca="1"/>
        <v>#NAME?</v>
      </c>
      <c r="I20" s="613" t="e">
        <f ca="1"/>
        <v>#NAME?</v>
      </c>
      <c r="J20" s="43" t="e">
        <f ca="1"/>
        <v>#NAME?</v>
      </c>
      <c r="L20" s="183" t="e">
        <f ca="1">$L$6</f>
        <v>#NAME?</v>
      </c>
      <c r="M20" s="7" t="e">
        <f ca="1">$M7</f>
        <v>#NAME?</v>
      </c>
      <c r="N20" s="43"/>
      <c r="O20" s="183">
        <f t="shared" ca="1" si="1"/>
        <v>1296</v>
      </c>
      <c r="P20" s="7" t="e">
        <f t="shared" ca="1" si="2"/>
        <v>#NAME?</v>
      </c>
      <c r="Q20" s="43" t="e">
        <f t="array" aca="1" ref="Q20" ca="1">IF(O20&lt;2,"",VAR(IF($G$3:$G$38=$L20,IF($H$3:$H$38=$M20,$J$3:$J$38,""))))</f>
        <v>#NAME?</v>
      </c>
    </row>
    <row r="21" spans="7:17" x14ac:dyDescent="0.25">
      <c r="G21" s="182" t="e">
        <f ca="1"/>
        <v>#NAME?</v>
      </c>
      <c r="H21" s="613" t="e">
        <f ca="1"/>
        <v>#NAME?</v>
      </c>
      <c r="I21" s="613" t="e">
        <f ca="1"/>
        <v>#NAME?</v>
      </c>
      <c r="J21" s="43" t="e">
        <f ca="1"/>
        <v>#NAME?</v>
      </c>
      <c r="L21" s="183" t="e">
        <f ca="1">$L$6</f>
        <v>#NAME?</v>
      </c>
      <c r="M21" s="7" t="e">
        <f ca="1">$M8</f>
        <v>#NAME?</v>
      </c>
      <c r="N21" s="43"/>
      <c r="O21" s="183">
        <f t="shared" ca="1" si="1"/>
        <v>1296</v>
      </c>
      <c r="P21" s="7" t="e">
        <f t="shared" ca="1" si="2"/>
        <v>#NAME?</v>
      </c>
      <c r="Q21" s="43" t="e">
        <f t="array" aca="1" ref="Q21" ca="1">IF(O21&lt;2,"",VAR(IF($G$3:$G$38=$L21,IF($H$3:$H$38=$M21,$J$3:$J$38,""))))</f>
        <v>#NAME?</v>
      </c>
    </row>
    <row r="22" spans="7:17" x14ac:dyDescent="0.25">
      <c r="G22" s="182" t="e">
        <f ca="1"/>
        <v>#NAME?</v>
      </c>
      <c r="H22" s="613" t="e">
        <f ca="1"/>
        <v>#NAME?</v>
      </c>
      <c r="I22" s="613" t="e">
        <f ca="1"/>
        <v>#NAME?</v>
      </c>
      <c r="J22" s="43" t="e">
        <f ca="1"/>
        <v>#NAME?</v>
      </c>
      <c r="L22" s="351" t="e">
        <f ca="1">$L$6</f>
        <v>#NAME?</v>
      </c>
      <c r="M22" s="352" t="e">
        <f ca="1">$M9</f>
        <v>#NAME?</v>
      </c>
      <c r="N22" s="353"/>
      <c r="O22" s="351">
        <f t="shared" ca="1" si="1"/>
        <v>1296</v>
      </c>
      <c r="P22" s="352" t="e">
        <f t="shared" ca="1" si="2"/>
        <v>#NAME?</v>
      </c>
      <c r="Q22" s="353" t="e">
        <f t="array" aca="1" ref="Q22" ca="1">IF(O22&lt;2,"",VAR(IF($G$3:$G$38=$L22,IF($H$3:$H$38=$M22,$J$3:$J$38,""))))</f>
        <v>#NAME?</v>
      </c>
    </row>
    <row r="23" spans="7:17" x14ac:dyDescent="0.25">
      <c r="G23" s="182" t="e">
        <f ca="1"/>
        <v>#NAME?</v>
      </c>
      <c r="H23" s="613" t="e">
        <f ca="1"/>
        <v>#NAME?</v>
      </c>
      <c r="I23" s="613" t="e">
        <f ca="1"/>
        <v>#NAME?</v>
      </c>
      <c r="J23" s="43" t="e">
        <f ca="1"/>
        <v>#NAME?</v>
      </c>
      <c r="L23" s="550" t="e">
        <f ca="1">$L$4</f>
        <v>#NAME?</v>
      </c>
      <c r="M23" s="556"/>
      <c r="N23" s="557" t="e">
        <f ca="1">$N10</f>
        <v>#NAME?</v>
      </c>
      <c r="O23" s="550">
        <f ca="1">SUMIFS($O$47:$O$82,$L$47:$L$82,L23,$N$47:$N$82,N23)</f>
        <v>1296</v>
      </c>
      <c r="P23" s="556" t="e">
        <f ca="1">IF(O23=0,"",AVERAGEIFS($J$3:$J$38,$G$3:$G$38,$L23,$I$3:$I$38,$N23))</f>
        <v>#NAME?</v>
      </c>
      <c r="Q23" s="557" t="e">
        <f t="array" aca="1" ref="Q23" ca="1">IF(O23&lt;2,"",VAR(IF($G$3:$G$38=$L23,IF($I$3:$I$38=$N23,$J$3:$J$38,""))))</f>
        <v>#NAME?</v>
      </c>
    </row>
    <row r="24" spans="7:17" x14ac:dyDescent="0.25">
      <c r="G24" s="182" t="e">
        <f ca="1"/>
        <v>#NAME?</v>
      </c>
      <c r="H24" s="613" t="e">
        <f ca="1"/>
        <v>#NAME?</v>
      </c>
      <c r="I24" s="613" t="e">
        <f ca="1"/>
        <v>#NAME?</v>
      </c>
      <c r="J24" s="43" t="e">
        <f ca="1"/>
        <v>#NAME?</v>
      </c>
      <c r="L24" s="183" t="e">
        <f ca="1">$L$4</f>
        <v>#NAME?</v>
      </c>
      <c r="M24" s="7"/>
      <c r="N24" s="43" t="e">
        <f ca="1">$N11</f>
        <v>#NAME?</v>
      </c>
      <c r="O24" s="183">
        <f t="shared" ref="O24:O34" ca="1" si="3">SUMIFS($O$47:$O$82,$L$47:$L$82,L24,$N$47:$N$82,N24)</f>
        <v>1296</v>
      </c>
      <c r="P24" s="7" t="e">
        <f t="shared" ref="P24:P34" ca="1" si="4">IF(O24=0,"",AVERAGEIFS($J$3:$J$38,$G$3:$G$38,$L24,$I$3:$I$38,$N24))</f>
        <v>#NAME?</v>
      </c>
      <c r="Q24" s="43" t="e">
        <f t="array" aca="1" ref="Q24" ca="1">IF(O24&lt;2,"",VAR(IF($G$3:$G$38=$L24,IF($I$3:$I$38=$N24,$J$3:$J$38,""))))</f>
        <v>#NAME?</v>
      </c>
    </row>
    <row r="25" spans="7:17" x14ac:dyDescent="0.25">
      <c r="G25" s="182" t="e">
        <f ca="1"/>
        <v>#NAME?</v>
      </c>
      <c r="H25" s="613" t="e">
        <f ca="1"/>
        <v>#NAME?</v>
      </c>
      <c r="I25" s="613" t="e">
        <f ca="1"/>
        <v>#NAME?</v>
      </c>
      <c r="J25" s="43" t="e">
        <f ca="1"/>
        <v>#NAME?</v>
      </c>
      <c r="L25" s="183" t="e">
        <f ca="1">$L$4</f>
        <v>#NAME?</v>
      </c>
      <c r="M25" s="7"/>
      <c r="N25" s="43" t="e">
        <f ca="1">$N12</f>
        <v>#NAME?</v>
      </c>
      <c r="O25" s="183">
        <f t="shared" ca="1" si="3"/>
        <v>1296</v>
      </c>
      <c r="P25" s="7" t="e">
        <f t="shared" ca="1" si="4"/>
        <v>#NAME?</v>
      </c>
      <c r="Q25" s="43" t="e">
        <f t="array" aca="1" ref="Q25" ca="1">IF(O25&lt;2,"",VAR(IF($G$3:$G$38=$L25,IF($I$3:$I$38=$N25,$J$3:$J$38,""))))</f>
        <v>#NAME?</v>
      </c>
    </row>
    <row r="26" spans="7:17" x14ac:dyDescent="0.25">
      <c r="G26" s="182" t="e">
        <f ca="1"/>
        <v>#NAME?</v>
      </c>
      <c r="H26" s="613" t="e">
        <f ca="1"/>
        <v>#NAME?</v>
      </c>
      <c r="I26" s="613" t="e">
        <f ca="1"/>
        <v>#NAME?</v>
      </c>
      <c r="J26" s="43" t="e">
        <f ca="1"/>
        <v>#NAME?</v>
      </c>
      <c r="L26" s="183" t="e">
        <f ca="1">$L$4</f>
        <v>#NAME?</v>
      </c>
      <c r="M26" s="7"/>
      <c r="N26" s="43" t="e">
        <f ca="1">$N13</f>
        <v>#NAME?</v>
      </c>
      <c r="O26" s="183">
        <f t="shared" ca="1" si="3"/>
        <v>1296</v>
      </c>
      <c r="P26" s="7" t="e">
        <f t="shared" ca="1" si="4"/>
        <v>#NAME?</v>
      </c>
      <c r="Q26" s="43" t="e">
        <f t="array" aca="1" ref="Q26" ca="1">IF(O26&lt;2,"",VAR(IF($G$3:$G$38=$L26,IF($I$3:$I$38=$N26,$J$3:$J$38,""))))</f>
        <v>#NAME?</v>
      </c>
    </row>
    <row r="27" spans="7:17" x14ac:dyDescent="0.25">
      <c r="G27" s="182" t="e">
        <f ca="1"/>
        <v>#NAME?</v>
      </c>
      <c r="H27" s="613" t="e">
        <f ca="1"/>
        <v>#NAME?</v>
      </c>
      <c r="I27" s="613" t="e">
        <f ca="1"/>
        <v>#NAME?</v>
      </c>
      <c r="J27" s="43" t="e">
        <f ca="1"/>
        <v>#NAME?</v>
      </c>
      <c r="L27" s="183" t="e">
        <f ca="1">$L$5</f>
        <v>#NAME?</v>
      </c>
      <c r="M27" s="7"/>
      <c r="N27" s="43" t="e">
        <f ca="1">$N10</f>
        <v>#NAME?</v>
      </c>
      <c r="O27" s="183">
        <f t="shared" ca="1" si="3"/>
        <v>1296</v>
      </c>
      <c r="P27" s="7" t="e">
        <f t="shared" ca="1" si="4"/>
        <v>#NAME?</v>
      </c>
      <c r="Q27" s="43" t="e">
        <f t="array" aca="1" ref="Q27" ca="1">IF(O27&lt;2,"",VAR(IF($G$3:$G$38=$L27,IF($I$3:$I$38=$N27,$J$3:$J$38,""))))</f>
        <v>#NAME?</v>
      </c>
    </row>
    <row r="28" spans="7:17" x14ac:dyDescent="0.25">
      <c r="G28" s="182" t="e">
        <f ca="1"/>
        <v>#NAME?</v>
      </c>
      <c r="H28" s="613" t="e">
        <f ca="1"/>
        <v>#NAME?</v>
      </c>
      <c r="I28" s="613" t="e">
        <f ca="1"/>
        <v>#NAME?</v>
      </c>
      <c r="J28" s="43" t="e">
        <f ca="1"/>
        <v>#NAME?</v>
      </c>
      <c r="L28" s="183" t="e">
        <f ca="1">$L$5</f>
        <v>#NAME?</v>
      </c>
      <c r="M28" s="7"/>
      <c r="N28" s="43" t="e">
        <f ca="1">$N11</f>
        <v>#NAME?</v>
      </c>
      <c r="O28" s="183">
        <f t="shared" ca="1" si="3"/>
        <v>1296</v>
      </c>
      <c r="P28" s="7" t="e">
        <f t="shared" ca="1" si="4"/>
        <v>#NAME?</v>
      </c>
      <c r="Q28" s="43" t="e">
        <f t="array" aca="1" ref="Q28" ca="1">IF(O28&lt;2,"",VAR(IF($G$3:$G$38=$L28,IF($I$3:$I$38=$N28,$J$3:$J$38,""))))</f>
        <v>#NAME?</v>
      </c>
    </row>
    <row r="29" spans="7:17" x14ac:dyDescent="0.25">
      <c r="G29" s="182" t="e">
        <f ca="1"/>
        <v>#NAME?</v>
      </c>
      <c r="H29" s="613" t="e">
        <f ca="1"/>
        <v>#NAME?</v>
      </c>
      <c r="I29" s="613" t="e">
        <f ca="1"/>
        <v>#NAME?</v>
      </c>
      <c r="J29" s="43" t="e">
        <f ca="1"/>
        <v>#NAME?</v>
      </c>
      <c r="L29" s="183" t="e">
        <f ca="1">$L$5</f>
        <v>#NAME?</v>
      </c>
      <c r="M29" s="7"/>
      <c r="N29" s="43" t="e">
        <f ca="1">$N12</f>
        <v>#NAME?</v>
      </c>
      <c r="O29" s="183">
        <f t="shared" ca="1" si="3"/>
        <v>1296</v>
      </c>
      <c r="P29" s="7" t="e">
        <f t="shared" ca="1" si="4"/>
        <v>#NAME?</v>
      </c>
      <c r="Q29" s="43" t="e">
        <f t="array" aca="1" ref="Q29" ca="1">IF(O29&lt;2,"",VAR(IF($G$3:$G$38=$L29,IF($I$3:$I$38=$N29,$J$3:$J$38,""))))</f>
        <v>#NAME?</v>
      </c>
    </row>
    <row r="30" spans="7:17" x14ac:dyDescent="0.25">
      <c r="G30" s="182" t="e">
        <f ca="1"/>
        <v>#NAME?</v>
      </c>
      <c r="H30" s="613" t="e">
        <f ca="1"/>
        <v>#NAME?</v>
      </c>
      <c r="I30" s="613" t="e">
        <f ca="1"/>
        <v>#NAME?</v>
      </c>
      <c r="J30" s="43" t="e">
        <f ca="1"/>
        <v>#NAME?</v>
      </c>
      <c r="L30" s="183" t="e">
        <f ca="1">$L$5</f>
        <v>#NAME?</v>
      </c>
      <c r="M30" s="7"/>
      <c r="N30" s="43" t="e">
        <f ca="1">$N13</f>
        <v>#NAME?</v>
      </c>
      <c r="O30" s="183">
        <f t="shared" ca="1" si="3"/>
        <v>1296</v>
      </c>
      <c r="P30" s="7" t="e">
        <f t="shared" ca="1" si="4"/>
        <v>#NAME?</v>
      </c>
      <c r="Q30" s="43" t="e">
        <f t="array" aca="1" ref="Q30" ca="1">IF(O30&lt;2,"",VAR(IF($G$3:$G$38=$L30,IF($I$3:$I$38=$N30,$J$3:$J$38,""))))</f>
        <v>#NAME?</v>
      </c>
    </row>
    <row r="31" spans="7:17" x14ac:dyDescent="0.25">
      <c r="G31" s="182" t="e">
        <f ca="1"/>
        <v>#NAME?</v>
      </c>
      <c r="H31" s="613" t="e">
        <f ca="1"/>
        <v>#NAME?</v>
      </c>
      <c r="I31" s="613" t="e">
        <f ca="1"/>
        <v>#NAME?</v>
      </c>
      <c r="J31" s="43" t="e">
        <f ca="1"/>
        <v>#NAME?</v>
      </c>
      <c r="L31" s="183" t="e">
        <f ca="1">$L$6</f>
        <v>#NAME?</v>
      </c>
      <c r="M31" s="7"/>
      <c r="N31" s="43" t="e">
        <f ca="1">$N10</f>
        <v>#NAME?</v>
      </c>
      <c r="O31" s="183">
        <f t="shared" ca="1" si="3"/>
        <v>1296</v>
      </c>
      <c r="P31" s="7" t="e">
        <f t="shared" ca="1" si="4"/>
        <v>#NAME?</v>
      </c>
      <c r="Q31" s="43" t="e">
        <f t="array" aca="1" ref="Q31" ca="1">IF(O31&lt;2,"",VAR(IF($G$3:$G$38=$L31,IF($I$3:$I$38=$N31,$J$3:$J$38,""))))</f>
        <v>#NAME?</v>
      </c>
    </row>
    <row r="32" spans="7:17" x14ac:dyDescent="0.25">
      <c r="G32" s="182" t="e">
        <f ca="1"/>
        <v>#NAME?</v>
      </c>
      <c r="H32" s="613" t="e">
        <f ca="1"/>
        <v>#NAME?</v>
      </c>
      <c r="I32" s="613" t="e">
        <f ca="1"/>
        <v>#NAME?</v>
      </c>
      <c r="J32" s="43" t="e">
        <f ca="1"/>
        <v>#NAME?</v>
      </c>
      <c r="L32" s="183" t="e">
        <f ca="1">$L$6</f>
        <v>#NAME?</v>
      </c>
      <c r="M32" s="7"/>
      <c r="N32" s="43" t="e">
        <f ca="1">$N11</f>
        <v>#NAME?</v>
      </c>
      <c r="O32" s="183">
        <f t="shared" ca="1" si="3"/>
        <v>1296</v>
      </c>
      <c r="P32" s="7" t="e">
        <f t="shared" ca="1" si="4"/>
        <v>#NAME?</v>
      </c>
      <c r="Q32" s="43" t="e">
        <f t="array" aca="1" ref="Q32" ca="1">IF(O32&lt;2,"",VAR(IF($G$3:$G$38=$L32,IF($I$3:$I$38=$N32,$J$3:$J$38,""))))</f>
        <v>#NAME?</v>
      </c>
    </row>
    <row r="33" spans="7:17" x14ac:dyDescent="0.25">
      <c r="G33" s="182" t="e">
        <f ca="1"/>
        <v>#NAME?</v>
      </c>
      <c r="H33" s="613" t="e">
        <f ca="1"/>
        <v>#NAME?</v>
      </c>
      <c r="I33" s="613" t="e">
        <f ca="1"/>
        <v>#NAME?</v>
      </c>
      <c r="J33" s="43" t="e">
        <f ca="1"/>
        <v>#NAME?</v>
      </c>
      <c r="L33" s="183" t="e">
        <f ca="1">$L$6</f>
        <v>#NAME?</v>
      </c>
      <c r="M33" s="7"/>
      <c r="N33" s="43" t="e">
        <f ca="1">$N12</f>
        <v>#NAME?</v>
      </c>
      <c r="O33" s="183">
        <f t="shared" ca="1" si="3"/>
        <v>1296</v>
      </c>
      <c r="P33" s="7" t="e">
        <f t="shared" ca="1" si="4"/>
        <v>#NAME?</v>
      </c>
      <c r="Q33" s="43" t="e">
        <f t="array" aca="1" ref="Q33" ca="1">IF(O33&lt;2,"",VAR(IF($G$3:$G$38=$L33,IF($I$3:$I$38=$N33,$J$3:$J$38,""))))</f>
        <v>#NAME?</v>
      </c>
    </row>
    <row r="34" spans="7:17" x14ac:dyDescent="0.25">
      <c r="G34" s="182" t="e">
        <f ca="1"/>
        <v>#NAME?</v>
      </c>
      <c r="H34" s="613" t="e">
        <f ca="1"/>
        <v>#NAME?</v>
      </c>
      <c r="I34" s="613" t="e">
        <f ca="1"/>
        <v>#NAME?</v>
      </c>
      <c r="J34" s="43" t="e">
        <f ca="1"/>
        <v>#NAME?</v>
      </c>
      <c r="L34" s="351" t="e">
        <f ca="1">$L$6</f>
        <v>#NAME?</v>
      </c>
      <c r="M34" s="352"/>
      <c r="N34" s="353" t="e">
        <f ca="1">$N13</f>
        <v>#NAME?</v>
      </c>
      <c r="O34" s="351">
        <f t="shared" ca="1" si="3"/>
        <v>1296</v>
      </c>
      <c r="P34" s="352" t="e">
        <f t="shared" ca="1" si="4"/>
        <v>#NAME?</v>
      </c>
      <c r="Q34" s="353" t="e">
        <f t="array" aca="1" ref="Q34" ca="1">IF(O34&lt;2,"",VAR(IF($G$3:$G$38=$L34,IF($I$3:$I$38=$N34,$J$3:$J$38,""))))</f>
        <v>#NAME?</v>
      </c>
    </row>
    <row r="35" spans="7:17" x14ac:dyDescent="0.25">
      <c r="G35" s="182" t="e">
        <f ca="1"/>
        <v>#NAME?</v>
      </c>
      <c r="H35" s="613" t="e">
        <f ca="1"/>
        <v>#NAME?</v>
      </c>
      <c r="I35" s="613" t="e">
        <f ca="1"/>
        <v>#NAME?</v>
      </c>
      <c r="J35" s="43" t="e">
        <f ca="1"/>
        <v>#NAME?</v>
      </c>
      <c r="L35" s="550"/>
      <c r="M35" s="556" t="e">
        <f ca="1">$M$7</f>
        <v>#NAME?</v>
      </c>
      <c r="N35" s="557" t="e">
        <f ca="1">$N10</f>
        <v>#NAME?</v>
      </c>
      <c r="O35" s="550">
        <f ca="1">SUMIFS($O$47:$O$82,$M$47:$M$82,M35,$N$47:$N$82,N35)</f>
        <v>1296</v>
      </c>
      <c r="P35" s="556" t="e">
        <f ca="1">IF(O35=0,"",AVERAGEIFS($J$3:$J$38,$H$3:$H$38,$M35,$I$3:$I$38,$N35))</f>
        <v>#NAME?</v>
      </c>
      <c r="Q35" s="557" t="e">
        <f t="array" aca="1" ref="Q35" ca="1">IF(O35&lt;2,"",VAR(IF($H$3:$H$38=$M35,IF($I$3:$I$38=$N35,$J$3:$J$38,""))))</f>
        <v>#NAME?</v>
      </c>
    </row>
    <row r="36" spans="7:17" x14ac:dyDescent="0.25">
      <c r="G36" s="182" t="e">
        <f ca="1"/>
        <v>#NAME?</v>
      </c>
      <c r="H36" s="613" t="e">
        <f ca="1"/>
        <v>#NAME?</v>
      </c>
      <c r="I36" s="613" t="e">
        <f ca="1"/>
        <v>#NAME?</v>
      </c>
      <c r="J36" s="43" t="e">
        <f ca="1"/>
        <v>#NAME?</v>
      </c>
      <c r="L36" s="183"/>
      <c r="M36" s="7" t="e">
        <f ca="1">$M$7</f>
        <v>#NAME?</v>
      </c>
      <c r="N36" s="43" t="e">
        <f ca="1">$N11</f>
        <v>#NAME?</v>
      </c>
      <c r="O36" s="183">
        <f t="shared" ref="O36:O46" ca="1" si="5">SUMIFS($O$47:$O$82,$M$47:$M$82,M36,$N$47:$N$82,N36)</f>
        <v>1296</v>
      </c>
      <c r="P36" s="7" t="e">
        <f t="shared" ref="P36:P46" ca="1" si="6">IF(O36=0,"",AVERAGEIFS($J$3:$J$38,$H$3:$H$38,$M36,$I$3:$I$38,$N36))</f>
        <v>#NAME?</v>
      </c>
      <c r="Q36" s="43" t="e">
        <f t="array" aca="1" ref="Q36" ca="1">IF(O36&lt;2,"",VAR(IF($H$3:$H$38=$M36,IF($I$3:$I$38=$N36,$J$3:$J$38,""))))</f>
        <v>#NAME?</v>
      </c>
    </row>
    <row r="37" spans="7:17" x14ac:dyDescent="0.25">
      <c r="G37" s="182" t="e">
        <f ca="1"/>
        <v>#NAME?</v>
      </c>
      <c r="H37" s="613" t="e">
        <f ca="1"/>
        <v>#NAME?</v>
      </c>
      <c r="I37" s="613" t="e">
        <f ca="1"/>
        <v>#NAME?</v>
      </c>
      <c r="J37" s="43" t="e">
        <f ca="1"/>
        <v>#NAME?</v>
      </c>
      <c r="L37" s="183"/>
      <c r="M37" s="7" t="e">
        <f ca="1">$M$7</f>
        <v>#NAME?</v>
      </c>
      <c r="N37" s="43" t="e">
        <f ca="1">$N12</f>
        <v>#NAME?</v>
      </c>
      <c r="O37" s="183">
        <f t="shared" ca="1" si="5"/>
        <v>1296</v>
      </c>
      <c r="P37" s="7" t="e">
        <f t="shared" ca="1" si="6"/>
        <v>#NAME?</v>
      </c>
      <c r="Q37" s="43" t="e">
        <f t="array" aca="1" ref="Q37" ca="1">IF(O37&lt;2,"",VAR(IF($H$3:$H$38=$M37,IF($I$3:$I$38=$N37,$J$3:$J$38,""))))</f>
        <v>#NAME?</v>
      </c>
    </row>
    <row r="38" spans="7:17" x14ac:dyDescent="0.25">
      <c r="G38" s="377" t="e">
        <f ca="1"/>
        <v>#NAME?</v>
      </c>
      <c r="H38" s="440" t="e">
        <f ca="1"/>
        <v>#NAME?</v>
      </c>
      <c r="I38" s="440" t="e">
        <f ca="1"/>
        <v>#NAME?</v>
      </c>
      <c r="J38" s="353" t="e">
        <f ca="1"/>
        <v>#NAME?</v>
      </c>
      <c r="L38" s="183"/>
      <c r="M38" s="7" t="e">
        <f ca="1">$M$7</f>
        <v>#NAME?</v>
      </c>
      <c r="N38" s="43" t="e">
        <f ca="1">$N13</f>
        <v>#NAME?</v>
      </c>
      <c r="O38" s="183">
        <f t="shared" ca="1" si="5"/>
        <v>1296</v>
      </c>
      <c r="P38" s="7" t="e">
        <f t="shared" ca="1" si="6"/>
        <v>#NAME?</v>
      </c>
      <c r="Q38" s="43" t="e">
        <f t="array" aca="1" ref="Q38" ca="1">IF(O38&lt;2,"",VAR(IF($H$3:$H$38=$M38,IF($I$3:$I$38=$N38,$J$3:$J$38,""))))</f>
        <v>#NAME?</v>
      </c>
    </row>
    <row r="39" spans="7:17" x14ac:dyDescent="0.25">
      <c r="L39" s="183"/>
      <c r="M39" s="7" t="e">
        <f ca="1">$M$8</f>
        <v>#NAME?</v>
      </c>
      <c r="N39" s="43" t="e">
        <f ca="1">$N10</f>
        <v>#NAME?</v>
      </c>
      <c r="O39" s="183">
        <f t="shared" ca="1" si="5"/>
        <v>1296</v>
      </c>
      <c r="P39" s="7" t="e">
        <f t="shared" ca="1" si="6"/>
        <v>#NAME?</v>
      </c>
      <c r="Q39" s="43" t="e">
        <f t="array" aca="1" ref="Q39" ca="1">IF(O39&lt;2,"",VAR(IF($H$3:$H$38=$M39,IF($I$3:$I$38=$N39,$J$3:$J$38,""))))</f>
        <v>#NAME?</v>
      </c>
    </row>
    <row r="40" spans="7:17" x14ac:dyDescent="0.25">
      <c r="L40" s="183"/>
      <c r="M40" s="7" t="e">
        <f ca="1">$M$8</f>
        <v>#NAME?</v>
      </c>
      <c r="N40" s="43" t="e">
        <f ca="1">$N11</f>
        <v>#NAME?</v>
      </c>
      <c r="O40" s="183">
        <f t="shared" ca="1" si="5"/>
        <v>1296</v>
      </c>
      <c r="P40" s="7" t="e">
        <f t="shared" ca="1" si="6"/>
        <v>#NAME?</v>
      </c>
      <c r="Q40" s="43" t="e">
        <f t="array" aca="1" ref="Q40" ca="1">IF(O40&lt;2,"",VAR(IF($H$3:$H$38=$M40,IF($I$3:$I$38=$N40,$J$3:$J$38,""))))</f>
        <v>#NAME?</v>
      </c>
    </row>
    <row r="41" spans="7:17" x14ac:dyDescent="0.25">
      <c r="L41" s="183"/>
      <c r="M41" s="7" t="e">
        <f ca="1">$M$8</f>
        <v>#NAME?</v>
      </c>
      <c r="N41" s="43" t="e">
        <f ca="1">$N12</f>
        <v>#NAME?</v>
      </c>
      <c r="O41" s="183">
        <f t="shared" ca="1" si="5"/>
        <v>1296</v>
      </c>
      <c r="P41" s="7" t="e">
        <f t="shared" ca="1" si="6"/>
        <v>#NAME?</v>
      </c>
      <c r="Q41" s="43" t="e">
        <f t="array" aca="1" ref="Q41" ca="1">IF(O41&lt;2,"",VAR(IF($H$3:$H$38=$M41,IF($I$3:$I$38=$N41,$J$3:$J$38,""))))</f>
        <v>#NAME?</v>
      </c>
    </row>
    <row r="42" spans="7:17" x14ac:dyDescent="0.25">
      <c r="L42" s="183"/>
      <c r="M42" s="7" t="e">
        <f ca="1">$M$8</f>
        <v>#NAME?</v>
      </c>
      <c r="N42" s="43" t="e">
        <f ca="1">$N13</f>
        <v>#NAME?</v>
      </c>
      <c r="O42" s="183">
        <f t="shared" ca="1" si="5"/>
        <v>1296</v>
      </c>
      <c r="P42" s="7" t="e">
        <f t="shared" ca="1" si="6"/>
        <v>#NAME?</v>
      </c>
      <c r="Q42" s="43" t="e">
        <f t="array" aca="1" ref="Q42" ca="1">IF(O42&lt;2,"",VAR(IF($H$3:$H$38=$M42,IF($I$3:$I$38=$N42,$J$3:$J$38,""))))</f>
        <v>#NAME?</v>
      </c>
    </row>
    <row r="43" spans="7:17" x14ac:dyDescent="0.25">
      <c r="L43" s="183"/>
      <c r="M43" s="7" t="e">
        <f ca="1">$M$9</f>
        <v>#NAME?</v>
      </c>
      <c r="N43" s="43" t="e">
        <f ca="1">$N10</f>
        <v>#NAME?</v>
      </c>
      <c r="O43" s="183">
        <f t="shared" ca="1" si="5"/>
        <v>1296</v>
      </c>
      <c r="P43" s="7" t="e">
        <f t="shared" ca="1" si="6"/>
        <v>#NAME?</v>
      </c>
      <c r="Q43" s="43" t="e">
        <f t="array" aca="1" ref="Q43" ca="1">IF(O43&lt;2,"",VAR(IF($H$3:$H$38=$M43,IF($I$3:$I$38=$N43,$J$3:$J$38,""))))</f>
        <v>#NAME?</v>
      </c>
    </row>
    <row r="44" spans="7:17" x14ac:dyDescent="0.25">
      <c r="L44" s="183"/>
      <c r="M44" s="7" t="e">
        <f ca="1">$M$9</f>
        <v>#NAME?</v>
      </c>
      <c r="N44" s="43" t="e">
        <f ca="1">$N11</f>
        <v>#NAME?</v>
      </c>
      <c r="O44" s="183">
        <f t="shared" ca="1" si="5"/>
        <v>1296</v>
      </c>
      <c r="P44" s="7" t="e">
        <f t="shared" ca="1" si="6"/>
        <v>#NAME?</v>
      </c>
      <c r="Q44" s="43" t="e">
        <f t="array" aca="1" ref="Q44" ca="1">IF(O44&lt;2,"",VAR(IF($H$3:$H$38=$M44,IF($I$3:$I$38=$N44,$J$3:$J$38,""))))</f>
        <v>#NAME?</v>
      </c>
    </row>
    <row r="45" spans="7:17" x14ac:dyDescent="0.25">
      <c r="L45" s="183"/>
      <c r="M45" s="7" t="e">
        <f ca="1">$M$9</f>
        <v>#NAME?</v>
      </c>
      <c r="N45" s="43" t="e">
        <f ca="1">$N12</f>
        <v>#NAME?</v>
      </c>
      <c r="O45" s="183">
        <f t="shared" ca="1" si="5"/>
        <v>1296</v>
      </c>
      <c r="P45" s="7" t="e">
        <f t="shared" ca="1" si="6"/>
        <v>#NAME?</v>
      </c>
      <c r="Q45" s="43" t="e">
        <f t="array" aca="1" ref="Q45" ca="1">IF(O45&lt;2,"",VAR(IF($H$3:$H$38=$M45,IF($I$3:$I$38=$N45,$J$3:$J$38,""))))</f>
        <v>#NAME?</v>
      </c>
    </row>
    <row r="46" spans="7:17" x14ac:dyDescent="0.25">
      <c r="L46" s="351"/>
      <c r="M46" s="352" t="e">
        <f ca="1">$M$9</f>
        <v>#NAME?</v>
      </c>
      <c r="N46" s="353" t="e">
        <f ca="1">$N13</f>
        <v>#NAME?</v>
      </c>
      <c r="O46" s="351">
        <f t="shared" ca="1" si="5"/>
        <v>1296</v>
      </c>
      <c r="P46" s="352" t="e">
        <f t="shared" ca="1" si="6"/>
        <v>#NAME?</v>
      </c>
      <c r="Q46" s="353" t="e">
        <f t="array" aca="1" ref="Q46" ca="1">IF(O46&lt;2,"",VAR(IF($H$3:$H$38=$M46,IF($I$3:$I$38=$N46,$J$3:$J$38,""))))</f>
        <v>#NAME?</v>
      </c>
    </row>
    <row r="47" spans="7:17" x14ac:dyDescent="0.25">
      <c r="L47" s="550" t="e">
        <f ca="1">$L$4</f>
        <v>#NAME?</v>
      </c>
      <c r="M47" s="556" t="e">
        <f t="shared" ref="M47:N66" ca="1" si="7">M35</f>
        <v>#NAME?</v>
      </c>
      <c r="N47" s="557" t="e">
        <f t="shared" ca="1" si="7"/>
        <v>#NAME?</v>
      </c>
      <c r="O47" s="550">
        <f ca="1">COUNTIFS($G$3:$G$38,$L47,$H$3:$H$38,$M47,$I$3:$I$38,$N47)</f>
        <v>36</v>
      </c>
      <c r="P47" s="556" t="e">
        <f ca="1">IF(O47=0,"",AVERAGEIFS($J$3:$J$38,$G$3:$G$38,$L47,$H$3:$H$38,$M47,$I$3:$I$38,$N47))</f>
        <v>#NAME?</v>
      </c>
      <c r="Q47" s="557" t="e">
        <f t="array" aca="1" ref="Q47" ca="1">IF(O47&lt;2,"",VAR(IF($G$3:$G$38=$L47,IF($H$3:$H$38=$M47,IF($I$3:$I$38=$N47,$J$3:$J$38,"")))))</f>
        <v>#NAME?</v>
      </c>
    </row>
    <row r="48" spans="7:17" x14ac:dyDescent="0.25">
      <c r="L48" s="183" t="e">
        <f t="shared" ref="L48:L58" ca="1" si="8">$L$4</f>
        <v>#NAME?</v>
      </c>
      <c r="M48" s="7" t="e">
        <f t="shared" ca="1" si="7"/>
        <v>#NAME?</v>
      </c>
      <c r="N48" s="43" t="e">
        <f t="shared" ca="1" si="7"/>
        <v>#NAME?</v>
      </c>
      <c r="O48" s="183">
        <f t="shared" ref="O48:O82" ca="1" si="9">COUNTIFS($G$3:$G$38,$L48,$H$3:$H$38,$M48,$I$3:$I$38,$N48)</f>
        <v>36</v>
      </c>
      <c r="P48" s="7" t="e">
        <f t="shared" ref="P48:P82" ca="1" si="10">IF(O48=0,"",AVERAGEIFS($J$3:$J$38,$G$3:$G$38,$L48,$H$3:$H$38,$M48,$I$3:$I$38,$N48))</f>
        <v>#NAME?</v>
      </c>
      <c r="Q48" s="43" t="e">
        <f t="array" aca="1" ref="Q48" ca="1">IF(O48&lt;2,"",VAR(IF($G$3:$G$38=$L48,IF($H$3:$H$38=$M48,IF($I$3:$I$38=$N48,$J$3:$J$38,"")))))</f>
        <v>#NAME?</v>
      </c>
    </row>
    <row r="49" spans="12:17" x14ac:dyDescent="0.25">
      <c r="L49" s="183" t="e">
        <f t="shared" ca="1" si="8"/>
        <v>#NAME?</v>
      </c>
      <c r="M49" s="7" t="e">
        <f t="shared" ca="1" si="7"/>
        <v>#NAME?</v>
      </c>
      <c r="N49" s="43" t="e">
        <f t="shared" ca="1" si="7"/>
        <v>#NAME?</v>
      </c>
      <c r="O49" s="183">
        <f t="shared" ca="1" si="9"/>
        <v>36</v>
      </c>
      <c r="P49" s="7" t="e">
        <f t="shared" ca="1" si="10"/>
        <v>#NAME?</v>
      </c>
      <c r="Q49" s="43" t="e">
        <f t="array" aca="1" ref="Q49" ca="1">IF(O49&lt;2,"",VAR(IF($G$3:$G$38=$L49,IF($H$3:$H$38=$M49,IF($I$3:$I$38=$N49,$J$3:$J$38,"")))))</f>
        <v>#NAME?</v>
      </c>
    </row>
    <row r="50" spans="12:17" x14ac:dyDescent="0.25">
      <c r="L50" s="183" t="e">
        <f t="shared" ca="1" si="8"/>
        <v>#NAME?</v>
      </c>
      <c r="M50" s="7" t="e">
        <f t="shared" ca="1" si="7"/>
        <v>#NAME?</v>
      </c>
      <c r="N50" s="43" t="e">
        <f t="shared" ca="1" si="7"/>
        <v>#NAME?</v>
      </c>
      <c r="O50" s="183">
        <f t="shared" ca="1" si="9"/>
        <v>36</v>
      </c>
      <c r="P50" s="7" t="e">
        <f t="shared" ca="1" si="10"/>
        <v>#NAME?</v>
      </c>
      <c r="Q50" s="43" t="e">
        <f t="array" aca="1" ref="Q50" ca="1">IF(O50&lt;2,"",VAR(IF($G$3:$G$38=$L50,IF($H$3:$H$38=$M50,IF($I$3:$I$38=$N50,$J$3:$J$38,"")))))</f>
        <v>#NAME?</v>
      </c>
    </row>
    <row r="51" spans="12:17" x14ac:dyDescent="0.25">
      <c r="L51" s="183" t="e">
        <f t="shared" ca="1" si="8"/>
        <v>#NAME?</v>
      </c>
      <c r="M51" s="7" t="e">
        <f t="shared" ca="1" si="7"/>
        <v>#NAME?</v>
      </c>
      <c r="N51" s="43" t="e">
        <f t="shared" ca="1" si="7"/>
        <v>#NAME?</v>
      </c>
      <c r="O51" s="183">
        <f t="shared" ca="1" si="9"/>
        <v>36</v>
      </c>
      <c r="P51" s="7" t="e">
        <f t="shared" ca="1" si="10"/>
        <v>#NAME?</v>
      </c>
      <c r="Q51" s="43" t="e">
        <f t="array" aca="1" ref="Q51" ca="1">IF(O51&lt;2,"",VAR(IF($G$3:$G$38=$L51,IF($H$3:$H$38=$M51,IF($I$3:$I$38=$N51,$J$3:$J$38,"")))))</f>
        <v>#NAME?</v>
      </c>
    </row>
    <row r="52" spans="12:17" x14ac:dyDescent="0.25">
      <c r="L52" s="183" t="e">
        <f t="shared" ca="1" si="8"/>
        <v>#NAME?</v>
      </c>
      <c r="M52" s="7" t="e">
        <f t="shared" ca="1" si="7"/>
        <v>#NAME?</v>
      </c>
      <c r="N52" s="43" t="e">
        <f t="shared" ca="1" si="7"/>
        <v>#NAME?</v>
      </c>
      <c r="O52" s="183">
        <f t="shared" ca="1" si="9"/>
        <v>36</v>
      </c>
      <c r="P52" s="7" t="e">
        <f t="shared" ca="1" si="10"/>
        <v>#NAME?</v>
      </c>
      <c r="Q52" s="43" t="e">
        <f t="array" aca="1" ref="Q52" ca="1">IF(O52&lt;2,"",VAR(IF($G$3:$G$38=$L52,IF($H$3:$H$38=$M52,IF($I$3:$I$38=$N52,$J$3:$J$38,"")))))</f>
        <v>#NAME?</v>
      </c>
    </row>
    <row r="53" spans="12:17" x14ac:dyDescent="0.25">
      <c r="L53" s="183" t="e">
        <f t="shared" ca="1" si="8"/>
        <v>#NAME?</v>
      </c>
      <c r="M53" s="7" t="e">
        <f t="shared" ca="1" si="7"/>
        <v>#NAME?</v>
      </c>
      <c r="N53" s="43" t="e">
        <f t="shared" ca="1" si="7"/>
        <v>#NAME?</v>
      </c>
      <c r="O53" s="183">
        <f t="shared" ca="1" si="9"/>
        <v>36</v>
      </c>
      <c r="P53" s="7" t="e">
        <f t="shared" ca="1" si="10"/>
        <v>#NAME?</v>
      </c>
      <c r="Q53" s="43" t="e">
        <f t="array" aca="1" ref="Q53" ca="1">IF(O53&lt;2,"",VAR(IF($G$3:$G$38=$L53,IF($H$3:$H$38=$M53,IF($I$3:$I$38=$N53,$J$3:$J$38,"")))))</f>
        <v>#NAME?</v>
      </c>
    </row>
    <row r="54" spans="12:17" x14ac:dyDescent="0.25">
      <c r="L54" s="183" t="e">
        <f t="shared" ca="1" si="8"/>
        <v>#NAME?</v>
      </c>
      <c r="M54" s="7" t="e">
        <f t="shared" ca="1" si="7"/>
        <v>#NAME?</v>
      </c>
      <c r="N54" s="43" t="e">
        <f t="shared" ca="1" si="7"/>
        <v>#NAME?</v>
      </c>
      <c r="O54" s="183">
        <f t="shared" ca="1" si="9"/>
        <v>36</v>
      </c>
      <c r="P54" s="7" t="e">
        <f t="shared" ca="1" si="10"/>
        <v>#NAME?</v>
      </c>
      <c r="Q54" s="43" t="e">
        <f t="array" aca="1" ref="Q54" ca="1">IF(O54&lt;2,"",VAR(IF($G$3:$G$38=$L54,IF($H$3:$H$38=$M54,IF($I$3:$I$38=$N54,$J$3:$J$38,"")))))</f>
        <v>#NAME?</v>
      </c>
    </row>
    <row r="55" spans="12:17" x14ac:dyDescent="0.25">
      <c r="L55" s="183" t="e">
        <f t="shared" ca="1" si="8"/>
        <v>#NAME?</v>
      </c>
      <c r="M55" s="7" t="e">
        <f t="shared" ca="1" si="7"/>
        <v>#NAME?</v>
      </c>
      <c r="N55" s="43" t="e">
        <f t="shared" ca="1" si="7"/>
        <v>#NAME?</v>
      </c>
      <c r="O55" s="183">
        <f t="shared" ca="1" si="9"/>
        <v>36</v>
      </c>
      <c r="P55" s="7" t="e">
        <f t="shared" ca="1" si="10"/>
        <v>#NAME?</v>
      </c>
      <c r="Q55" s="43" t="e">
        <f t="array" aca="1" ref="Q55" ca="1">IF(O55&lt;2,"",VAR(IF($G$3:$G$38=$L55,IF($H$3:$H$38=$M55,IF($I$3:$I$38=$N55,$J$3:$J$38,"")))))</f>
        <v>#NAME?</v>
      </c>
    </row>
    <row r="56" spans="12:17" x14ac:dyDescent="0.25">
      <c r="L56" s="183" t="e">
        <f t="shared" ca="1" si="8"/>
        <v>#NAME?</v>
      </c>
      <c r="M56" s="7" t="e">
        <f t="shared" ca="1" si="7"/>
        <v>#NAME?</v>
      </c>
      <c r="N56" s="43" t="e">
        <f t="shared" ca="1" si="7"/>
        <v>#NAME?</v>
      </c>
      <c r="O56" s="183">
        <f t="shared" ca="1" si="9"/>
        <v>36</v>
      </c>
      <c r="P56" s="7" t="e">
        <f t="shared" ca="1" si="10"/>
        <v>#NAME?</v>
      </c>
      <c r="Q56" s="43" t="e">
        <f t="array" aca="1" ref="Q56" ca="1">IF(O56&lt;2,"",VAR(IF($G$3:$G$38=$L56,IF($H$3:$H$38=$M56,IF($I$3:$I$38=$N56,$J$3:$J$38,"")))))</f>
        <v>#NAME?</v>
      </c>
    </row>
    <row r="57" spans="12:17" x14ac:dyDescent="0.25">
      <c r="L57" s="183" t="e">
        <f t="shared" ca="1" si="8"/>
        <v>#NAME?</v>
      </c>
      <c r="M57" s="7" t="e">
        <f t="shared" ca="1" si="7"/>
        <v>#NAME?</v>
      </c>
      <c r="N57" s="43" t="e">
        <f t="shared" ca="1" si="7"/>
        <v>#NAME?</v>
      </c>
      <c r="O57" s="183">
        <f t="shared" ca="1" si="9"/>
        <v>36</v>
      </c>
      <c r="P57" s="7" t="e">
        <f t="shared" ca="1" si="10"/>
        <v>#NAME?</v>
      </c>
      <c r="Q57" s="43" t="e">
        <f t="array" aca="1" ref="Q57" ca="1">IF(O57&lt;2,"",VAR(IF($G$3:$G$38=$L57,IF($H$3:$H$38=$M57,IF($I$3:$I$38=$N57,$J$3:$J$38,"")))))</f>
        <v>#NAME?</v>
      </c>
    </row>
    <row r="58" spans="12:17" x14ac:dyDescent="0.25">
      <c r="L58" s="183" t="e">
        <f t="shared" ca="1" si="8"/>
        <v>#NAME?</v>
      </c>
      <c r="M58" s="7" t="e">
        <f t="shared" ca="1" si="7"/>
        <v>#NAME?</v>
      </c>
      <c r="N58" s="43" t="e">
        <f t="shared" ca="1" si="7"/>
        <v>#NAME?</v>
      </c>
      <c r="O58" s="183">
        <f t="shared" ca="1" si="9"/>
        <v>36</v>
      </c>
      <c r="P58" s="7" t="e">
        <f t="shared" ca="1" si="10"/>
        <v>#NAME?</v>
      </c>
      <c r="Q58" s="43" t="e">
        <f t="array" aca="1" ref="Q58" ca="1">IF(O58&lt;2,"",VAR(IF($G$3:$G$38=$L58,IF($H$3:$H$38=$M58,IF($I$3:$I$38=$N58,$J$3:$J$38,"")))))</f>
        <v>#NAME?</v>
      </c>
    </row>
    <row r="59" spans="12:17" x14ac:dyDescent="0.25">
      <c r="L59" s="183" t="e">
        <f ca="1">$L$5</f>
        <v>#NAME?</v>
      </c>
      <c r="M59" s="7" t="e">
        <f t="shared" ca="1" si="7"/>
        <v>#NAME?</v>
      </c>
      <c r="N59" s="43" t="e">
        <f t="shared" ca="1" si="7"/>
        <v>#NAME?</v>
      </c>
      <c r="O59" s="183">
        <f t="shared" ca="1" si="9"/>
        <v>36</v>
      </c>
      <c r="P59" s="7" t="e">
        <f t="shared" ca="1" si="10"/>
        <v>#NAME?</v>
      </c>
      <c r="Q59" s="43" t="e">
        <f t="array" aca="1" ref="Q59" ca="1">IF(O59&lt;2,"",VAR(IF($G$3:$G$38=$L59,IF($H$3:$H$38=$M59,IF($I$3:$I$38=$N59,$J$3:$J$38,"")))))</f>
        <v>#NAME?</v>
      </c>
    </row>
    <row r="60" spans="12:17" x14ac:dyDescent="0.25">
      <c r="L60" s="183" t="e">
        <f t="shared" ref="L60:L70" ca="1" si="11">$L$5</f>
        <v>#NAME?</v>
      </c>
      <c r="M60" s="7" t="e">
        <f t="shared" ca="1" si="7"/>
        <v>#NAME?</v>
      </c>
      <c r="N60" s="43" t="e">
        <f t="shared" ca="1" si="7"/>
        <v>#NAME?</v>
      </c>
      <c r="O60" s="183">
        <f t="shared" ca="1" si="9"/>
        <v>36</v>
      </c>
      <c r="P60" s="7" t="e">
        <f t="shared" ca="1" si="10"/>
        <v>#NAME?</v>
      </c>
      <c r="Q60" s="43" t="e">
        <f t="array" aca="1" ref="Q60" ca="1">IF(O60&lt;2,"",VAR(IF($G$3:$G$38=$L60,IF($H$3:$H$38=$M60,IF($I$3:$I$38=$N60,$J$3:$J$38,"")))))</f>
        <v>#NAME?</v>
      </c>
    </row>
    <row r="61" spans="12:17" x14ac:dyDescent="0.25">
      <c r="L61" s="183" t="e">
        <f t="shared" ca="1" si="11"/>
        <v>#NAME?</v>
      </c>
      <c r="M61" s="7" t="e">
        <f t="shared" ca="1" si="7"/>
        <v>#NAME?</v>
      </c>
      <c r="N61" s="43" t="e">
        <f t="shared" ca="1" si="7"/>
        <v>#NAME?</v>
      </c>
      <c r="O61" s="183">
        <f t="shared" ca="1" si="9"/>
        <v>36</v>
      </c>
      <c r="P61" s="7" t="e">
        <f t="shared" ca="1" si="10"/>
        <v>#NAME?</v>
      </c>
      <c r="Q61" s="43" t="e">
        <f t="array" aca="1" ref="Q61" ca="1">IF(O61&lt;2,"",VAR(IF($G$3:$G$38=$L61,IF($H$3:$H$38=$M61,IF($I$3:$I$38=$N61,$J$3:$J$38,"")))))</f>
        <v>#NAME?</v>
      </c>
    </row>
    <row r="62" spans="12:17" x14ac:dyDescent="0.25">
      <c r="L62" s="183" t="e">
        <f t="shared" ca="1" si="11"/>
        <v>#NAME?</v>
      </c>
      <c r="M62" s="7" t="e">
        <f t="shared" ca="1" si="7"/>
        <v>#NAME?</v>
      </c>
      <c r="N62" s="43" t="e">
        <f t="shared" ca="1" si="7"/>
        <v>#NAME?</v>
      </c>
      <c r="O62" s="183">
        <f t="shared" ca="1" si="9"/>
        <v>36</v>
      </c>
      <c r="P62" s="7" t="e">
        <f t="shared" ca="1" si="10"/>
        <v>#NAME?</v>
      </c>
      <c r="Q62" s="43" t="e">
        <f t="array" aca="1" ref="Q62" ca="1">IF(O62&lt;2,"",VAR(IF($G$3:$G$38=$L62,IF($H$3:$H$38=$M62,IF($I$3:$I$38=$N62,$J$3:$J$38,"")))))</f>
        <v>#NAME?</v>
      </c>
    </row>
    <row r="63" spans="12:17" x14ac:dyDescent="0.25">
      <c r="L63" s="183" t="e">
        <f t="shared" ca="1" si="11"/>
        <v>#NAME?</v>
      </c>
      <c r="M63" s="7" t="e">
        <f t="shared" ca="1" si="7"/>
        <v>#NAME?</v>
      </c>
      <c r="N63" s="43" t="e">
        <f t="shared" ca="1" si="7"/>
        <v>#NAME?</v>
      </c>
      <c r="O63" s="183">
        <f t="shared" ca="1" si="9"/>
        <v>36</v>
      </c>
      <c r="P63" s="7" t="e">
        <f t="shared" ca="1" si="10"/>
        <v>#NAME?</v>
      </c>
      <c r="Q63" s="43" t="e">
        <f t="array" aca="1" ref="Q63" ca="1">IF(O63&lt;2,"",VAR(IF($G$3:$G$38=$L63,IF($H$3:$H$38=$M63,IF($I$3:$I$38=$N63,$J$3:$J$38,"")))))</f>
        <v>#NAME?</v>
      </c>
    </row>
    <row r="64" spans="12:17" x14ac:dyDescent="0.25">
      <c r="L64" s="183" t="e">
        <f t="shared" ca="1" si="11"/>
        <v>#NAME?</v>
      </c>
      <c r="M64" s="7" t="e">
        <f t="shared" ca="1" si="7"/>
        <v>#NAME?</v>
      </c>
      <c r="N64" s="43" t="e">
        <f t="shared" ca="1" si="7"/>
        <v>#NAME?</v>
      </c>
      <c r="O64" s="183">
        <f t="shared" ca="1" si="9"/>
        <v>36</v>
      </c>
      <c r="P64" s="7" t="e">
        <f t="shared" ca="1" si="10"/>
        <v>#NAME?</v>
      </c>
      <c r="Q64" s="43" t="e">
        <f t="array" aca="1" ref="Q64" ca="1">IF(O64&lt;2,"",VAR(IF($G$3:$G$38=$L64,IF($H$3:$H$38=$M64,IF($I$3:$I$38=$N64,$J$3:$J$38,"")))))</f>
        <v>#NAME?</v>
      </c>
    </row>
    <row r="65" spans="12:17" x14ac:dyDescent="0.25">
      <c r="L65" s="183" t="e">
        <f t="shared" ca="1" si="11"/>
        <v>#NAME?</v>
      </c>
      <c r="M65" s="7" t="e">
        <f t="shared" ca="1" si="7"/>
        <v>#NAME?</v>
      </c>
      <c r="N65" s="43" t="e">
        <f t="shared" ca="1" si="7"/>
        <v>#NAME?</v>
      </c>
      <c r="O65" s="183">
        <f t="shared" ca="1" si="9"/>
        <v>36</v>
      </c>
      <c r="P65" s="7" t="e">
        <f t="shared" ca="1" si="10"/>
        <v>#NAME?</v>
      </c>
      <c r="Q65" s="43" t="e">
        <f t="array" aca="1" ref="Q65" ca="1">IF(O65&lt;2,"",VAR(IF($G$3:$G$38=$L65,IF($H$3:$H$38=$M65,IF($I$3:$I$38=$N65,$J$3:$J$38,"")))))</f>
        <v>#NAME?</v>
      </c>
    </row>
    <row r="66" spans="12:17" x14ac:dyDescent="0.25">
      <c r="L66" s="183" t="e">
        <f t="shared" ca="1" si="11"/>
        <v>#NAME?</v>
      </c>
      <c r="M66" s="7" t="e">
        <f t="shared" ca="1" si="7"/>
        <v>#NAME?</v>
      </c>
      <c r="N66" s="43" t="e">
        <f t="shared" ca="1" si="7"/>
        <v>#NAME?</v>
      </c>
      <c r="O66" s="183">
        <f t="shared" ca="1" si="9"/>
        <v>36</v>
      </c>
      <c r="P66" s="7" t="e">
        <f t="shared" ca="1" si="10"/>
        <v>#NAME?</v>
      </c>
      <c r="Q66" s="43" t="e">
        <f t="array" aca="1" ref="Q66" ca="1">IF(O66&lt;2,"",VAR(IF($G$3:$G$38=$L66,IF($H$3:$H$38=$M66,IF($I$3:$I$38=$N66,$J$3:$J$38,"")))))</f>
        <v>#NAME?</v>
      </c>
    </row>
    <row r="67" spans="12:17" x14ac:dyDescent="0.25">
      <c r="L67" s="183" t="e">
        <f t="shared" ca="1" si="11"/>
        <v>#NAME?</v>
      </c>
      <c r="M67" s="7" t="e">
        <f t="shared" ref="M67:N82" ca="1" si="12">M55</f>
        <v>#NAME?</v>
      </c>
      <c r="N67" s="43" t="e">
        <f t="shared" ca="1" si="12"/>
        <v>#NAME?</v>
      </c>
      <c r="O67" s="183">
        <f t="shared" ca="1" si="9"/>
        <v>36</v>
      </c>
      <c r="P67" s="7" t="e">
        <f t="shared" ca="1" si="10"/>
        <v>#NAME?</v>
      </c>
      <c r="Q67" s="43" t="e">
        <f t="array" aca="1" ref="Q67" ca="1">IF(O67&lt;2,"",VAR(IF($G$3:$G$38=$L67,IF($H$3:$H$38=$M67,IF($I$3:$I$38=$N67,$J$3:$J$38,"")))))</f>
        <v>#NAME?</v>
      </c>
    </row>
    <row r="68" spans="12:17" x14ac:dyDescent="0.25">
      <c r="L68" s="183" t="e">
        <f t="shared" ca="1" si="11"/>
        <v>#NAME?</v>
      </c>
      <c r="M68" s="7" t="e">
        <f t="shared" ca="1" si="12"/>
        <v>#NAME?</v>
      </c>
      <c r="N68" s="43" t="e">
        <f t="shared" ca="1" si="12"/>
        <v>#NAME?</v>
      </c>
      <c r="O68" s="183">
        <f t="shared" ca="1" si="9"/>
        <v>36</v>
      </c>
      <c r="P68" s="7" t="e">
        <f t="shared" ca="1" si="10"/>
        <v>#NAME?</v>
      </c>
      <c r="Q68" s="43" t="e">
        <f t="array" aca="1" ref="Q68" ca="1">IF(O68&lt;2,"",VAR(IF($G$3:$G$38=$L68,IF($H$3:$H$38=$M68,IF($I$3:$I$38=$N68,$J$3:$J$38,"")))))</f>
        <v>#NAME?</v>
      </c>
    </row>
    <row r="69" spans="12:17" x14ac:dyDescent="0.25">
      <c r="L69" s="183" t="e">
        <f t="shared" ca="1" si="11"/>
        <v>#NAME?</v>
      </c>
      <c r="M69" s="7" t="e">
        <f t="shared" ca="1" si="12"/>
        <v>#NAME?</v>
      </c>
      <c r="N69" s="43" t="e">
        <f t="shared" ca="1" si="12"/>
        <v>#NAME?</v>
      </c>
      <c r="O69" s="183">
        <f t="shared" ca="1" si="9"/>
        <v>36</v>
      </c>
      <c r="P69" s="7" t="e">
        <f t="shared" ca="1" si="10"/>
        <v>#NAME?</v>
      </c>
      <c r="Q69" s="43" t="e">
        <f t="array" aca="1" ref="Q69" ca="1">IF(O69&lt;2,"",VAR(IF($G$3:$G$38=$L69,IF($H$3:$H$38=$M69,IF($I$3:$I$38=$N69,$J$3:$J$38,"")))))</f>
        <v>#NAME?</v>
      </c>
    </row>
    <row r="70" spans="12:17" x14ac:dyDescent="0.25">
      <c r="L70" s="183" t="e">
        <f t="shared" ca="1" si="11"/>
        <v>#NAME?</v>
      </c>
      <c r="M70" s="7" t="e">
        <f t="shared" ca="1" si="12"/>
        <v>#NAME?</v>
      </c>
      <c r="N70" s="43" t="e">
        <f t="shared" ca="1" si="12"/>
        <v>#NAME?</v>
      </c>
      <c r="O70" s="183">
        <f t="shared" ca="1" si="9"/>
        <v>36</v>
      </c>
      <c r="P70" s="7" t="e">
        <f t="shared" ca="1" si="10"/>
        <v>#NAME?</v>
      </c>
      <c r="Q70" s="43" t="e">
        <f t="array" aca="1" ref="Q70" ca="1">IF(O70&lt;2,"",VAR(IF($G$3:$G$38=$L70,IF($H$3:$H$38=$M70,IF($I$3:$I$38=$N70,$J$3:$J$38,"")))))</f>
        <v>#NAME?</v>
      </c>
    </row>
    <row r="71" spans="12:17" x14ac:dyDescent="0.25">
      <c r="L71" s="183" t="e">
        <f ca="1">$L$6</f>
        <v>#NAME?</v>
      </c>
      <c r="M71" s="7" t="e">
        <f t="shared" ca="1" si="12"/>
        <v>#NAME?</v>
      </c>
      <c r="N71" s="43" t="e">
        <f t="shared" ca="1" si="12"/>
        <v>#NAME?</v>
      </c>
      <c r="O71" s="183">
        <f t="shared" ca="1" si="9"/>
        <v>36</v>
      </c>
      <c r="P71" s="7" t="e">
        <f t="shared" ca="1" si="10"/>
        <v>#NAME?</v>
      </c>
      <c r="Q71" s="43" t="e">
        <f t="array" aca="1" ref="Q71" ca="1">IF(O71&lt;2,"",VAR(IF($G$3:$G$38=$L71,IF($H$3:$H$38=$M71,IF($I$3:$I$38=$N71,$J$3:$J$38,"")))))</f>
        <v>#NAME?</v>
      </c>
    </row>
    <row r="72" spans="12:17" x14ac:dyDescent="0.25">
      <c r="L72" s="183" t="e">
        <f t="shared" ref="L72:L82" ca="1" si="13">$L$6</f>
        <v>#NAME?</v>
      </c>
      <c r="M72" s="7" t="e">
        <f t="shared" ca="1" si="12"/>
        <v>#NAME?</v>
      </c>
      <c r="N72" s="43" t="e">
        <f t="shared" ca="1" si="12"/>
        <v>#NAME?</v>
      </c>
      <c r="O72" s="183">
        <f t="shared" ca="1" si="9"/>
        <v>36</v>
      </c>
      <c r="P72" s="7" t="e">
        <f t="shared" ca="1" si="10"/>
        <v>#NAME?</v>
      </c>
      <c r="Q72" s="43" t="e">
        <f t="array" aca="1" ref="Q72" ca="1">IF(O72&lt;2,"",VAR(IF($G$3:$G$38=$L72,IF($H$3:$H$38=$M72,IF($I$3:$I$38=$N72,$J$3:$J$38,"")))))</f>
        <v>#NAME?</v>
      </c>
    </row>
    <row r="73" spans="12:17" x14ac:dyDescent="0.25">
      <c r="L73" s="183" t="e">
        <f t="shared" ca="1" si="13"/>
        <v>#NAME?</v>
      </c>
      <c r="M73" s="7" t="e">
        <f t="shared" ca="1" si="12"/>
        <v>#NAME?</v>
      </c>
      <c r="N73" s="43" t="e">
        <f t="shared" ca="1" si="12"/>
        <v>#NAME?</v>
      </c>
      <c r="O73" s="183">
        <f t="shared" ca="1" si="9"/>
        <v>36</v>
      </c>
      <c r="P73" s="7" t="e">
        <f t="shared" ca="1" si="10"/>
        <v>#NAME?</v>
      </c>
      <c r="Q73" s="43" t="e">
        <f t="array" aca="1" ref="Q73" ca="1">IF(O73&lt;2,"",VAR(IF($G$3:$G$38=$L73,IF($H$3:$H$38=$M73,IF($I$3:$I$38=$N73,$J$3:$J$38,"")))))</f>
        <v>#NAME?</v>
      </c>
    </row>
    <row r="74" spans="12:17" x14ac:dyDescent="0.25">
      <c r="L74" s="183" t="e">
        <f t="shared" ca="1" si="13"/>
        <v>#NAME?</v>
      </c>
      <c r="M74" s="7" t="e">
        <f t="shared" ca="1" si="12"/>
        <v>#NAME?</v>
      </c>
      <c r="N74" s="43" t="e">
        <f t="shared" ca="1" si="12"/>
        <v>#NAME?</v>
      </c>
      <c r="O74" s="183">
        <f t="shared" ca="1" si="9"/>
        <v>36</v>
      </c>
      <c r="P74" s="7" t="e">
        <f t="shared" ca="1" si="10"/>
        <v>#NAME?</v>
      </c>
      <c r="Q74" s="43" t="e">
        <f t="array" aca="1" ref="Q74" ca="1">IF(O74&lt;2,"",VAR(IF($G$3:$G$38=$L74,IF($H$3:$H$38=$M74,IF($I$3:$I$38=$N74,$J$3:$J$38,"")))))</f>
        <v>#NAME?</v>
      </c>
    </row>
    <row r="75" spans="12:17" x14ac:dyDescent="0.25">
      <c r="L75" s="183" t="e">
        <f t="shared" ca="1" si="13"/>
        <v>#NAME?</v>
      </c>
      <c r="M75" s="7" t="e">
        <f t="shared" ca="1" si="12"/>
        <v>#NAME?</v>
      </c>
      <c r="N75" s="43" t="e">
        <f t="shared" ca="1" si="12"/>
        <v>#NAME?</v>
      </c>
      <c r="O75" s="183">
        <f t="shared" ca="1" si="9"/>
        <v>36</v>
      </c>
      <c r="P75" s="7" t="e">
        <f t="shared" ca="1" si="10"/>
        <v>#NAME?</v>
      </c>
      <c r="Q75" s="43" t="e">
        <f t="array" aca="1" ref="Q75" ca="1">IF(O75&lt;2,"",VAR(IF($G$3:$G$38=$L75,IF($H$3:$H$38=$M75,IF($I$3:$I$38=$N75,$J$3:$J$38,"")))))</f>
        <v>#NAME?</v>
      </c>
    </row>
    <row r="76" spans="12:17" x14ac:dyDescent="0.25">
      <c r="L76" s="183" t="e">
        <f t="shared" ca="1" si="13"/>
        <v>#NAME?</v>
      </c>
      <c r="M76" s="7" t="e">
        <f t="shared" ca="1" si="12"/>
        <v>#NAME?</v>
      </c>
      <c r="N76" s="43" t="e">
        <f t="shared" ca="1" si="12"/>
        <v>#NAME?</v>
      </c>
      <c r="O76" s="183">
        <f t="shared" ca="1" si="9"/>
        <v>36</v>
      </c>
      <c r="P76" s="7" t="e">
        <f t="shared" ca="1" si="10"/>
        <v>#NAME?</v>
      </c>
      <c r="Q76" s="43" t="e">
        <f t="array" aca="1" ref="Q76" ca="1">IF(O76&lt;2,"",VAR(IF($G$3:$G$38=$L76,IF($H$3:$H$38=$M76,IF($I$3:$I$38=$N76,$J$3:$J$38,"")))))</f>
        <v>#NAME?</v>
      </c>
    </row>
    <row r="77" spans="12:17" x14ac:dyDescent="0.25">
      <c r="L77" s="183" t="e">
        <f t="shared" ca="1" si="13"/>
        <v>#NAME?</v>
      </c>
      <c r="M77" s="7" t="e">
        <f t="shared" ca="1" si="12"/>
        <v>#NAME?</v>
      </c>
      <c r="N77" s="43" t="e">
        <f t="shared" ca="1" si="12"/>
        <v>#NAME?</v>
      </c>
      <c r="O77" s="183">
        <f t="shared" ca="1" si="9"/>
        <v>36</v>
      </c>
      <c r="P77" s="7" t="e">
        <f t="shared" ca="1" si="10"/>
        <v>#NAME?</v>
      </c>
      <c r="Q77" s="43" t="e">
        <f t="array" aca="1" ref="Q77" ca="1">IF(O77&lt;2,"",VAR(IF($G$3:$G$38=$L77,IF($H$3:$H$38=$M77,IF($I$3:$I$38=$N77,$J$3:$J$38,"")))))</f>
        <v>#NAME?</v>
      </c>
    </row>
    <row r="78" spans="12:17" x14ac:dyDescent="0.25">
      <c r="L78" s="183" t="e">
        <f t="shared" ca="1" si="13"/>
        <v>#NAME?</v>
      </c>
      <c r="M78" s="7" t="e">
        <f t="shared" ca="1" si="12"/>
        <v>#NAME?</v>
      </c>
      <c r="N78" s="43" t="e">
        <f t="shared" ca="1" si="12"/>
        <v>#NAME?</v>
      </c>
      <c r="O78" s="183">
        <f t="shared" ca="1" si="9"/>
        <v>36</v>
      </c>
      <c r="P78" s="7" t="e">
        <f t="shared" ca="1" si="10"/>
        <v>#NAME?</v>
      </c>
      <c r="Q78" s="43" t="e">
        <f t="array" aca="1" ref="Q78" ca="1">IF(O78&lt;2,"",VAR(IF($G$3:$G$38=$L78,IF($H$3:$H$38=$M78,IF($I$3:$I$38=$N78,$J$3:$J$38,"")))))</f>
        <v>#NAME?</v>
      </c>
    </row>
    <row r="79" spans="12:17" x14ac:dyDescent="0.25">
      <c r="L79" s="183" t="e">
        <f t="shared" ca="1" si="13"/>
        <v>#NAME?</v>
      </c>
      <c r="M79" s="7" t="e">
        <f t="shared" ca="1" si="12"/>
        <v>#NAME?</v>
      </c>
      <c r="N79" s="43" t="e">
        <f t="shared" ca="1" si="12"/>
        <v>#NAME?</v>
      </c>
      <c r="O79" s="183">
        <f t="shared" ca="1" si="9"/>
        <v>36</v>
      </c>
      <c r="P79" s="7" t="e">
        <f t="shared" ca="1" si="10"/>
        <v>#NAME?</v>
      </c>
      <c r="Q79" s="43" t="e">
        <f t="array" aca="1" ref="Q79" ca="1">IF(O79&lt;2,"",VAR(IF($G$3:$G$38=$L79,IF($H$3:$H$38=$M79,IF($I$3:$I$38=$N79,$J$3:$J$38,"")))))</f>
        <v>#NAME?</v>
      </c>
    </row>
    <row r="80" spans="12:17" x14ac:dyDescent="0.25">
      <c r="L80" s="183" t="e">
        <f t="shared" ca="1" si="13"/>
        <v>#NAME?</v>
      </c>
      <c r="M80" s="7" t="e">
        <f t="shared" ca="1" si="12"/>
        <v>#NAME?</v>
      </c>
      <c r="N80" s="43" t="e">
        <f t="shared" ca="1" si="12"/>
        <v>#NAME?</v>
      </c>
      <c r="O80" s="183">
        <f t="shared" ca="1" si="9"/>
        <v>36</v>
      </c>
      <c r="P80" s="7" t="e">
        <f t="shared" ca="1" si="10"/>
        <v>#NAME?</v>
      </c>
      <c r="Q80" s="43" t="e">
        <f t="array" aca="1" ref="Q80" ca="1">IF(O80&lt;2,"",VAR(IF($G$3:$G$38=$L80,IF($H$3:$H$38=$M80,IF($I$3:$I$38=$N80,$J$3:$J$38,"")))))</f>
        <v>#NAME?</v>
      </c>
    </row>
    <row r="81" spans="12:17" x14ac:dyDescent="0.25">
      <c r="L81" s="183" t="e">
        <f t="shared" ca="1" si="13"/>
        <v>#NAME?</v>
      </c>
      <c r="M81" s="7" t="e">
        <f t="shared" ca="1" si="12"/>
        <v>#NAME?</v>
      </c>
      <c r="N81" s="43" t="e">
        <f t="shared" ca="1" si="12"/>
        <v>#NAME?</v>
      </c>
      <c r="O81" s="183">
        <f t="shared" ca="1" si="9"/>
        <v>36</v>
      </c>
      <c r="P81" s="7" t="e">
        <f t="shared" ca="1" si="10"/>
        <v>#NAME?</v>
      </c>
      <c r="Q81" s="43" t="e">
        <f t="array" aca="1" ref="Q81" ca="1">IF(O81&lt;2,"",VAR(IF($G$3:$G$38=$L81,IF($H$3:$H$38=$M81,IF($I$3:$I$38=$N81,$J$3:$J$38,"")))))</f>
        <v>#NAME?</v>
      </c>
    </row>
    <row r="82" spans="12:17" x14ac:dyDescent="0.25">
      <c r="L82" s="351" t="e">
        <f t="shared" ca="1" si="13"/>
        <v>#NAME?</v>
      </c>
      <c r="M82" s="352" t="e">
        <f t="shared" ca="1" si="12"/>
        <v>#NAME?</v>
      </c>
      <c r="N82" s="353" t="e">
        <f t="shared" ca="1" si="12"/>
        <v>#NAME?</v>
      </c>
      <c r="O82" s="351">
        <f t="shared" ca="1" si="9"/>
        <v>36</v>
      </c>
      <c r="P82" s="352" t="e">
        <f t="shared" ca="1" si="10"/>
        <v>#NAME?</v>
      </c>
      <c r="Q82" s="353" t="e">
        <f t="array" aca="1" ref="Q82" ca="1">IF(O82&lt;2,"",VAR(IF($G$3:$G$38=$L82,IF($H$3:$H$38=$M82,IF($I$3:$I$38=$N82,$J$3:$J$38,"")))))</f>
        <v>#NAME?</v>
      </c>
    </row>
    <row r="83" spans="12:17" x14ac:dyDescent="0.25">
      <c r="O83">
        <f ca="1">SUM(O47:O82)</f>
        <v>1296</v>
      </c>
      <c r="P83" t="e">
        <f ca="1">AVERAGE(J3:J38)</f>
        <v>#NAME?</v>
      </c>
      <c r="Q83" t="e">
        <f ca="1">VAR(J3:J38)</f>
        <v>#NAME?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Q83"/>
  <sheetViews>
    <sheetView workbookViewId="0"/>
  </sheetViews>
  <sheetFormatPr defaultRowHeight="15" x14ac:dyDescent="0.25"/>
  <cols>
    <col min="1" max="1" width="5" customWidth="1"/>
    <col min="2" max="5" width="7.5703125" customWidth="1"/>
    <col min="7" max="9" width="9.140625" style="612"/>
    <col min="19" max="19" width="15.85546875" customWidth="1"/>
  </cols>
  <sheetData>
    <row r="1" spans="1:69" ht="15.75" thickBot="1" x14ac:dyDescent="0.3">
      <c r="A1" s="1" t="s">
        <v>1411</v>
      </c>
      <c r="G1" s="39" t="s">
        <v>819</v>
      </c>
      <c r="L1" t="s">
        <v>13</v>
      </c>
      <c r="S1" t="s">
        <v>1425</v>
      </c>
      <c r="AA1" t="s">
        <v>1419</v>
      </c>
      <c r="AL1" t="s">
        <v>1420</v>
      </c>
      <c r="AW1" t="s">
        <v>1421</v>
      </c>
      <c r="BH1" t="s">
        <v>1422</v>
      </c>
    </row>
    <row r="2" spans="1:69" ht="15.75" thickTop="1" x14ac:dyDescent="0.25">
      <c r="AA2" s="386" t="s">
        <v>53</v>
      </c>
      <c r="AB2" s="386" t="s">
        <v>27</v>
      </c>
      <c r="AC2" s="386" t="s">
        <v>6</v>
      </c>
      <c r="AD2" s="386" t="s">
        <v>110</v>
      </c>
      <c r="AL2" s="386" t="s">
        <v>53</v>
      </c>
      <c r="AM2" s="386" t="s">
        <v>27</v>
      </c>
      <c r="AN2" s="386" t="s">
        <v>6</v>
      </c>
      <c r="AO2" s="386" t="s">
        <v>110</v>
      </c>
      <c r="AW2" s="386" t="s">
        <v>53</v>
      </c>
      <c r="AX2" s="386" t="s">
        <v>27</v>
      </c>
      <c r="AY2" s="386" t="s">
        <v>6</v>
      </c>
      <c r="AZ2" s="386" t="s">
        <v>110</v>
      </c>
      <c r="BH2" s="386" t="s">
        <v>53</v>
      </c>
      <c r="BI2" s="386" t="s">
        <v>27</v>
      </c>
      <c r="BJ2" s="386" t="s">
        <v>6</v>
      </c>
      <c r="BK2" s="386" t="s">
        <v>110</v>
      </c>
    </row>
    <row r="3" spans="1:69" ht="15.75" thickBot="1" x14ac:dyDescent="0.3">
      <c r="B3" s="612" t="s">
        <v>109</v>
      </c>
      <c r="C3" s="612" t="s">
        <v>95</v>
      </c>
      <c r="D3" s="612" t="s">
        <v>96</v>
      </c>
      <c r="E3" s="612" t="s">
        <v>97</v>
      </c>
      <c r="G3" s="599" t="e">
        <f t="array" aca="1" ref="G3:J38" ca="1">Split2Std(A3:E12, 3)</f>
        <v>#NAME?</v>
      </c>
      <c r="H3" s="666" t="e">
        <f ca="1"/>
        <v>#NAME?</v>
      </c>
      <c r="I3" s="666" t="e">
        <f ca="1"/>
        <v>#NAME?</v>
      </c>
      <c r="J3" s="557" t="e">
        <f ca="1"/>
        <v>#NAME?</v>
      </c>
      <c r="O3" s="12" t="s">
        <v>12</v>
      </c>
      <c r="P3" s="12" t="s">
        <v>9</v>
      </c>
      <c r="Q3" s="12" t="s">
        <v>54</v>
      </c>
      <c r="S3" t="s">
        <v>125</v>
      </c>
      <c r="W3" s="612" t="s">
        <v>18</v>
      </c>
      <c r="X3" s="612">
        <v>0.05</v>
      </c>
      <c r="AA3" s="664" t="e">
        <f t="array" ref="AA3:AA6" ca="1">N10:N13</f>
        <v>#NAME?</v>
      </c>
      <c r="AB3" s="665"/>
      <c r="AC3" s="664" t="e">
        <f t="array" ref="AC3:AC6" ca="1">P10:P13</f>
        <v>#NAME?</v>
      </c>
      <c r="AD3" s="664">
        <f t="array" ref="AD3:AD6" ca="1">O10:O13</f>
        <v>1296</v>
      </c>
      <c r="AL3" s="664" t="e">
        <f t="array" ref="AL3:AL5" ca="1">M7:M9</f>
        <v>#NAME?</v>
      </c>
      <c r="AM3" s="665"/>
      <c r="AN3" s="664" t="e">
        <f t="array" ref="AN3:AN5" ca="1">P7:P9</f>
        <v>#NAME?</v>
      </c>
      <c r="AO3" s="664">
        <f t="array" ref="AO3:AO5" ca="1">O7:O9</f>
        <v>1296</v>
      </c>
      <c r="AW3" s="664" t="e">
        <f t="array" ref="AW3:AW6" ca="1">N10:N13</f>
        <v>#NAME?</v>
      </c>
      <c r="AX3" s="665"/>
      <c r="AY3" s="664" t="e">
        <f t="array" ref="AY3:AY6" ca="1">P10:P13</f>
        <v>#NAME?</v>
      </c>
      <c r="AZ3" s="664">
        <f t="array" ref="AZ3:AZ6" ca="1">O10:O13</f>
        <v>1296</v>
      </c>
      <c r="BH3" s="664" t="e">
        <f t="array" ref="BH3:BH5" ca="1">M7:M9</f>
        <v>#NAME?</v>
      </c>
      <c r="BI3" s="665"/>
      <c r="BJ3" s="664" t="e">
        <f t="array" ref="BJ3:BJ5" ca="1">P7:P9</f>
        <v>#NAME?</v>
      </c>
      <c r="BK3" s="664">
        <f t="array" ref="BK3:BK5" ca="1">O7:O9</f>
        <v>1296</v>
      </c>
    </row>
    <row r="4" spans="1:69" ht="15.75" thickTop="1" x14ac:dyDescent="0.25">
      <c r="A4" s="612">
        <v>580</v>
      </c>
      <c r="B4" s="646">
        <v>217</v>
      </c>
      <c r="C4" s="387">
        <v>158</v>
      </c>
      <c r="D4" s="387">
        <v>229</v>
      </c>
      <c r="E4" s="647">
        <v>223</v>
      </c>
      <c r="G4" s="182" t="e">
        <f ca="1"/>
        <v>#NAME?</v>
      </c>
      <c r="H4" s="613" t="e">
        <f ca="1"/>
        <v>#NAME?</v>
      </c>
      <c r="I4" s="613" t="e">
        <f ca="1"/>
        <v>#NAME?</v>
      </c>
      <c r="J4" s="43" t="e">
        <f ca="1"/>
        <v>#NAME?</v>
      </c>
      <c r="L4" s="550" t="e">
        <f t="array" aca="1" ref="L4:L6" ca="1">SortUnique(G3:G38)</f>
        <v>#NAME?</v>
      </c>
      <c r="M4" s="556"/>
      <c r="N4" s="557"/>
      <c r="O4" s="550">
        <f ca="1">SUMIF($L$47:$L$82,L4,$O$47:$O$82)</f>
        <v>1296</v>
      </c>
      <c r="P4" s="556" t="e">
        <f ca="1">IF(O4=0,"",AVERAGEIF($G$3:$G$38,$L4,$J$3:$J$38))</f>
        <v>#NAME?</v>
      </c>
      <c r="Q4" s="557" t="e">
        <f t="array" aca="1" ref="Q4" ca="1">IF(O4&lt;2,"",VAR(IF($G$3:$G$38=$L4,$J$3:$J$38,"")))</f>
        <v>#NAME?</v>
      </c>
      <c r="S4" s="386"/>
      <c r="T4" s="386" t="s">
        <v>111</v>
      </c>
      <c r="U4" s="386" t="s">
        <v>41</v>
      </c>
      <c r="V4" s="386" t="s">
        <v>115</v>
      </c>
      <c r="W4" s="386" t="s">
        <v>98</v>
      </c>
      <c r="X4" s="386" t="s">
        <v>48</v>
      </c>
      <c r="Y4" s="386" t="s">
        <v>164</v>
      </c>
      <c r="AA4" s="7" t="e">
        <f ca="1"/>
        <v>#NAME?</v>
      </c>
      <c r="AB4" s="539">
        <v>-1</v>
      </c>
      <c r="AC4" s="7" t="e">
        <f ca="1"/>
        <v>#NAME?</v>
      </c>
      <c r="AD4" s="7">
        <f ca="1"/>
        <v>1296</v>
      </c>
      <c r="AL4" s="7" t="e">
        <f ca="1"/>
        <v>#NAME?</v>
      </c>
      <c r="AM4" s="539">
        <v>1</v>
      </c>
      <c r="AN4" s="7" t="e">
        <f ca="1"/>
        <v>#NAME?</v>
      </c>
      <c r="AO4" s="7">
        <f ca="1"/>
        <v>1296</v>
      </c>
      <c r="AW4" s="7" t="e">
        <f ca="1"/>
        <v>#NAME?</v>
      </c>
      <c r="AX4" s="539">
        <v>-1</v>
      </c>
      <c r="AY4" s="7" t="e">
        <f ca="1"/>
        <v>#NAME?</v>
      </c>
      <c r="AZ4" s="7">
        <f ca="1"/>
        <v>1296</v>
      </c>
      <c r="BH4" s="7" t="e">
        <f ca="1"/>
        <v>#NAME?</v>
      </c>
      <c r="BI4" s="539">
        <v>1</v>
      </c>
      <c r="BJ4" s="7" t="e">
        <f ca="1"/>
        <v>#NAME?</v>
      </c>
      <c r="BK4" s="7">
        <f ca="1"/>
        <v>1296</v>
      </c>
    </row>
    <row r="5" spans="1:69" x14ac:dyDescent="0.25">
      <c r="A5" s="612">
        <v>600</v>
      </c>
      <c r="B5" s="214">
        <v>233</v>
      </c>
      <c r="C5" s="7">
        <v>138</v>
      </c>
      <c r="D5" s="7">
        <v>186</v>
      </c>
      <c r="E5" s="215">
        <v>227</v>
      </c>
      <c r="G5" s="182" t="e">
        <f ca="1"/>
        <v>#NAME?</v>
      </c>
      <c r="H5" s="613" t="e">
        <f ca="1"/>
        <v>#NAME?</v>
      </c>
      <c r="I5" s="613" t="e">
        <f ca="1"/>
        <v>#NAME?</v>
      </c>
      <c r="J5" s="43" t="e">
        <f ca="1"/>
        <v>#NAME?</v>
      </c>
      <c r="L5" s="183" t="e">
        <f ca="1"/>
        <v>#NAME?</v>
      </c>
      <c r="M5" s="7"/>
      <c r="N5" s="43"/>
      <c r="O5" s="183">
        <f ca="1">SUMIF($L$47:$L$82,L5,$O$47:$O$82)</f>
        <v>1296</v>
      </c>
      <c r="P5" s="7" t="e">
        <f ca="1">IF(O5=0,"",AVERAGEIF($G$3:$G$38,$L5,$J$3:$J$38))</f>
        <v>#NAME?</v>
      </c>
      <c r="Q5" s="43" t="e">
        <f t="array" aca="1" ref="Q5" ca="1">IF(O5&lt;2,"",VAR(IF($G$3:$G$38=$L5,$J$3:$J$38,"")))</f>
        <v>#NAME?</v>
      </c>
      <c r="S5" t="s">
        <v>1413</v>
      </c>
      <c r="T5" t="e">
        <f ca="1">DEVSQ(P4:P6)*O4</f>
        <v>#NAME?</v>
      </c>
      <c r="U5">
        <f ca="1">COUNT(P4:P6)-1</f>
        <v>-1</v>
      </c>
      <c r="V5" t="e">
        <f t="shared" ref="V5:V12" ca="1" si="0">T5/U5</f>
        <v>#NAME?</v>
      </c>
      <c r="AA5" s="7" t="e">
        <f ca="1"/>
        <v>#NAME?</v>
      </c>
      <c r="AB5" s="539">
        <v>1</v>
      </c>
      <c r="AC5" s="7" t="e">
        <f ca="1"/>
        <v>#NAME?</v>
      </c>
      <c r="AD5" s="7">
        <f ca="1"/>
        <v>1296</v>
      </c>
      <c r="AL5" s="354" t="e">
        <f ca="1"/>
        <v>#NAME?</v>
      </c>
      <c r="AM5" s="540">
        <v>-1</v>
      </c>
      <c r="AN5" s="354" t="e">
        <f ca="1"/>
        <v>#NAME?</v>
      </c>
      <c r="AO5" s="354">
        <f ca="1"/>
        <v>1296</v>
      </c>
      <c r="AW5" s="7" t="e">
        <f ca="1"/>
        <v>#NAME?</v>
      </c>
      <c r="AX5" s="539">
        <v>1</v>
      </c>
      <c r="AY5" s="7" t="e">
        <f ca="1"/>
        <v>#NAME?</v>
      </c>
      <c r="AZ5" s="7">
        <f ca="1"/>
        <v>1296</v>
      </c>
      <c r="BH5" s="354" t="e">
        <f ca="1"/>
        <v>#NAME?</v>
      </c>
      <c r="BI5" s="540">
        <v>-1</v>
      </c>
      <c r="BJ5" s="354" t="e">
        <f ca="1"/>
        <v>#NAME?</v>
      </c>
      <c r="BK5" s="354">
        <f ca="1"/>
        <v>1296</v>
      </c>
    </row>
    <row r="6" spans="1:69" x14ac:dyDescent="0.25">
      <c r="A6" s="612">
        <v>620</v>
      </c>
      <c r="B6" s="214">
        <v>175</v>
      </c>
      <c r="C6" s="7">
        <v>152</v>
      </c>
      <c r="D6" s="7">
        <v>155</v>
      </c>
      <c r="E6" s="215">
        <v>156</v>
      </c>
      <c r="G6" s="182" t="e">
        <f ca="1"/>
        <v>#NAME?</v>
      </c>
      <c r="H6" s="613" t="e">
        <f ca="1"/>
        <v>#NAME?</v>
      </c>
      <c r="I6" s="613" t="e">
        <f ca="1"/>
        <v>#NAME?</v>
      </c>
      <c r="J6" s="43" t="e">
        <f ca="1"/>
        <v>#NAME?</v>
      </c>
      <c r="L6" s="183" t="e">
        <f ca="1"/>
        <v>#NAME?</v>
      </c>
      <c r="M6" s="7"/>
      <c r="N6" s="43"/>
      <c r="O6" s="183">
        <f ca="1">SUMIF($L$47:$L$82,L6,$O$47:$O$82)</f>
        <v>1296</v>
      </c>
      <c r="P6" s="7" t="e">
        <f ca="1">IF(O6=0,"",AVERAGEIF($G$3:$G$38,$L6,$J$3:$J$38))</f>
        <v>#NAME?</v>
      </c>
      <c r="Q6" s="43" t="e">
        <f t="array" aca="1" ref="Q6" ca="1">IF(O6&lt;2,"",VAR(IF($G$3:$G$38=$L6,$J$3:$J$38,"")))</f>
        <v>#NAME?</v>
      </c>
      <c r="S6" t="s">
        <v>1414</v>
      </c>
      <c r="T6" t="e">
        <f ca="1">DEVSQ(P10:P13)*O10</f>
        <v>#NAME?</v>
      </c>
      <c r="U6">
        <f ca="1">COUNT(P10:P13)-1</f>
        <v>-1</v>
      </c>
      <c r="V6" t="e">
        <f t="shared" ca="1" si="0"/>
        <v>#NAME?</v>
      </c>
      <c r="W6" t="e">
        <f ca="1">V6/V7</f>
        <v>#NAME?</v>
      </c>
      <c r="X6" t="e">
        <f ca="1">FDIST(W6,U6,U7)</f>
        <v>#NAME?</v>
      </c>
      <c r="Y6" s="612" t="e">
        <f ca="1">IF(X6&lt;X3,"yes","no")</f>
        <v>#NAME?</v>
      </c>
      <c r="AA6" s="354" t="e">
        <f ca="1"/>
        <v>#NAME?</v>
      </c>
      <c r="AB6" s="540"/>
      <c r="AC6" s="354" t="e">
        <f ca="1"/>
        <v>#NAME?</v>
      </c>
      <c r="AD6" s="354">
        <f ca="1"/>
        <v>1296</v>
      </c>
      <c r="AM6">
        <f>SUM(AM3:AM5)</f>
        <v>0</v>
      </c>
      <c r="AN6" t="e">
        <f ca="1">SUMPRODUCT(AM3:AM5,AN3:AN5)</f>
        <v>#NAME?</v>
      </c>
      <c r="AO6">
        <f ca="1">HARMEAN(AO3:AO5)</f>
        <v>1296</v>
      </c>
      <c r="AW6" s="354" t="e">
        <f ca="1"/>
        <v>#NAME?</v>
      </c>
      <c r="AX6" s="540"/>
      <c r="AY6" s="354" t="e">
        <f ca="1"/>
        <v>#NAME?</v>
      </c>
      <c r="AZ6" s="354">
        <f ca="1"/>
        <v>1296</v>
      </c>
      <c r="BI6">
        <f>SUM(BI3:BI5)</f>
        <v>0</v>
      </c>
      <c r="BJ6" t="e">
        <f ca="1">SUMPRODUCT(BI3:BI5,BJ3:BJ5)</f>
        <v>#NAME?</v>
      </c>
      <c r="BK6">
        <f ca="1">HARMEAN(BK3:BK5)</f>
        <v>1296</v>
      </c>
    </row>
    <row r="7" spans="1:69" ht="15.75" thickBot="1" x14ac:dyDescent="0.3">
      <c r="A7" s="612">
        <v>580</v>
      </c>
      <c r="B7" s="646">
        <v>188</v>
      </c>
      <c r="C7" s="387">
        <v>126</v>
      </c>
      <c r="D7" s="387">
        <v>160</v>
      </c>
      <c r="E7" s="647">
        <v>201</v>
      </c>
      <c r="G7" s="182" t="e">
        <f ca="1"/>
        <v>#NAME?</v>
      </c>
      <c r="H7" s="613" t="e">
        <f ca="1"/>
        <v>#NAME?</v>
      </c>
      <c r="I7" s="613" t="e">
        <f ca="1"/>
        <v>#NAME?</v>
      </c>
      <c r="J7" s="43" t="e">
        <f ca="1"/>
        <v>#NAME?</v>
      </c>
      <c r="L7" s="183"/>
      <c r="M7" s="7" t="e">
        <f t="array" aca="1" ref="M7:M9" ca="1">SortUnique(H3:H38)</f>
        <v>#NAME?</v>
      </c>
      <c r="N7" s="43"/>
      <c r="O7" s="183">
        <f ca="1">SUMIF($M$47:$M$82,M7,$O$47:$O$82)</f>
        <v>1296</v>
      </c>
      <c r="P7" s="7" t="e">
        <f ca="1">IF(O7=0,"",AVERAGEIF($H$3:$H$38,$M7,$J$3:$J$38))</f>
        <v>#NAME?</v>
      </c>
      <c r="Q7" s="43" t="e">
        <f t="array" aca="1" ref="Q7" ca="1">IF(O7&lt;2,"",VAR(IF($H$3:$H$38=$M7,$J$3:$J$38,"")))</f>
        <v>#NAME?</v>
      </c>
      <c r="S7" s="354" t="s">
        <v>1424</v>
      </c>
      <c r="T7" s="354" t="e">
        <f ca="1">DEVSQ(P23:P34)*O23-T5-T6</f>
        <v>#NAME?</v>
      </c>
      <c r="U7" s="354">
        <f ca="1">U5*U6</f>
        <v>1</v>
      </c>
      <c r="V7" s="354" t="e">
        <f t="shared" ca="1" si="0"/>
        <v>#NAME?</v>
      </c>
      <c r="W7" s="354"/>
      <c r="X7" s="354"/>
      <c r="Y7" s="354"/>
      <c r="AB7">
        <f>SUM(AB3:AB6)</f>
        <v>0</v>
      </c>
      <c r="AC7" t="e">
        <f ca="1">SUMPRODUCT(AB3:AB6,AC3:AC6)</f>
        <v>#NAME?</v>
      </c>
      <c r="AD7">
        <f ca="1">HARMEAN(AD3:AD6)</f>
        <v>1296</v>
      </c>
      <c r="AL7" t="s">
        <v>46</v>
      </c>
      <c r="AQ7" t="s">
        <v>18</v>
      </c>
      <c r="AR7">
        <v>0.05</v>
      </c>
      <c r="AX7">
        <f>SUM(AX3:AX6)</f>
        <v>0</v>
      </c>
      <c r="AY7" t="e">
        <f ca="1">SUMPRODUCT(AX3:AX6,AY3:AY6)</f>
        <v>#NAME?</v>
      </c>
      <c r="AZ7">
        <f ca="1">HARMEAN(AZ3:AZ6)</f>
        <v>1296</v>
      </c>
      <c r="BH7" t="s">
        <v>801</v>
      </c>
      <c r="BL7" s="612" t="s">
        <v>18</v>
      </c>
      <c r="BM7" s="612">
        <v>0.05</v>
      </c>
    </row>
    <row r="8" spans="1:69" ht="16.5" thickTop="1" thickBot="1" x14ac:dyDescent="0.3">
      <c r="A8" s="612">
        <v>600</v>
      </c>
      <c r="B8" s="214">
        <v>201</v>
      </c>
      <c r="C8" s="7">
        <v>130</v>
      </c>
      <c r="D8" s="7">
        <v>170</v>
      </c>
      <c r="E8" s="215">
        <v>181</v>
      </c>
      <c r="G8" s="182" t="e">
        <f ca="1"/>
        <v>#NAME?</v>
      </c>
      <c r="H8" s="613" t="e">
        <f ca="1"/>
        <v>#NAME?</v>
      </c>
      <c r="I8" s="613" t="e">
        <f ca="1"/>
        <v>#NAME?</v>
      </c>
      <c r="J8" s="43" t="e">
        <f ca="1"/>
        <v>#NAME?</v>
      </c>
      <c r="L8" s="183"/>
      <c r="M8" s="7" t="e">
        <f ca="1"/>
        <v>#NAME?</v>
      </c>
      <c r="N8" s="43"/>
      <c r="O8" s="183">
        <f ca="1">SUMIF($M$47:$M$82,M8,$O$47:$O$82)</f>
        <v>1296</v>
      </c>
      <c r="P8" s="7" t="e">
        <f ca="1">IF(O8=0,"",AVERAGEIF($H$3:$H$38,$M8,$J$3:$J$38))</f>
        <v>#NAME?</v>
      </c>
      <c r="Q8" s="43" t="e">
        <f t="array" aca="1" ref="Q8" ca="1">IF(O8&lt;2,"",VAR(IF($H$3:$H$38=$M8,$J$3:$J$38,"")))</f>
        <v>#NAME?</v>
      </c>
      <c r="S8" t="s">
        <v>1416</v>
      </c>
      <c r="T8" t="e">
        <f ca="1">DEVSQ(P7:P9)*O7</f>
        <v>#NAME?</v>
      </c>
      <c r="U8">
        <f ca="1">COUNT(P7:P9)-1</f>
        <v>-1</v>
      </c>
      <c r="V8" t="e">
        <f t="shared" ca="1" si="0"/>
        <v>#NAME?</v>
      </c>
      <c r="W8" t="e">
        <f ca="1">V8/V9</f>
        <v>#NAME?</v>
      </c>
      <c r="X8" t="e">
        <f ca="1">FDIST(W8,U8,U9)</f>
        <v>#NAME?</v>
      </c>
      <c r="Y8" s="612" t="e">
        <f ca="1">IF(X8&lt;X3,"yes","no")</f>
        <v>#NAME?</v>
      </c>
      <c r="AA8" t="s">
        <v>46</v>
      </c>
      <c r="AF8" t="s">
        <v>18</v>
      </c>
      <c r="AG8">
        <v>0.05</v>
      </c>
      <c r="AL8" s="386" t="s">
        <v>390</v>
      </c>
      <c r="AM8" s="386" t="s">
        <v>60</v>
      </c>
      <c r="AN8" s="386" t="s">
        <v>41</v>
      </c>
      <c r="AO8" s="386" t="s">
        <v>48</v>
      </c>
      <c r="AP8" s="386" t="s">
        <v>49</v>
      </c>
      <c r="AQ8" s="386" t="s">
        <v>15</v>
      </c>
      <c r="AR8" s="386" t="s">
        <v>16</v>
      </c>
      <c r="AS8" s="386" t="s">
        <v>164</v>
      </c>
      <c r="AT8" s="386" t="s">
        <v>45</v>
      </c>
      <c r="AU8" s="386" t="s">
        <v>399</v>
      </c>
      <c r="AW8" t="s">
        <v>801</v>
      </c>
      <c r="BA8" s="612" t="s">
        <v>18</v>
      </c>
      <c r="BB8" s="612">
        <v>0.05</v>
      </c>
      <c r="BH8" s="386" t="s">
        <v>390</v>
      </c>
      <c r="BI8" s="386" t="s">
        <v>800</v>
      </c>
      <c r="BJ8" s="386" t="s">
        <v>41</v>
      </c>
      <c r="BK8" s="386" t="s">
        <v>166</v>
      </c>
      <c r="BL8" s="386" t="s">
        <v>15</v>
      </c>
      <c r="BM8" s="386" t="s">
        <v>16</v>
      </c>
      <c r="BN8" s="386" t="s">
        <v>48</v>
      </c>
      <c r="BO8" s="386" t="s">
        <v>75</v>
      </c>
      <c r="BP8" s="386" t="s">
        <v>45</v>
      </c>
      <c r="BQ8" s="386" t="s">
        <v>399</v>
      </c>
    </row>
    <row r="9" spans="1:69" ht="15.75" thickTop="1" x14ac:dyDescent="0.25">
      <c r="A9" s="612">
        <v>620</v>
      </c>
      <c r="B9" s="112">
        <v>195</v>
      </c>
      <c r="C9" s="354">
        <v>147</v>
      </c>
      <c r="D9" s="354">
        <v>161</v>
      </c>
      <c r="E9" s="120">
        <v>172</v>
      </c>
      <c r="G9" s="182" t="e">
        <f ca="1"/>
        <v>#NAME?</v>
      </c>
      <c r="H9" s="613" t="e">
        <f ca="1"/>
        <v>#NAME?</v>
      </c>
      <c r="I9" s="613" t="e">
        <f ca="1"/>
        <v>#NAME?</v>
      </c>
      <c r="J9" s="43" t="e">
        <f ca="1"/>
        <v>#NAME?</v>
      </c>
      <c r="L9" s="183"/>
      <c r="M9" s="7" t="e">
        <f ca="1"/>
        <v>#NAME?</v>
      </c>
      <c r="N9" s="43"/>
      <c r="O9" s="183">
        <f ca="1">SUMIF($M$47:$M$82,M9,$O$47:$O$82)</f>
        <v>1296</v>
      </c>
      <c r="P9" s="7" t="e">
        <f ca="1">IF(O9=0,"",AVERAGEIF($H$3:$H$38,$M9,$J$3:$J$38))</f>
        <v>#NAME?</v>
      </c>
      <c r="Q9" s="43" t="e">
        <f t="array" aca="1" ref="Q9" ca="1">IF(O9&lt;2,"",VAR(IF($H$3:$H$38=$M9,$J$3:$J$38,"")))</f>
        <v>#NAME?</v>
      </c>
      <c r="S9" t="s">
        <v>1426</v>
      </c>
      <c r="T9" t="e">
        <f ca="1">DEVSQ(P14:P22)*O14-T5-T8</f>
        <v>#NAME?</v>
      </c>
      <c r="U9">
        <f ca="1">U5*U8</f>
        <v>1</v>
      </c>
      <c r="V9" t="e">
        <f t="shared" ca="1" si="0"/>
        <v>#NAME?</v>
      </c>
      <c r="AA9" s="386" t="s">
        <v>390</v>
      </c>
      <c r="AB9" s="386" t="s">
        <v>60</v>
      </c>
      <c r="AC9" s="386" t="s">
        <v>41</v>
      </c>
      <c r="AD9" s="386" t="s">
        <v>48</v>
      </c>
      <c r="AE9" s="386" t="s">
        <v>49</v>
      </c>
      <c r="AF9" s="386" t="s">
        <v>15</v>
      </c>
      <c r="AG9" s="386" t="s">
        <v>16</v>
      </c>
      <c r="AH9" s="386" t="s">
        <v>164</v>
      </c>
      <c r="AI9" s="386" t="s">
        <v>45</v>
      </c>
      <c r="AJ9" s="386" t="s">
        <v>399</v>
      </c>
      <c r="AL9" s="663" t="e">
        <f ca="1">SQRT(V9*SUMPRODUCT(AM3:AM5^2,1/AO3:AO5))</f>
        <v>#NAME?</v>
      </c>
      <c r="AM9" s="663" t="e">
        <f ca="1">AN6/AL9</f>
        <v>#NAME?</v>
      </c>
      <c r="AN9" s="663">
        <f ca="1">U9</f>
        <v>1</v>
      </c>
      <c r="AO9" s="663" t="e">
        <f ca="1">TDIST(ABS(AM9),AN9,2)</f>
        <v>#NAME?</v>
      </c>
      <c r="AP9" s="663">
        <f ca="1">TINV(AR7,AN9)</f>
        <v>12.706204736174707</v>
      </c>
      <c r="AQ9" s="663" t="e">
        <f ca="1">AN6-AL9*AP9</f>
        <v>#NAME?</v>
      </c>
      <c r="AR9" s="663" t="e">
        <f ca="1">AN6+AL9*AP9</f>
        <v>#NAME?</v>
      </c>
      <c r="AS9" s="196" t="e">
        <f ca="1">IF(AO9&lt;AR7,"yes","no")</f>
        <v>#NAME?</v>
      </c>
      <c r="AT9" s="663" t="e">
        <f ca="1">ABS(AN6)/SQRT(V9)</f>
        <v>#NAME?</v>
      </c>
      <c r="AU9" s="663" t="e">
        <f ca="1">SQRT(AM9^2/(AM9^2+AN9))</f>
        <v>#NAME?</v>
      </c>
      <c r="AW9" s="386" t="s">
        <v>390</v>
      </c>
      <c r="AX9" s="386" t="s">
        <v>800</v>
      </c>
      <c r="AY9" s="386" t="s">
        <v>41</v>
      </c>
      <c r="AZ9" s="386" t="s">
        <v>166</v>
      </c>
      <c r="BA9" s="386" t="s">
        <v>15</v>
      </c>
      <c r="BB9" s="386" t="s">
        <v>16</v>
      </c>
      <c r="BC9" s="386" t="s">
        <v>48</v>
      </c>
      <c r="BD9" s="386" t="s">
        <v>75</v>
      </c>
      <c r="BE9" s="386" t="s">
        <v>45</v>
      </c>
      <c r="BF9" s="386" t="s">
        <v>399</v>
      </c>
      <c r="BH9" s="663" t="e">
        <f ca="1">SQRT(V9/BK6)</f>
        <v>#NAME?</v>
      </c>
      <c r="BI9" s="663" t="e">
        <f ca="1">BJ6/BH9</f>
        <v>#NAME?</v>
      </c>
      <c r="BJ9" s="663">
        <f ca="1">U9</f>
        <v>1</v>
      </c>
      <c r="BK9" s="663" t="e">
        <f ca="1">QCRIT(COUNTA(BH3:BH5),BJ9,BM7,2)</f>
        <v>#NAME?</v>
      </c>
      <c r="BL9" s="663" t="e">
        <f ca="1">BJ6-BH9*BK9</f>
        <v>#NAME?</v>
      </c>
      <c r="BM9" s="663" t="e">
        <f ca="1">BJ6+BH9*BK9</f>
        <v>#NAME?</v>
      </c>
      <c r="BN9" s="663" t="e">
        <f ca="1">QDIST(ABS(BI9),COUNTA(BH3:BH5),BJ9)</f>
        <v>#NAME?</v>
      </c>
      <c r="BO9" s="663" t="e">
        <f ca="1">BH9*BK9</f>
        <v>#NAME?</v>
      </c>
      <c r="BP9" s="663" t="e">
        <f ca="1">ABS(BJ6)/SQRT(V9)</f>
        <v>#NAME?</v>
      </c>
      <c r="BQ9" s="663" t="e">
        <f ca="1">SQRT(BI9^2/(BI9^2+BJ9))</f>
        <v>#NAME?</v>
      </c>
    </row>
    <row r="10" spans="1:69" x14ac:dyDescent="0.25">
      <c r="A10" s="612">
        <v>580</v>
      </c>
      <c r="B10" s="214">
        <v>162</v>
      </c>
      <c r="C10" s="7">
        <v>122</v>
      </c>
      <c r="D10" s="7">
        <v>167</v>
      </c>
      <c r="E10" s="215">
        <v>182</v>
      </c>
      <c r="G10" s="182" t="e">
        <f ca="1"/>
        <v>#NAME?</v>
      </c>
      <c r="H10" s="613" t="e">
        <f ca="1"/>
        <v>#NAME?</v>
      </c>
      <c r="I10" s="613" t="e">
        <f ca="1"/>
        <v>#NAME?</v>
      </c>
      <c r="J10" s="43" t="e">
        <f ca="1"/>
        <v>#NAME?</v>
      </c>
      <c r="L10" s="183"/>
      <c r="M10" s="7"/>
      <c r="N10" s="43" t="e">
        <f t="array" aca="1" ref="N10:N13" ca="1">SortUnique(I3:I38)</f>
        <v>#NAME?</v>
      </c>
      <c r="O10" s="183">
        <f ca="1">SUMIF($N$47:$N$82,N10,$O$47:$O$82)</f>
        <v>1296</v>
      </c>
      <c r="P10" s="7" t="e">
        <f ca="1">IF(O10=0,"",AVERAGEIF($I$3:$I$38,$N10,$J$3:$J$38))</f>
        <v>#NAME?</v>
      </c>
      <c r="Q10" s="43" t="e">
        <f t="array" aca="1" ref="Q10" ca="1">IF(O10&lt;2,"",VAR(IF($I$3:$I$38=$N10,$J$3:$J$38,"")))</f>
        <v>#NAME?</v>
      </c>
      <c r="S10" t="s">
        <v>1417</v>
      </c>
      <c r="T10" t="e">
        <f ca="1">DEVSQ(P35:P46)*O35-T6-T8</f>
        <v>#NAME?</v>
      </c>
      <c r="U10">
        <f ca="1">U6*U8</f>
        <v>1</v>
      </c>
      <c r="V10" t="e">
        <f t="shared" ca="1" si="0"/>
        <v>#NAME?</v>
      </c>
      <c r="W10" t="e">
        <f ca="1">V10/V11</f>
        <v>#NAME?</v>
      </c>
      <c r="X10" t="e">
        <f ca="1">FDIST(W10,U10,U11)</f>
        <v>#NAME?</v>
      </c>
      <c r="Y10" s="612" t="e">
        <f ca="1">IF(X10&lt;X3,"yes","no")</f>
        <v>#NAME?</v>
      </c>
      <c r="AA10" s="663" t="e">
        <f ca="1">SQRT(V7*SUMPRODUCT(AB3:AB6^2,1/AD3:AD6))</f>
        <v>#NAME?</v>
      </c>
      <c r="AB10" s="663" t="e">
        <f ca="1">AC7/AA10</f>
        <v>#NAME?</v>
      </c>
      <c r="AC10" s="663">
        <f ca="1">U7</f>
        <v>1</v>
      </c>
      <c r="AD10" s="663" t="e">
        <f ca="1">TDIST(ABS(AB10),AC10,2)</f>
        <v>#NAME?</v>
      </c>
      <c r="AE10" s="663">
        <f ca="1">TINV(AG8,AC10)</f>
        <v>12.706204736174707</v>
      </c>
      <c r="AF10" s="663" t="e">
        <f ca="1">AC7-AA10*AE10</f>
        <v>#NAME?</v>
      </c>
      <c r="AG10" s="663" t="e">
        <f ca="1">AC7+AA10*AE10</f>
        <v>#NAME?</v>
      </c>
      <c r="AH10" s="196" t="e">
        <f ca="1">IF(AD10&lt;AG8,"yes","no")</f>
        <v>#NAME?</v>
      </c>
      <c r="AI10" s="663" t="e">
        <f ca="1">ABS(AC7)/SQRT(V7)</f>
        <v>#NAME?</v>
      </c>
      <c r="AJ10" s="663" t="e">
        <f ca="1">SQRT(AB10^2/(AB10^2+AC10))</f>
        <v>#NAME?</v>
      </c>
      <c r="AW10" s="663" t="e">
        <f ca="1">SQRT(V7/AZ7)</f>
        <v>#NAME?</v>
      </c>
      <c r="AX10" s="663" t="e">
        <f ca="1">AY7/AW10</f>
        <v>#NAME?</v>
      </c>
      <c r="AY10" s="663">
        <f ca="1">U7</f>
        <v>1</v>
      </c>
      <c r="AZ10" s="663" t="e">
        <f ca="1">QCRIT(COUNTA(AW3:AW6),AY10,BB8,2)</f>
        <v>#NAME?</v>
      </c>
      <c r="BA10" s="663" t="e">
        <f ca="1">AY7-AW10*AZ10</f>
        <v>#NAME?</v>
      </c>
      <c r="BB10" s="663" t="e">
        <f ca="1">AY7+AW10*AZ10</f>
        <v>#NAME?</v>
      </c>
      <c r="BC10" s="663" t="e">
        <f ca="1">QDIST(ABS(AX10),COUNTA(AW3:AW6),AY10)</f>
        <v>#NAME?</v>
      </c>
      <c r="BD10" s="663" t="e">
        <f ca="1">AW10*AZ10</f>
        <v>#NAME?</v>
      </c>
      <c r="BE10" s="663" t="e">
        <f ca="1">ABS(AY7)/SQRT(V7)</f>
        <v>#NAME?</v>
      </c>
      <c r="BF10" s="663" t="e">
        <f ca="1">SQRT(AX10^2/(AX10^2+AY10))</f>
        <v>#NAME?</v>
      </c>
    </row>
    <row r="11" spans="1:69" x14ac:dyDescent="0.25">
      <c r="A11" s="612">
        <v>600</v>
      </c>
      <c r="B11" s="214">
        <v>170</v>
      </c>
      <c r="C11" s="7">
        <v>185</v>
      </c>
      <c r="D11" s="7">
        <v>181</v>
      </c>
      <c r="E11" s="215">
        <v>201</v>
      </c>
      <c r="G11" s="182" t="e">
        <f ca="1"/>
        <v>#NAME?</v>
      </c>
      <c r="H11" s="613" t="e">
        <f ca="1"/>
        <v>#NAME?</v>
      </c>
      <c r="I11" s="613" t="e">
        <f ca="1"/>
        <v>#NAME?</v>
      </c>
      <c r="J11" s="43" t="e">
        <f ca="1"/>
        <v>#NAME?</v>
      </c>
      <c r="L11" s="183"/>
      <c r="M11" s="7"/>
      <c r="N11" s="43" t="e">
        <f ca="1"/>
        <v>#NAME?</v>
      </c>
      <c r="O11" s="183">
        <f ca="1">SUMIF($N$47:$N$82,N11,$O$47:$O$82)</f>
        <v>1296</v>
      </c>
      <c r="P11" s="7" t="e">
        <f ca="1">IF(O11=0,"",AVERAGEIF($I$3:$I$38,$N11,$J$3:$J$38))</f>
        <v>#NAME?</v>
      </c>
      <c r="Q11" s="43" t="e">
        <f t="array" aca="1" ref="Q11" ca="1">IF(O11&lt;2,"",VAR(IF($I$3:$I$38=$N11,$J$3:$J$38,"")))</f>
        <v>#NAME?</v>
      </c>
      <c r="S11" t="s">
        <v>1418</v>
      </c>
      <c r="T11" t="e">
        <f ca="1">T12-SUM(T5:T10)</f>
        <v>#NAME?</v>
      </c>
      <c r="U11">
        <f ca="1">U12-SUM(U5:U10)</f>
        <v>1295</v>
      </c>
      <c r="V11" t="e">
        <f t="shared" ca="1" si="0"/>
        <v>#NAME?</v>
      </c>
    </row>
    <row r="12" spans="1:69" x14ac:dyDescent="0.25">
      <c r="A12" s="612">
        <v>620</v>
      </c>
      <c r="B12" s="112">
        <v>213</v>
      </c>
      <c r="C12" s="354">
        <v>180</v>
      </c>
      <c r="D12" s="354">
        <v>182</v>
      </c>
      <c r="E12" s="120">
        <v>199</v>
      </c>
      <c r="G12" s="182" t="e">
        <f ca="1"/>
        <v>#NAME?</v>
      </c>
      <c r="H12" s="613" t="e">
        <f ca="1"/>
        <v>#NAME?</v>
      </c>
      <c r="I12" s="613" t="e">
        <f ca="1"/>
        <v>#NAME?</v>
      </c>
      <c r="J12" s="43" t="e">
        <f ca="1"/>
        <v>#NAME?</v>
      </c>
      <c r="L12" s="183"/>
      <c r="M12" s="7"/>
      <c r="N12" s="43" t="e">
        <f ca="1"/>
        <v>#NAME?</v>
      </c>
      <c r="O12" s="183">
        <f ca="1">SUMIF($N$47:$N$82,N12,$O$47:$O$82)</f>
        <v>1296</v>
      </c>
      <c r="P12" s="7" t="e">
        <f ca="1">IF(O12=0,"",AVERAGEIF($I$3:$I$38,$N12,$J$3:$J$38))</f>
        <v>#NAME?</v>
      </c>
      <c r="Q12" s="43" t="e">
        <f t="array" aca="1" ref="Q12" ca="1">IF(O12&lt;2,"",VAR(IF($I$3:$I$38=$N12,$J$3:$J$38,"")))</f>
        <v>#NAME?</v>
      </c>
      <c r="S12" s="354" t="s">
        <v>1</v>
      </c>
      <c r="T12" s="354" t="e">
        <f ca="1">Q83*U12</f>
        <v>#NAME?</v>
      </c>
      <c r="U12" s="354">
        <f ca="1">O83-1</f>
        <v>1295</v>
      </c>
      <c r="V12" s="354" t="e">
        <f t="shared" ca="1" si="0"/>
        <v>#NAME?</v>
      </c>
      <c r="W12" s="354"/>
      <c r="X12" s="354"/>
      <c r="Y12" s="354"/>
    </row>
    <row r="13" spans="1:69" x14ac:dyDescent="0.25">
      <c r="G13" s="182" t="e">
        <f ca="1"/>
        <v>#NAME?</v>
      </c>
      <c r="H13" s="613" t="e">
        <f ca="1"/>
        <v>#NAME?</v>
      </c>
      <c r="I13" s="613" t="e">
        <f ca="1"/>
        <v>#NAME?</v>
      </c>
      <c r="J13" s="43" t="e">
        <f ca="1"/>
        <v>#NAME?</v>
      </c>
      <c r="L13" s="351"/>
      <c r="M13" s="352"/>
      <c r="N13" s="353" t="e">
        <f ca="1"/>
        <v>#NAME?</v>
      </c>
      <c r="O13" s="351">
        <f ca="1">SUMIF($N$47:$N$82,N13,$O$47:$O$82)</f>
        <v>1296</v>
      </c>
      <c r="P13" s="352" t="e">
        <f ca="1">IF(O13=0,"",AVERAGEIF($I$3:$I$38,$N13,$J$3:$J$38))</f>
        <v>#NAME?</v>
      </c>
      <c r="Q13" s="353" t="e">
        <f t="array" aca="1" ref="Q13" ca="1">IF(O13&lt;2,"",VAR(IF($I$3:$I$38=$N13,$J$3:$J$38,"")))</f>
        <v>#NAME?</v>
      </c>
    </row>
    <row r="14" spans="1:69" x14ac:dyDescent="0.25">
      <c r="G14" s="182" t="e">
        <f ca="1"/>
        <v>#NAME?</v>
      </c>
      <c r="H14" s="613" t="e">
        <f ca="1"/>
        <v>#NAME?</v>
      </c>
      <c r="I14" s="613" t="e">
        <f ca="1"/>
        <v>#NAME?</v>
      </c>
      <c r="J14" s="43" t="e">
        <f ca="1"/>
        <v>#NAME?</v>
      </c>
      <c r="L14" s="550" t="e">
        <f ca="1">$L$4</f>
        <v>#NAME?</v>
      </c>
      <c r="M14" s="556" t="e">
        <f ca="1">$M7</f>
        <v>#NAME?</v>
      </c>
      <c r="N14" s="557"/>
      <c r="O14" s="550">
        <f ca="1">SUMIFS($O$47:$O$82,$L$47:$L$82,L14,$M$47:$M$82,M14)</f>
        <v>1296</v>
      </c>
      <c r="P14" s="556" t="e">
        <f ca="1">IF(O14=0,"",AVERAGEIFS($J$3:$J$38,$G$3:$G$38,$L14,$H$3:$H$38,$M14))</f>
        <v>#NAME?</v>
      </c>
      <c r="Q14" s="557" t="e">
        <f t="array" aca="1" ref="Q14" ca="1">IF(O14&lt;2,"",VAR(IF($G$3:$G$38=$L14,IF($H$3:$H$38=$M14,$J$3:$J$38,""))))</f>
        <v>#NAME?</v>
      </c>
    </row>
    <row r="15" spans="1:69" x14ac:dyDescent="0.25">
      <c r="G15" s="182" t="e">
        <f ca="1"/>
        <v>#NAME?</v>
      </c>
      <c r="H15" s="613" t="e">
        <f ca="1"/>
        <v>#NAME?</v>
      </c>
      <c r="I15" s="613" t="e">
        <f ca="1"/>
        <v>#NAME?</v>
      </c>
      <c r="J15" s="43" t="e">
        <f ca="1"/>
        <v>#NAME?</v>
      </c>
      <c r="L15" s="183" t="e">
        <f ca="1">$L$4</f>
        <v>#NAME?</v>
      </c>
      <c r="M15" s="7" t="e">
        <f ca="1">$M8</f>
        <v>#NAME?</v>
      </c>
      <c r="N15" s="43"/>
      <c r="O15" s="183">
        <f t="shared" ref="O15:O22" ca="1" si="1">SUMIFS($O$47:$O$82,$L$47:$L$82,L15,$M$47:$M$82,M15)</f>
        <v>1296</v>
      </c>
      <c r="P15" s="7" t="e">
        <f t="shared" ref="P15:P22" ca="1" si="2">IF(O15=0,"",AVERAGEIFS($J$3:$J$38,$G$3:$G$38,$L15,$H$3:$H$38,$M15))</f>
        <v>#NAME?</v>
      </c>
      <c r="Q15" s="43" t="e">
        <f t="array" aca="1" ref="Q15" ca="1">IF(O15&lt;2,"",VAR(IF($G$3:$G$38=$L15,IF($H$3:$H$38=$M15,$J$3:$J$38,""))))</f>
        <v>#NAME?</v>
      </c>
    </row>
    <row r="16" spans="1:69" x14ac:dyDescent="0.25">
      <c r="G16" s="182" t="e">
        <f ca="1"/>
        <v>#NAME?</v>
      </c>
      <c r="H16" s="613" t="e">
        <f ca="1"/>
        <v>#NAME?</v>
      </c>
      <c r="I16" s="613" t="e">
        <f ca="1"/>
        <v>#NAME?</v>
      </c>
      <c r="J16" s="43" t="e">
        <f ca="1"/>
        <v>#NAME?</v>
      </c>
      <c r="L16" s="183" t="e">
        <f ca="1">$L$4</f>
        <v>#NAME?</v>
      </c>
      <c r="M16" s="7" t="e">
        <f ca="1">$M9</f>
        <v>#NAME?</v>
      </c>
      <c r="N16" s="43"/>
      <c r="O16" s="183">
        <f t="shared" ca="1" si="1"/>
        <v>1296</v>
      </c>
      <c r="P16" s="7" t="e">
        <f t="shared" ca="1" si="2"/>
        <v>#NAME?</v>
      </c>
      <c r="Q16" s="43" t="e">
        <f t="array" aca="1" ref="Q16" ca="1">IF(O16&lt;2,"",VAR(IF($G$3:$G$38=$L16,IF($H$3:$H$38=$M16,$J$3:$J$38,""))))</f>
        <v>#NAME?</v>
      </c>
    </row>
    <row r="17" spans="7:17" x14ac:dyDescent="0.25">
      <c r="G17" s="182" t="e">
        <f ca="1"/>
        <v>#NAME?</v>
      </c>
      <c r="H17" s="613" t="e">
        <f ca="1"/>
        <v>#NAME?</v>
      </c>
      <c r="I17" s="613" t="e">
        <f ca="1"/>
        <v>#NAME?</v>
      </c>
      <c r="J17" s="43" t="e">
        <f ca="1"/>
        <v>#NAME?</v>
      </c>
      <c r="L17" s="183" t="e">
        <f ca="1">$L$5</f>
        <v>#NAME?</v>
      </c>
      <c r="M17" s="7" t="e">
        <f ca="1">$M7</f>
        <v>#NAME?</v>
      </c>
      <c r="N17" s="43"/>
      <c r="O17" s="183">
        <f t="shared" ca="1" si="1"/>
        <v>1296</v>
      </c>
      <c r="P17" s="7" t="e">
        <f t="shared" ca="1" si="2"/>
        <v>#NAME?</v>
      </c>
      <c r="Q17" s="43" t="e">
        <f t="array" aca="1" ref="Q17" ca="1">IF(O17&lt;2,"",VAR(IF($G$3:$G$38=$L17,IF($H$3:$H$38=$M17,$J$3:$J$38,""))))</f>
        <v>#NAME?</v>
      </c>
    </row>
    <row r="18" spans="7:17" x14ac:dyDescent="0.25">
      <c r="G18" s="182" t="e">
        <f ca="1"/>
        <v>#NAME?</v>
      </c>
      <c r="H18" s="613" t="e">
        <f ca="1"/>
        <v>#NAME?</v>
      </c>
      <c r="I18" s="613" t="e">
        <f ca="1"/>
        <v>#NAME?</v>
      </c>
      <c r="J18" s="43" t="e">
        <f ca="1"/>
        <v>#NAME?</v>
      </c>
      <c r="L18" s="183" t="e">
        <f ca="1">$L$5</f>
        <v>#NAME?</v>
      </c>
      <c r="M18" s="7" t="e">
        <f ca="1">$M8</f>
        <v>#NAME?</v>
      </c>
      <c r="N18" s="43"/>
      <c r="O18" s="183">
        <f t="shared" ca="1" si="1"/>
        <v>1296</v>
      </c>
      <c r="P18" s="7" t="e">
        <f t="shared" ca="1" si="2"/>
        <v>#NAME?</v>
      </c>
      <c r="Q18" s="43" t="e">
        <f t="array" aca="1" ref="Q18" ca="1">IF(O18&lt;2,"",VAR(IF($G$3:$G$38=$L18,IF($H$3:$H$38=$M18,$J$3:$J$38,""))))</f>
        <v>#NAME?</v>
      </c>
    </row>
    <row r="19" spans="7:17" x14ac:dyDescent="0.25">
      <c r="G19" s="182" t="e">
        <f ca="1"/>
        <v>#NAME?</v>
      </c>
      <c r="H19" s="613" t="e">
        <f ca="1"/>
        <v>#NAME?</v>
      </c>
      <c r="I19" s="613" t="e">
        <f ca="1"/>
        <v>#NAME?</v>
      </c>
      <c r="J19" s="43" t="e">
        <f ca="1"/>
        <v>#NAME?</v>
      </c>
      <c r="L19" s="183" t="e">
        <f ca="1">$L$5</f>
        <v>#NAME?</v>
      </c>
      <c r="M19" s="7" t="e">
        <f ca="1">$M9</f>
        <v>#NAME?</v>
      </c>
      <c r="N19" s="43"/>
      <c r="O19" s="183">
        <f t="shared" ca="1" si="1"/>
        <v>1296</v>
      </c>
      <c r="P19" s="7" t="e">
        <f t="shared" ca="1" si="2"/>
        <v>#NAME?</v>
      </c>
      <c r="Q19" s="43" t="e">
        <f t="array" aca="1" ref="Q19" ca="1">IF(O19&lt;2,"",VAR(IF($G$3:$G$38=$L19,IF($H$3:$H$38=$M19,$J$3:$J$38,""))))</f>
        <v>#NAME?</v>
      </c>
    </row>
    <row r="20" spans="7:17" x14ac:dyDescent="0.25">
      <c r="G20" s="182" t="e">
        <f ca="1"/>
        <v>#NAME?</v>
      </c>
      <c r="H20" s="613" t="e">
        <f ca="1"/>
        <v>#NAME?</v>
      </c>
      <c r="I20" s="613" t="e">
        <f ca="1"/>
        <v>#NAME?</v>
      </c>
      <c r="J20" s="43" t="e">
        <f ca="1"/>
        <v>#NAME?</v>
      </c>
      <c r="L20" s="183" t="e">
        <f ca="1">$L$6</f>
        <v>#NAME?</v>
      </c>
      <c r="M20" s="7" t="e">
        <f ca="1">$M7</f>
        <v>#NAME?</v>
      </c>
      <c r="N20" s="43"/>
      <c r="O20" s="183">
        <f t="shared" ca="1" si="1"/>
        <v>1296</v>
      </c>
      <c r="P20" s="7" t="e">
        <f t="shared" ca="1" si="2"/>
        <v>#NAME?</v>
      </c>
      <c r="Q20" s="43" t="e">
        <f t="array" aca="1" ref="Q20" ca="1">IF(O20&lt;2,"",VAR(IF($G$3:$G$38=$L20,IF($H$3:$H$38=$M20,$J$3:$J$38,""))))</f>
        <v>#NAME?</v>
      </c>
    </row>
    <row r="21" spans="7:17" x14ac:dyDescent="0.25">
      <c r="G21" s="182" t="e">
        <f ca="1"/>
        <v>#NAME?</v>
      </c>
      <c r="H21" s="613" t="e">
        <f ca="1"/>
        <v>#NAME?</v>
      </c>
      <c r="I21" s="613" t="e">
        <f ca="1"/>
        <v>#NAME?</v>
      </c>
      <c r="J21" s="43" t="e">
        <f ca="1"/>
        <v>#NAME?</v>
      </c>
      <c r="L21" s="183" t="e">
        <f ca="1">$L$6</f>
        <v>#NAME?</v>
      </c>
      <c r="M21" s="7" t="e">
        <f ca="1">$M8</f>
        <v>#NAME?</v>
      </c>
      <c r="N21" s="43"/>
      <c r="O21" s="183">
        <f t="shared" ca="1" si="1"/>
        <v>1296</v>
      </c>
      <c r="P21" s="7" t="e">
        <f t="shared" ca="1" si="2"/>
        <v>#NAME?</v>
      </c>
      <c r="Q21" s="43" t="e">
        <f t="array" aca="1" ref="Q21" ca="1">IF(O21&lt;2,"",VAR(IF($G$3:$G$38=$L21,IF($H$3:$H$38=$M21,$J$3:$J$38,""))))</f>
        <v>#NAME?</v>
      </c>
    </row>
    <row r="22" spans="7:17" x14ac:dyDescent="0.25">
      <c r="G22" s="182" t="e">
        <f ca="1"/>
        <v>#NAME?</v>
      </c>
      <c r="H22" s="613" t="e">
        <f ca="1"/>
        <v>#NAME?</v>
      </c>
      <c r="I22" s="613" t="e">
        <f ca="1"/>
        <v>#NAME?</v>
      </c>
      <c r="J22" s="43" t="e">
        <f ca="1"/>
        <v>#NAME?</v>
      </c>
      <c r="L22" s="351" t="e">
        <f ca="1">$L$6</f>
        <v>#NAME?</v>
      </c>
      <c r="M22" s="352" t="e">
        <f ca="1">$M9</f>
        <v>#NAME?</v>
      </c>
      <c r="N22" s="353"/>
      <c r="O22" s="351">
        <f t="shared" ca="1" si="1"/>
        <v>1296</v>
      </c>
      <c r="P22" s="352" t="e">
        <f t="shared" ca="1" si="2"/>
        <v>#NAME?</v>
      </c>
      <c r="Q22" s="353" t="e">
        <f t="array" aca="1" ref="Q22" ca="1">IF(O22&lt;2,"",VAR(IF($G$3:$G$38=$L22,IF($H$3:$H$38=$M22,$J$3:$J$38,""))))</f>
        <v>#NAME?</v>
      </c>
    </row>
    <row r="23" spans="7:17" x14ac:dyDescent="0.25">
      <c r="G23" s="182" t="e">
        <f ca="1"/>
        <v>#NAME?</v>
      </c>
      <c r="H23" s="613" t="e">
        <f ca="1"/>
        <v>#NAME?</v>
      </c>
      <c r="I23" s="613" t="e">
        <f ca="1"/>
        <v>#NAME?</v>
      </c>
      <c r="J23" s="43" t="e">
        <f ca="1"/>
        <v>#NAME?</v>
      </c>
      <c r="L23" s="550" t="e">
        <f ca="1">$L$4</f>
        <v>#NAME?</v>
      </c>
      <c r="M23" s="556"/>
      <c r="N23" s="557" t="e">
        <f ca="1">$N10</f>
        <v>#NAME?</v>
      </c>
      <c r="O23" s="550">
        <f ca="1">SUMIFS($O$47:$O$82,$L$47:$L$82,L23,$N$47:$N$82,N23)</f>
        <v>1296</v>
      </c>
      <c r="P23" s="556" t="e">
        <f ca="1">IF(O23=0,"",AVERAGEIFS($J$3:$J$38,$G$3:$G$38,$L23,$I$3:$I$38,$N23))</f>
        <v>#NAME?</v>
      </c>
      <c r="Q23" s="557" t="e">
        <f t="array" aca="1" ref="Q23" ca="1">IF(O23&lt;2,"",VAR(IF($G$3:$G$38=$L23,IF($I$3:$I$38=$N23,$J$3:$J$38,""))))</f>
        <v>#NAME?</v>
      </c>
    </row>
    <row r="24" spans="7:17" x14ac:dyDescent="0.25">
      <c r="G24" s="182" t="e">
        <f ca="1"/>
        <v>#NAME?</v>
      </c>
      <c r="H24" s="613" t="e">
        <f ca="1"/>
        <v>#NAME?</v>
      </c>
      <c r="I24" s="613" t="e">
        <f ca="1"/>
        <v>#NAME?</v>
      </c>
      <c r="J24" s="43" t="e">
        <f ca="1"/>
        <v>#NAME?</v>
      </c>
      <c r="L24" s="183" t="e">
        <f ca="1">$L$4</f>
        <v>#NAME?</v>
      </c>
      <c r="M24" s="7"/>
      <c r="N24" s="43" t="e">
        <f ca="1">$N11</f>
        <v>#NAME?</v>
      </c>
      <c r="O24" s="183">
        <f t="shared" ref="O24:O34" ca="1" si="3">SUMIFS($O$47:$O$82,$L$47:$L$82,L24,$N$47:$N$82,N24)</f>
        <v>1296</v>
      </c>
      <c r="P24" s="7" t="e">
        <f t="shared" ref="P24:P34" ca="1" si="4">IF(O24=0,"",AVERAGEIFS($J$3:$J$38,$G$3:$G$38,$L24,$I$3:$I$38,$N24))</f>
        <v>#NAME?</v>
      </c>
      <c r="Q24" s="43" t="e">
        <f t="array" aca="1" ref="Q24" ca="1">IF(O24&lt;2,"",VAR(IF($G$3:$G$38=$L24,IF($I$3:$I$38=$N24,$J$3:$J$38,""))))</f>
        <v>#NAME?</v>
      </c>
    </row>
    <row r="25" spans="7:17" x14ac:dyDescent="0.25">
      <c r="G25" s="182" t="e">
        <f ca="1"/>
        <v>#NAME?</v>
      </c>
      <c r="H25" s="613" t="e">
        <f ca="1"/>
        <v>#NAME?</v>
      </c>
      <c r="I25" s="613" t="e">
        <f ca="1"/>
        <v>#NAME?</v>
      </c>
      <c r="J25" s="43" t="e">
        <f ca="1"/>
        <v>#NAME?</v>
      </c>
      <c r="L25" s="183" t="e">
        <f ca="1">$L$4</f>
        <v>#NAME?</v>
      </c>
      <c r="M25" s="7"/>
      <c r="N25" s="43" t="e">
        <f ca="1">$N12</f>
        <v>#NAME?</v>
      </c>
      <c r="O25" s="183">
        <f t="shared" ca="1" si="3"/>
        <v>1296</v>
      </c>
      <c r="P25" s="7" t="e">
        <f t="shared" ca="1" si="4"/>
        <v>#NAME?</v>
      </c>
      <c r="Q25" s="43" t="e">
        <f t="array" aca="1" ref="Q25" ca="1">IF(O25&lt;2,"",VAR(IF($G$3:$G$38=$L25,IF($I$3:$I$38=$N25,$J$3:$J$38,""))))</f>
        <v>#NAME?</v>
      </c>
    </row>
    <row r="26" spans="7:17" x14ac:dyDescent="0.25">
      <c r="G26" s="182" t="e">
        <f ca="1"/>
        <v>#NAME?</v>
      </c>
      <c r="H26" s="613" t="e">
        <f ca="1"/>
        <v>#NAME?</v>
      </c>
      <c r="I26" s="613" t="e">
        <f ca="1"/>
        <v>#NAME?</v>
      </c>
      <c r="J26" s="43" t="e">
        <f ca="1"/>
        <v>#NAME?</v>
      </c>
      <c r="L26" s="183" t="e">
        <f ca="1">$L$4</f>
        <v>#NAME?</v>
      </c>
      <c r="M26" s="7"/>
      <c r="N26" s="43" t="e">
        <f ca="1">$N13</f>
        <v>#NAME?</v>
      </c>
      <c r="O26" s="183">
        <f t="shared" ca="1" si="3"/>
        <v>1296</v>
      </c>
      <c r="P26" s="7" t="e">
        <f t="shared" ca="1" si="4"/>
        <v>#NAME?</v>
      </c>
      <c r="Q26" s="43" t="e">
        <f t="array" aca="1" ref="Q26" ca="1">IF(O26&lt;2,"",VAR(IF($G$3:$G$38=$L26,IF($I$3:$I$38=$N26,$J$3:$J$38,""))))</f>
        <v>#NAME?</v>
      </c>
    </row>
    <row r="27" spans="7:17" x14ac:dyDescent="0.25">
      <c r="G27" s="182" t="e">
        <f ca="1"/>
        <v>#NAME?</v>
      </c>
      <c r="H27" s="613" t="e">
        <f ca="1"/>
        <v>#NAME?</v>
      </c>
      <c r="I27" s="613" t="e">
        <f ca="1"/>
        <v>#NAME?</v>
      </c>
      <c r="J27" s="43" t="e">
        <f ca="1"/>
        <v>#NAME?</v>
      </c>
      <c r="L27" s="183" t="e">
        <f ca="1">$L$5</f>
        <v>#NAME?</v>
      </c>
      <c r="M27" s="7"/>
      <c r="N27" s="43" t="e">
        <f ca="1">$N10</f>
        <v>#NAME?</v>
      </c>
      <c r="O27" s="183">
        <f t="shared" ca="1" si="3"/>
        <v>1296</v>
      </c>
      <c r="P27" s="7" t="e">
        <f t="shared" ca="1" si="4"/>
        <v>#NAME?</v>
      </c>
      <c r="Q27" s="43" t="e">
        <f t="array" aca="1" ref="Q27" ca="1">IF(O27&lt;2,"",VAR(IF($G$3:$G$38=$L27,IF($I$3:$I$38=$N27,$J$3:$J$38,""))))</f>
        <v>#NAME?</v>
      </c>
    </row>
    <row r="28" spans="7:17" x14ac:dyDescent="0.25">
      <c r="G28" s="182" t="e">
        <f ca="1"/>
        <v>#NAME?</v>
      </c>
      <c r="H28" s="613" t="e">
        <f ca="1"/>
        <v>#NAME?</v>
      </c>
      <c r="I28" s="613" t="e">
        <f ca="1"/>
        <v>#NAME?</v>
      </c>
      <c r="J28" s="43" t="e">
        <f ca="1"/>
        <v>#NAME?</v>
      </c>
      <c r="L28" s="183" t="e">
        <f ca="1">$L$5</f>
        <v>#NAME?</v>
      </c>
      <c r="M28" s="7"/>
      <c r="N28" s="43" t="e">
        <f ca="1">$N11</f>
        <v>#NAME?</v>
      </c>
      <c r="O28" s="183">
        <f t="shared" ca="1" si="3"/>
        <v>1296</v>
      </c>
      <c r="P28" s="7" t="e">
        <f t="shared" ca="1" si="4"/>
        <v>#NAME?</v>
      </c>
      <c r="Q28" s="43" t="e">
        <f t="array" aca="1" ref="Q28" ca="1">IF(O28&lt;2,"",VAR(IF($G$3:$G$38=$L28,IF($I$3:$I$38=$N28,$J$3:$J$38,""))))</f>
        <v>#NAME?</v>
      </c>
    </row>
    <row r="29" spans="7:17" x14ac:dyDescent="0.25">
      <c r="G29" s="182" t="e">
        <f ca="1"/>
        <v>#NAME?</v>
      </c>
      <c r="H29" s="613" t="e">
        <f ca="1"/>
        <v>#NAME?</v>
      </c>
      <c r="I29" s="613" t="e">
        <f ca="1"/>
        <v>#NAME?</v>
      </c>
      <c r="J29" s="43" t="e">
        <f ca="1"/>
        <v>#NAME?</v>
      </c>
      <c r="L29" s="183" t="e">
        <f ca="1">$L$5</f>
        <v>#NAME?</v>
      </c>
      <c r="M29" s="7"/>
      <c r="N29" s="43" t="e">
        <f ca="1">$N12</f>
        <v>#NAME?</v>
      </c>
      <c r="O29" s="183">
        <f t="shared" ca="1" si="3"/>
        <v>1296</v>
      </c>
      <c r="P29" s="7" t="e">
        <f t="shared" ca="1" si="4"/>
        <v>#NAME?</v>
      </c>
      <c r="Q29" s="43" t="e">
        <f t="array" aca="1" ref="Q29" ca="1">IF(O29&lt;2,"",VAR(IF($G$3:$G$38=$L29,IF($I$3:$I$38=$N29,$J$3:$J$38,""))))</f>
        <v>#NAME?</v>
      </c>
    </row>
    <row r="30" spans="7:17" x14ac:dyDescent="0.25">
      <c r="G30" s="182" t="e">
        <f ca="1"/>
        <v>#NAME?</v>
      </c>
      <c r="H30" s="613" t="e">
        <f ca="1"/>
        <v>#NAME?</v>
      </c>
      <c r="I30" s="613" t="e">
        <f ca="1"/>
        <v>#NAME?</v>
      </c>
      <c r="J30" s="43" t="e">
        <f ca="1"/>
        <v>#NAME?</v>
      </c>
      <c r="L30" s="183" t="e">
        <f ca="1">$L$5</f>
        <v>#NAME?</v>
      </c>
      <c r="M30" s="7"/>
      <c r="N30" s="43" t="e">
        <f ca="1">$N13</f>
        <v>#NAME?</v>
      </c>
      <c r="O30" s="183">
        <f t="shared" ca="1" si="3"/>
        <v>1296</v>
      </c>
      <c r="P30" s="7" t="e">
        <f t="shared" ca="1" si="4"/>
        <v>#NAME?</v>
      </c>
      <c r="Q30" s="43" t="e">
        <f t="array" aca="1" ref="Q30" ca="1">IF(O30&lt;2,"",VAR(IF($G$3:$G$38=$L30,IF($I$3:$I$38=$N30,$J$3:$J$38,""))))</f>
        <v>#NAME?</v>
      </c>
    </row>
    <row r="31" spans="7:17" x14ac:dyDescent="0.25">
      <c r="G31" s="182" t="e">
        <f ca="1"/>
        <v>#NAME?</v>
      </c>
      <c r="H31" s="613" t="e">
        <f ca="1"/>
        <v>#NAME?</v>
      </c>
      <c r="I31" s="613" t="e">
        <f ca="1"/>
        <v>#NAME?</v>
      </c>
      <c r="J31" s="43" t="e">
        <f ca="1"/>
        <v>#NAME?</v>
      </c>
      <c r="L31" s="183" t="e">
        <f ca="1">$L$6</f>
        <v>#NAME?</v>
      </c>
      <c r="M31" s="7"/>
      <c r="N31" s="43" t="e">
        <f ca="1">$N10</f>
        <v>#NAME?</v>
      </c>
      <c r="O31" s="183">
        <f t="shared" ca="1" si="3"/>
        <v>1296</v>
      </c>
      <c r="P31" s="7" t="e">
        <f t="shared" ca="1" si="4"/>
        <v>#NAME?</v>
      </c>
      <c r="Q31" s="43" t="e">
        <f t="array" aca="1" ref="Q31" ca="1">IF(O31&lt;2,"",VAR(IF($G$3:$G$38=$L31,IF($I$3:$I$38=$N31,$J$3:$J$38,""))))</f>
        <v>#NAME?</v>
      </c>
    </row>
    <row r="32" spans="7:17" x14ac:dyDescent="0.25">
      <c r="G32" s="182" t="e">
        <f ca="1"/>
        <v>#NAME?</v>
      </c>
      <c r="H32" s="613" t="e">
        <f ca="1"/>
        <v>#NAME?</v>
      </c>
      <c r="I32" s="613" t="e">
        <f ca="1"/>
        <v>#NAME?</v>
      </c>
      <c r="J32" s="43" t="e">
        <f ca="1"/>
        <v>#NAME?</v>
      </c>
      <c r="L32" s="183" t="e">
        <f ca="1">$L$6</f>
        <v>#NAME?</v>
      </c>
      <c r="M32" s="7"/>
      <c r="N32" s="43" t="e">
        <f ca="1">$N11</f>
        <v>#NAME?</v>
      </c>
      <c r="O32" s="183">
        <f t="shared" ca="1" si="3"/>
        <v>1296</v>
      </c>
      <c r="P32" s="7" t="e">
        <f t="shared" ca="1" si="4"/>
        <v>#NAME?</v>
      </c>
      <c r="Q32" s="43" t="e">
        <f t="array" aca="1" ref="Q32" ca="1">IF(O32&lt;2,"",VAR(IF($G$3:$G$38=$L32,IF($I$3:$I$38=$N32,$J$3:$J$38,""))))</f>
        <v>#NAME?</v>
      </c>
    </row>
    <row r="33" spans="7:17" x14ac:dyDescent="0.25">
      <c r="G33" s="182" t="e">
        <f ca="1"/>
        <v>#NAME?</v>
      </c>
      <c r="H33" s="613" t="e">
        <f ca="1"/>
        <v>#NAME?</v>
      </c>
      <c r="I33" s="613" t="e">
        <f ca="1"/>
        <v>#NAME?</v>
      </c>
      <c r="J33" s="43" t="e">
        <f ca="1"/>
        <v>#NAME?</v>
      </c>
      <c r="L33" s="183" t="e">
        <f ca="1">$L$6</f>
        <v>#NAME?</v>
      </c>
      <c r="M33" s="7"/>
      <c r="N33" s="43" t="e">
        <f ca="1">$N12</f>
        <v>#NAME?</v>
      </c>
      <c r="O33" s="183">
        <f t="shared" ca="1" si="3"/>
        <v>1296</v>
      </c>
      <c r="P33" s="7" t="e">
        <f t="shared" ca="1" si="4"/>
        <v>#NAME?</v>
      </c>
      <c r="Q33" s="43" t="e">
        <f t="array" aca="1" ref="Q33" ca="1">IF(O33&lt;2,"",VAR(IF($G$3:$G$38=$L33,IF($I$3:$I$38=$N33,$J$3:$J$38,""))))</f>
        <v>#NAME?</v>
      </c>
    </row>
    <row r="34" spans="7:17" x14ac:dyDescent="0.25">
      <c r="G34" s="182" t="e">
        <f ca="1"/>
        <v>#NAME?</v>
      </c>
      <c r="H34" s="613" t="e">
        <f ca="1"/>
        <v>#NAME?</v>
      </c>
      <c r="I34" s="613" t="e">
        <f ca="1"/>
        <v>#NAME?</v>
      </c>
      <c r="J34" s="43" t="e">
        <f ca="1"/>
        <v>#NAME?</v>
      </c>
      <c r="L34" s="351" t="e">
        <f ca="1">$L$6</f>
        <v>#NAME?</v>
      </c>
      <c r="M34" s="352"/>
      <c r="N34" s="353" t="e">
        <f ca="1">$N13</f>
        <v>#NAME?</v>
      </c>
      <c r="O34" s="351">
        <f t="shared" ca="1" si="3"/>
        <v>1296</v>
      </c>
      <c r="P34" s="352" t="e">
        <f t="shared" ca="1" si="4"/>
        <v>#NAME?</v>
      </c>
      <c r="Q34" s="353" t="e">
        <f t="array" aca="1" ref="Q34" ca="1">IF(O34&lt;2,"",VAR(IF($G$3:$G$38=$L34,IF($I$3:$I$38=$N34,$J$3:$J$38,""))))</f>
        <v>#NAME?</v>
      </c>
    </row>
    <row r="35" spans="7:17" x14ac:dyDescent="0.25">
      <c r="G35" s="182" t="e">
        <f ca="1"/>
        <v>#NAME?</v>
      </c>
      <c r="H35" s="613" t="e">
        <f ca="1"/>
        <v>#NAME?</v>
      </c>
      <c r="I35" s="613" t="e">
        <f ca="1"/>
        <v>#NAME?</v>
      </c>
      <c r="J35" s="43" t="e">
        <f ca="1"/>
        <v>#NAME?</v>
      </c>
      <c r="L35" s="550"/>
      <c r="M35" s="556" t="e">
        <f ca="1">$M$7</f>
        <v>#NAME?</v>
      </c>
      <c r="N35" s="557" t="e">
        <f ca="1">$N10</f>
        <v>#NAME?</v>
      </c>
      <c r="O35" s="550">
        <f ca="1">SUMIFS($O$47:$O$82,$M$47:$M$82,M35,$N$47:$N$82,N35)</f>
        <v>1296</v>
      </c>
      <c r="P35" s="556" t="e">
        <f ca="1">IF(O35=0,"",AVERAGEIFS($J$3:$J$38,$H$3:$H$38,$M35,$I$3:$I$38,$N35))</f>
        <v>#NAME?</v>
      </c>
      <c r="Q35" s="557" t="e">
        <f t="array" aca="1" ref="Q35" ca="1">IF(O35&lt;2,"",VAR(IF($H$3:$H$38=$M35,IF($I$3:$I$38=$N35,$J$3:$J$38,""))))</f>
        <v>#NAME?</v>
      </c>
    </row>
    <row r="36" spans="7:17" x14ac:dyDescent="0.25">
      <c r="G36" s="182" t="e">
        <f ca="1"/>
        <v>#NAME?</v>
      </c>
      <c r="H36" s="613" t="e">
        <f ca="1"/>
        <v>#NAME?</v>
      </c>
      <c r="I36" s="613" t="e">
        <f ca="1"/>
        <v>#NAME?</v>
      </c>
      <c r="J36" s="43" t="e">
        <f ca="1"/>
        <v>#NAME?</v>
      </c>
      <c r="L36" s="183"/>
      <c r="M36" s="7" t="e">
        <f ca="1">$M$7</f>
        <v>#NAME?</v>
      </c>
      <c r="N36" s="43" t="e">
        <f ca="1">$N11</f>
        <v>#NAME?</v>
      </c>
      <c r="O36" s="183">
        <f t="shared" ref="O36:O46" ca="1" si="5">SUMIFS($O$47:$O$82,$M$47:$M$82,M36,$N$47:$N$82,N36)</f>
        <v>1296</v>
      </c>
      <c r="P36" s="7" t="e">
        <f t="shared" ref="P36:P46" ca="1" si="6">IF(O36=0,"",AVERAGEIFS($J$3:$J$38,$H$3:$H$38,$M36,$I$3:$I$38,$N36))</f>
        <v>#NAME?</v>
      </c>
      <c r="Q36" s="43" t="e">
        <f t="array" aca="1" ref="Q36" ca="1">IF(O36&lt;2,"",VAR(IF($H$3:$H$38=$M36,IF($I$3:$I$38=$N36,$J$3:$J$38,""))))</f>
        <v>#NAME?</v>
      </c>
    </row>
    <row r="37" spans="7:17" x14ac:dyDescent="0.25">
      <c r="G37" s="182" t="e">
        <f ca="1"/>
        <v>#NAME?</v>
      </c>
      <c r="H37" s="613" t="e">
        <f ca="1"/>
        <v>#NAME?</v>
      </c>
      <c r="I37" s="613" t="e">
        <f ca="1"/>
        <v>#NAME?</v>
      </c>
      <c r="J37" s="43" t="e">
        <f ca="1"/>
        <v>#NAME?</v>
      </c>
      <c r="L37" s="183"/>
      <c r="M37" s="7" t="e">
        <f ca="1">$M$7</f>
        <v>#NAME?</v>
      </c>
      <c r="N37" s="43" t="e">
        <f ca="1">$N12</f>
        <v>#NAME?</v>
      </c>
      <c r="O37" s="183">
        <f t="shared" ca="1" si="5"/>
        <v>1296</v>
      </c>
      <c r="P37" s="7" t="e">
        <f t="shared" ca="1" si="6"/>
        <v>#NAME?</v>
      </c>
      <c r="Q37" s="43" t="e">
        <f t="array" aca="1" ref="Q37" ca="1">IF(O37&lt;2,"",VAR(IF($H$3:$H$38=$M37,IF($I$3:$I$38=$N37,$J$3:$J$38,""))))</f>
        <v>#NAME?</v>
      </c>
    </row>
    <row r="38" spans="7:17" x14ac:dyDescent="0.25">
      <c r="G38" s="377" t="e">
        <f ca="1"/>
        <v>#NAME?</v>
      </c>
      <c r="H38" s="440" t="e">
        <f ca="1"/>
        <v>#NAME?</v>
      </c>
      <c r="I38" s="440" t="e">
        <f ca="1"/>
        <v>#NAME?</v>
      </c>
      <c r="J38" s="353" t="e">
        <f ca="1"/>
        <v>#NAME?</v>
      </c>
      <c r="L38" s="183"/>
      <c r="M38" s="7" t="e">
        <f ca="1">$M$7</f>
        <v>#NAME?</v>
      </c>
      <c r="N38" s="43" t="e">
        <f ca="1">$N13</f>
        <v>#NAME?</v>
      </c>
      <c r="O38" s="183">
        <f t="shared" ca="1" si="5"/>
        <v>1296</v>
      </c>
      <c r="P38" s="7" t="e">
        <f t="shared" ca="1" si="6"/>
        <v>#NAME?</v>
      </c>
      <c r="Q38" s="43" t="e">
        <f t="array" aca="1" ref="Q38" ca="1">IF(O38&lt;2,"",VAR(IF($H$3:$H$38=$M38,IF($I$3:$I$38=$N38,$J$3:$J$38,""))))</f>
        <v>#NAME?</v>
      </c>
    </row>
    <row r="39" spans="7:17" x14ac:dyDescent="0.25">
      <c r="L39" s="183"/>
      <c r="M39" s="7" t="e">
        <f ca="1">$M$8</f>
        <v>#NAME?</v>
      </c>
      <c r="N39" s="43" t="e">
        <f ca="1">$N10</f>
        <v>#NAME?</v>
      </c>
      <c r="O39" s="183">
        <f t="shared" ca="1" si="5"/>
        <v>1296</v>
      </c>
      <c r="P39" s="7" t="e">
        <f t="shared" ca="1" si="6"/>
        <v>#NAME?</v>
      </c>
      <c r="Q39" s="43" t="e">
        <f t="array" aca="1" ref="Q39" ca="1">IF(O39&lt;2,"",VAR(IF($H$3:$H$38=$M39,IF($I$3:$I$38=$N39,$J$3:$J$38,""))))</f>
        <v>#NAME?</v>
      </c>
    </row>
    <row r="40" spans="7:17" x14ac:dyDescent="0.25">
      <c r="L40" s="183"/>
      <c r="M40" s="7" t="e">
        <f ca="1">$M$8</f>
        <v>#NAME?</v>
      </c>
      <c r="N40" s="43" t="e">
        <f ca="1">$N11</f>
        <v>#NAME?</v>
      </c>
      <c r="O40" s="183">
        <f t="shared" ca="1" si="5"/>
        <v>1296</v>
      </c>
      <c r="P40" s="7" t="e">
        <f t="shared" ca="1" si="6"/>
        <v>#NAME?</v>
      </c>
      <c r="Q40" s="43" t="e">
        <f t="array" aca="1" ref="Q40" ca="1">IF(O40&lt;2,"",VAR(IF($H$3:$H$38=$M40,IF($I$3:$I$38=$N40,$J$3:$J$38,""))))</f>
        <v>#NAME?</v>
      </c>
    </row>
    <row r="41" spans="7:17" x14ac:dyDescent="0.25">
      <c r="L41" s="183"/>
      <c r="M41" s="7" t="e">
        <f ca="1">$M$8</f>
        <v>#NAME?</v>
      </c>
      <c r="N41" s="43" t="e">
        <f ca="1">$N12</f>
        <v>#NAME?</v>
      </c>
      <c r="O41" s="183">
        <f t="shared" ca="1" si="5"/>
        <v>1296</v>
      </c>
      <c r="P41" s="7" t="e">
        <f t="shared" ca="1" si="6"/>
        <v>#NAME?</v>
      </c>
      <c r="Q41" s="43" t="e">
        <f t="array" aca="1" ref="Q41" ca="1">IF(O41&lt;2,"",VAR(IF($H$3:$H$38=$M41,IF($I$3:$I$38=$N41,$J$3:$J$38,""))))</f>
        <v>#NAME?</v>
      </c>
    </row>
    <row r="42" spans="7:17" x14ac:dyDescent="0.25">
      <c r="L42" s="183"/>
      <c r="M42" s="7" t="e">
        <f ca="1">$M$8</f>
        <v>#NAME?</v>
      </c>
      <c r="N42" s="43" t="e">
        <f ca="1">$N13</f>
        <v>#NAME?</v>
      </c>
      <c r="O42" s="183">
        <f t="shared" ca="1" si="5"/>
        <v>1296</v>
      </c>
      <c r="P42" s="7" t="e">
        <f t="shared" ca="1" si="6"/>
        <v>#NAME?</v>
      </c>
      <c r="Q42" s="43" t="e">
        <f t="array" aca="1" ref="Q42" ca="1">IF(O42&lt;2,"",VAR(IF($H$3:$H$38=$M42,IF($I$3:$I$38=$N42,$J$3:$J$38,""))))</f>
        <v>#NAME?</v>
      </c>
    </row>
    <row r="43" spans="7:17" x14ac:dyDescent="0.25">
      <c r="L43" s="183"/>
      <c r="M43" s="7" t="e">
        <f ca="1">$M$9</f>
        <v>#NAME?</v>
      </c>
      <c r="N43" s="43" t="e">
        <f ca="1">$N10</f>
        <v>#NAME?</v>
      </c>
      <c r="O43" s="183">
        <f t="shared" ca="1" si="5"/>
        <v>1296</v>
      </c>
      <c r="P43" s="7" t="e">
        <f t="shared" ca="1" si="6"/>
        <v>#NAME?</v>
      </c>
      <c r="Q43" s="43" t="e">
        <f t="array" aca="1" ref="Q43" ca="1">IF(O43&lt;2,"",VAR(IF($H$3:$H$38=$M43,IF($I$3:$I$38=$N43,$J$3:$J$38,""))))</f>
        <v>#NAME?</v>
      </c>
    </row>
    <row r="44" spans="7:17" x14ac:dyDescent="0.25">
      <c r="L44" s="183"/>
      <c r="M44" s="7" t="e">
        <f ca="1">$M$9</f>
        <v>#NAME?</v>
      </c>
      <c r="N44" s="43" t="e">
        <f ca="1">$N11</f>
        <v>#NAME?</v>
      </c>
      <c r="O44" s="183">
        <f t="shared" ca="1" si="5"/>
        <v>1296</v>
      </c>
      <c r="P44" s="7" t="e">
        <f t="shared" ca="1" si="6"/>
        <v>#NAME?</v>
      </c>
      <c r="Q44" s="43" t="e">
        <f t="array" aca="1" ref="Q44" ca="1">IF(O44&lt;2,"",VAR(IF($H$3:$H$38=$M44,IF($I$3:$I$38=$N44,$J$3:$J$38,""))))</f>
        <v>#NAME?</v>
      </c>
    </row>
    <row r="45" spans="7:17" x14ac:dyDescent="0.25">
      <c r="L45" s="183"/>
      <c r="M45" s="7" t="e">
        <f ca="1">$M$9</f>
        <v>#NAME?</v>
      </c>
      <c r="N45" s="43" t="e">
        <f ca="1">$N12</f>
        <v>#NAME?</v>
      </c>
      <c r="O45" s="183">
        <f t="shared" ca="1" si="5"/>
        <v>1296</v>
      </c>
      <c r="P45" s="7" t="e">
        <f t="shared" ca="1" si="6"/>
        <v>#NAME?</v>
      </c>
      <c r="Q45" s="43" t="e">
        <f t="array" aca="1" ref="Q45" ca="1">IF(O45&lt;2,"",VAR(IF($H$3:$H$38=$M45,IF($I$3:$I$38=$N45,$J$3:$J$38,""))))</f>
        <v>#NAME?</v>
      </c>
    </row>
    <row r="46" spans="7:17" x14ac:dyDescent="0.25">
      <c r="L46" s="351"/>
      <c r="M46" s="352" t="e">
        <f ca="1">$M$9</f>
        <v>#NAME?</v>
      </c>
      <c r="N46" s="353" t="e">
        <f ca="1">$N13</f>
        <v>#NAME?</v>
      </c>
      <c r="O46" s="351">
        <f t="shared" ca="1" si="5"/>
        <v>1296</v>
      </c>
      <c r="P46" s="352" t="e">
        <f t="shared" ca="1" si="6"/>
        <v>#NAME?</v>
      </c>
      <c r="Q46" s="353" t="e">
        <f t="array" aca="1" ref="Q46" ca="1">IF(O46&lt;2,"",VAR(IF($H$3:$H$38=$M46,IF($I$3:$I$38=$N46,$J$3:$J$38,""))))</f>
        <v>#NAME?</v>
      </c>
    </row>
    <row r="47" spans="7:17" x14ac:dyDescent="0.25">
      <c r="L47" s="550" t="e">
        <f ca="1">$L$4</f>
        <v>#NAME?</v>
      </c>
      <c r="M47" s="556" t="e">
        <f t="shared" ref="M47:N66" ca="1" si="7">M35</f>
        <v>#NAME?</v>
      </c>
      <c r="N47" s="557" t="e">
        <f t="shared" ca="1" si="7"/>
        <v>#NAME?</v>
      </c>
      <c r="O47" s="550">
        <f ca="1">COUNTIFS($G$3:$G$38,$L47,$H$3:$H$38,$M47,$I$3:$I$38,$N47)</f>
        <v>36</v>
      </c>
      <c r="P47" s="556" t="e">
        <f ca="1">IF(O47=0,"",AVERAGEIFS($J$3:$J$38,$G$3:$G$38,$L47,$H$3:$H$38,$M47,$I$3:$I$38,$N47))</f>
        <v>#NAME?</v>
      </c>
      <c r="Q47" s="557" t="e">
        <f t="array" aca="1" ref="Q47" ca="1">IF(O47&lt;2,"",VAR(IF($G$3:$G$38=$L47,IF($H$3:$H$38=$M47,IF($I$3:$I$38=$N47,$J$3:$J$38,"")))))</f>
        <v>#NAME?</v>
      </c>
    </row>
    <row r="48" spans="7:17" x14ac:dyDescent="0.25">
      <c r="L48" s="183" t="e">
        <f t="shared" ref="L48:L58" ca="1" si="8">$L$4</f>
        <v>#NAME?</v>
      </c>
      <c r="M48" s="7" t="e">
        <f t="shared" ca="1" si="7"/>
        <v>#NAME?</v>
      </c>
      <c r="N48" s="43" t="e">
        <f t="shared" ca="1" si="7"/>
        <v>#NAME?</v>
      </c>
      <c r="O48" s="183">
        <f t="shared" ref="O48:O82" ca="1" si="9">COUNTIFS($G$3:$G$38,$L48,$H$3:$H$38,$M48,$I$3:$I$38,$N48)</f>
        <v>36</v>
      </c>
      <c r="P48" s="7" t="e">
        <f t="shared" ref="P48:P82" ca="1" si="10">IF(O48=0,"",AVERAGEIFS($J$3:$J$38,$G$3:$G$38,$L48,$H$3:$H$38,$M48,$I$3:$I$38,$N48))</f>
        <v>#NAME?</v>
      </c>
      <c r="Q48" s="43" t="e">
        <f t="array" aca="1" ref="Q48" ca="1">IF(O48&lt;2,"",VAR(IF($G$3:$G$38=$L48,IF($H$3:$H$38=$M48,IF($I$3:$I$38=$N48,$J$3:$J$38,"")))))</f>
        <v>#NAME?</v>
      </c>
    </row>
    <row r="49" spans="12:17" x14ac:dyDescent="0.25">
      <c r="L49" s="183" t="e">
        <f t="shared" ca="1" si="8"/>
        <v>#NAME?</v>
      </c>
      <c r="M49" s="7" t="e">
        <f t="shared" ca="1" si="7"/>
        <v>#NAME?</v>
      </c>
      <c r="N49" s="43" t="e">
        <f t="shared" ca="1" si="7"/>
        <v>#NAME?</v>
      </c>
      <c r="O49" s="183">
        <f t="shared" ca="1" si="9"/>
        <v>36</v>
      </c>
      <c r="P49" s="7" t="e">
        <f t="shared" ca="1" si="10"/>
        <v>#NAME?</v>
      </c>
      <c r="Q49" s="43" t="e">
        <f t="array" aca="1" ref="Q49" ca="1">IF(O49&lt;2,"",VAR(IF($G$3:$G$38=$L49,IF($H$3:$H$38=$M49,IF($I$3:$I$38=$N49,$J$3:$J$38,"")))))</f>
        <v>#NAME?</v>
      </c>
    </row>
    <row r="50" spans="12:17" x14ac:dyDescent="0.25">
      <c r="L50" s="183" t="e">
        <f t="shared" ca="1" si="8"/>
        <v>#NAME?</v>
      </c>
      <c r="M50" s="7" t="e">
        <f t="shared" ca="1" si="7"/>
        <v>#NAME?</v>
      </c>
      <c r="N50" s="43" t="e">
        <f t="shared" ca="1" si="7"/>
        <v>#NAME?</v>
      </c>
      <c r="O50" s="183">
        <f t="shared" ca="1" si="9"/>
        <v>36</v>
      </c>
      <c r="P50" s="7" t="e">
        <f t="shared" ca="1" si="10"/>
        <v>#NAME?</v>
      </c>
      <c r="Q50" s="43" t="e">
        <f t="array" aca="1" ref="Q50" ca="1">IF(O50&lt;2,"",VAR(IF($G$3:$G$38=$L50,IF($H$3:$H$38=$M50,IF($I$3:$I$38=$N50,$J$3:$J$38,"")))))</f>
        <v>#NAME?</v>
      </c>
    </row>
    <row r="51" spans="12:17" x14ac:dyDescent="0.25">
      <c r="L51" s="183" t="e">
        <f t="shared" ca="1" si="8"/>
        <v>#NAME?</v>
      </c>
      <c r="M51" s="7" t="e">
        <f t="shared" ca="1" si="7"/>
        <v>#NAME?</v>
      </c>
      <c r="N51" s="43" t="e">
        <f t="shared" ca="1" si="7"/>
        <v>#NAME?</v>
      </c>
      <c r="O51" s="183">
        <f t="shared" ca="1" si="9"/>
        <v>36</v>
      </c>
      <c r="P51" s="7" t="e">
        <f t="shared" ca="1" si="10"/>
        <v>#NAME?</v>
      </c>
      <c r="Q51" s="43" t="e">
        <f t="array" aca="1" ref="Q51" ca="1">IF(O51&lt;2,"",VAR(IF($G$3:$G$38=$L51,IF($H$3:$H$38=$M51,IF($I$3:$I$38=$N51,$J$3:$J$38,"")))))</f>
        <v>#NAME?</v>
      </c>
    </row>
    <row r="52" spans="12:17" x14ac:dyDescent="0.25">
      <c r="L52" s="183" t="e">
        <f t="shared" ca="1" si="8"/>
        <v>#NAME?</v>
      </c>
      <c r="M52" s="7" t="e">
        <f t="shared" ca="1" si="7"/>
        <v>#NAME?</v>
      </c>
      <c r="N52" s="43" t="e">
        <f t="shared" ca="1" si="7"/>
        <v>#NAME?</v>
      </c>
      <c r="O52" s="183">
        <f t="shared" ca="1" si="9"/>
        <v>36</v>
      </c>
      <c r="P52" s="7" t="e">
        <f t="shared" ca="1" si="10"/>
        <v>#NAME?</v>
      </c>
      <c r="Q52" s="43" t="e">
        <f t="array" aca="1" ref="Q52" ca="1">IF(O52&lt;2,"",VAR(IF($G$3:$G$38=$L52,IF($H$3:$H$38=$M52,IF($I$3:$I$38=$N52,$J$3:$J$38,"")))))</f>
        <v>#NAME?</v>
      </c>
    </row>
    <row r="53" spans="12:17" x14ac:dyDescent="0.25">
      <c r="L53" s="183" t="e">
        <f t="shared" ca="1" si="8"/>
        <v>#NAME?</v>
      </c>
      <c r="M53" s="7" t="e">
        <f t="shared" ca="1" si="7"/>
        <v>#NAME?</v>
      </c>
      <c r="N53" s="43" t="e">
        <f t="shared" ca="1" si="7"/>
        <v>#NAME?</v>
      </c>
      <c r="O53" s="183">
        <f t="shared" ca="1" si="9"/>
        <v>36</v>
      </c>
      <c r="P53" s="7" t="e">
        <f t="shared" ca="1" si="10"/>
        <v>#NAME?</v>
      </c>
      <c r="Q53" s="43" t="e">
        <f t="array" aca="1" ref="Q53" ca="1">IF(O53&lt;2,"",VAR(IF($G$3:$G$38=$L53,IF($H$3:$H$38=$M53,IF($I$3:$I$38=$N53,$J$3:$J$38,"")))))</f>
        <v>#NAME?</v>
      </c>
    </row>
    <row r="54" spans="12:17" x14ac:dyDescent="0.25">
      <c r="L54" s="183" t="e">
        <f t="shared" ca="1" si="8"/>
        <v>#NAME?</v>
      </c>
      <c r="M54" s="7" t="e">
        <f t="shared" ca="1" si="7"/>
        <v>#NAME?</v>
      </c>
      <c r="N54" s="43" t="e">
        <f t="shared" ca="1" si="7"/>
        <v>#NAME?</v>
      </c>
      <c r="O54" s="183">
        <f t="shared" ca="1" si="9"/>
        <v>36</v>
      </c>
      <c r="P54" s="7" t="e">
        <f t="shared" ca="1" si="10"/>
        <v>#NAME?</v>
      </c>
      <c r="Q54" s="43" t="e">
        <f t="array" aca="1" ref="Q54" ca="1">IF(O54&lt;2,"",VAR(IF($G$3:$G$38=$L54,IF($H$3:$H$38=$M54,IF($I$3:$I$38=$N54,$J$3:$J$38,"")))))</f>
        <v>#NAME?</v>
      </c>
    </row>
    <row r="55" spans="12:17" x14ac:dyDescent="0.25">
      <c r="L55" s="183" t="e">
        <f t="shared" ca="1" si="8"/>
        <v>#NAME?</v>
      </c>
      <c r="M55" s="7" t="e">
        <f t="shared" ca="1" si="7"/>
        <v>#NAME?</v>
      </c>
      <c r="N55" s="43" t="e">
        <f t="shared" ca="1" si="7"/>
        <v>#NAME?</v>
      </c>
      <c r="O55" s="183">
        <f t="shared" ca="1" si="9"/>
        <v>36</v>
      </c>
      <c r="P55" s="7" t="e">
        <f t="shared" ca="1" si="10"/>
        <v>#NAME?</v>
      </c>
      <c r="Q55" s="43" t="e">
        <f t="array" aca="1" ref="Q55" ca="1">IF(O55&lt;2,"",VAR(IF($G$3:$G$38=$L55,IF($H$3:$H$38=$M55,IF($I$3:$I$38=$N55,$J$3:$J$38,"")))))</f>
        <v>#NAME?</v>
      </c>
    </row>
    <row r="56" spans="12:17" x14ac:dyDescent="0.25">
      <c r="L56" s="183" t="e">
        <f t="shared" ca="1" si="8"/>
        <v>#NAME?</v>
      </c>
      <c r="M56" s="7" t="e">
        <f t="shared" ca="1" si="7"/>
        <v>#NAME?</v>
      </c>
      <c r="N56" s="43" t="e">
        <f t="shared" ca="1" si="7"/>
        <v>#NAME?</v>
      </c>
      <c r="O56" s="183">
        <f t="shared" ca="1" si="9"/>
        <v>36</v>
      </c>
      <c r="P56" s="7" t="e">
        <f t="shared" ca="1" si="10"/>
        <v>#NAME?</v>
      </c>
      <c r="Q56" s="43" t="e">
        <f t="array" aca="1" ref="Q56" ca="1">IF(O56&lt;2,"",VAR(IF($G$3:$G$38=$L56,IF($H$3:$H$38=$M56,IF($I$3:$I$38=$N56,$J$3:$J$38,"")))))</f>
        <v>#NAME?</v>
      </c>
    </row>
    <row r="57" spans="12:17" x14ac:dyDescent="0.25">
      <c r="L57" s="183" t="e">
        <f t="shared" ca="1" si="8"/>
        <v>#NAME?</v>
      </c>
      <c r="M57" s="7" t="e">
        <f t="shared" ca="1" si="7"/>
        <v>#NAME?</v>
      </c>
      <c r="N57" s="43" t="e">
        <f t="shared" ca="1" si="7"/>
        <v>#NAME?</v>
      </c>
      <c r="O57" s="183">
        <f t="shared" ca="1" si="9"/>
        <v>36</v>
      </c>
      <c r="P57" s="7" t="e">
        <f t="shared" ca="1" si="10"/>
        <v>#NAME?</v>
      </c>
      <c r="Q57" s="43" t="e">
        <f t="array" aca="1" ref="Q57" ca="1">IF(O57&lt;2,"",VAR(IF($G$3:$G$38=$L57,IF($H$3:$H$38=$M57,IF($I$3:$I$38=$N57,$J$3:$J$38,"")))))</f>
        <v>#NAME?</v>
      </c>
    </row>
    <row r="58" spans="12:17" x14ac:dyDescent="0.25">
      <c r="L58" s="183" t="e">
        <f t="shared" ca="1" si="8"/>
        <v>#NAME?</v>
      </c>
      <c r="M58" s="7" t="e">
        <f t="shared" ca="1" si="7"/>
        <v>#NAME?</v>
      </c>
      <c r="N58" s="43" t="e">
        <f t="shared" ca="1" si="7"/>
        <v>#NAME?</v>
      </c>
      <c r="O58" s="183">
        <f t="shared" ca="1" si="9"/>
        <v>36</v>
      </c>
      <c r="P58" s="7" t="e">
        <f t="shared" ca="1" si="10"/>
        <v>#NAME?</v>
      </c>
      <c r="Q58" s="43" t="e">
        <f t="array" aca="1" ref="Q58" ca="1">IF(O58&lt;2,"",VAR(IF($G$3:$G$38=$L58,IF($H$3:$H$38=$M58,IF($I$3:$I$38=$N58,$J$3:$J$38,"")))))</f>
        <v>#NAME?</v>
      </c>
    </row>
    <row r="59" spans="12:17" x14ac:dyDescent="0.25">
      <c r="L59" s="183" t="e">
        <f ca="1">$L$5</f>
        <v>#NAME?</v>
      </c>
      <c r="M59" s="7" t="e">
        <f t="shared" ca="1" si="7"/>
        <v>#NAME?</v>
      </c>
      <c r="N59" s="43" t="e">
        <f t="shared" ca="1" si="7"/>
        <v>#NAME?</v>
      </c>
      <c r="O59" s="183">
        <f t="shared" ca="1" si="9"/>
        <v>36</v>
      </c>
      <c r="P59" s="7" t="e">
        <f t="shared" ca="1" si="10"/>
        <v>#NAME?</v>
      </c>
      <c r="Q59" s="43" t="e">
        <f t="array" aca="1" ref="Q59" ca="1">IF(O59&lt;2,"",VAR(IF($G$3:$G$38=$L59,IF($H$3:$H$38=$M59,IF($I$3:$I$38=$N59,$J$3:$J$38,"")))))</f>
        <v>#NAME?</v>
      </c>
    </row>
    <row r="60" spans="12:17" x14ac:dyDescent="0.25">
      <c r="L60" s="183" t="e">
        <f t="shared" ref="L60:L70" ca="1" si="11">$L$5</f>
        <v>#NAME?</v>
      </c>
      <c r="M60" s="7" t="e">
        <f t="shared" ca="1" si="7"/>
        <v>#NAME?</v>
      </c>
      <c r="N60" s="43" t="e">
        <f t="shared" ca="1" si="7"/>
        <v>#NAME?</v>
      </c>
      <c r="O60" s="183">
        <f t="shared" ca="1" si="9"/>
        <v>36</v>
      </c>
      <c r="P60" s="7" t="e">
        <f t="shared" ca="1" si="10"/>
        <v>#NAME?</v>
      </c>
      <c r="Q60" s="43" t="e">
        <f t="array" aca="1" ref="Q60" ca="1">IF(O60&lt;2,"",VAR(IF($G$3:$G$38=$L60,IF($H$3:$H$38=$M60,IF($I$3:$I$38=$N60,$J$3:$J$38,"")))))</f>
        <v>#NAME?</v>
      </c>
    </row>
    <row r="61" spans="12:17" x14ac:dyDescent="0.25">
      <c r="L61" s="183" t="e">
        <f t="shared" ca="1" si="11"/>
        <v>#NAME?</v>
      </c>
      <c r="M61" s="7" t="e">
        <f t="shared" ca="1" si="7"/>
        <v>#NAME?</v>
      </c>
      <c r="N61" s="43" t="e">
        <f t="shared" ca="1" si="7"/>
        <v>#NAME?</v>
      </c>
      <c r="O61" s="183">
        <f t="shared" ca="1" si="9"/>
        <v>36</v>
      </c>
      <c r="P61" s="7" t="e">
        <f t="shared" ca="1" si="10"/>
        <v>#NAME?</v>
      </c>
      <c r="Q61" s="43" t="e">
        <f t="array" aca="1" ref="Q61" ca="1">IF(O61&lt;2,"",VAR(IF($G$3:$G$38=$L61,IF($H$3:$H$38=$M61,IF($I$3:$I$38=$N61,$J$3:$J$38,"")))))</f>
        <v>#NAME?</v>
      </c>
    </row>
    <row r="62" spans="12:17" x14ac:dyDescent="0.25">
      <c r="L62" s="183" t="e">
        <f t="shared" ca="1" si="11"/>
        <v>#NAME?</v>
      </c>
      <c r="M62" s="7" t="e">
        <f t="shared" ca="1" si="7"/>
        <v>#NAME?</v>
      </c>
      <c r="N62" s="43" t="e">
        <f t="shared" ca="1" si="7"/>
        <v>#NAME?</v>
      </c>
      <c r="O62" s="183">
        <f t="shared" ca="1" si="9"/>
        <v>36</v>
      </c>
      <c r="P62" s="7" t="e">
        <f t="shared" ca="1" si="10"/>
        <v>#NAME?</v>
      </c>
      <c r="Q62" s="43" t="e">
        <f t="array" aca="1" ref="Q62" ca="1">IF(O62&lt;2,"",VAR(IF($G$3:$G$38=$L62,IF($H$3:$H$38=$M62,IF($I$3:$I$38=$N62,$J$3:$J$38,"")))))</f>
        <v>#NAME?</v>
      </c>
    </row>
    <row r="63" spans="12:17" x14ac:dyDescent="0.25">
      <c r="L63" s="183" t="e">
        <f t="shared" ca="1" si="11"/>
        <v>#NAME?</v>
      </c>
      <c r="M63" s="7" t="e">
        <f t="shared" ca="1" si="7"/>
        <v>#NAME?</v>
      </c>
      <c r="N63" s="43" t="e">
        <f t="shared" ca="1" si="7"/>
        <v>#NAME?</v>
      </c>
      <c r="O63" s="183">
        <f t="shared" ca="1" si="9"/>
        <v>36</v>
      </c>
      <c r="P63" s="7" t="e">
        <f t="shared" ca="1" si="10"/>
        <v>#NAME?</v>
      </c>
      <c r="Q63" s="43" t="e">
        <f t="array" aca="1" ref="Q63" ca="1">IF(O63&lt;2,"",VAR(IF($G$3:$G$38=$L63,IF($H$3:$H$38=$M63,IF($I$3:$I$38=$N63,$J$3:$J$38,"")))))</f>
        <v>#NAME?</v>
      </c>
    </row>
    <row r="64" spans="12:17" x14ac:dyDescent="0.25">
      <c r="L64" s="183" t="e">
        <f t="shared" ca="1" si="11"/>
        <v>#NAME?</v>
      </c>
      <c r="M64" s="7" t="e">
        <f t="shared" ca="1" si="7"/>
        <v>#NAME?</v>
      </c>
      <c r="N64" s="43" t="e">
        <f t="shared" ca="1" si="7"/>
        <v>#NAME?</v>
      </c>
      <c r="O64" s="183">
        <f t="shared" ca="1" si="9"/>
        <v>36</v>
      </c>
      <c r="P64" s="7" t="e">
        <f t="shared" ca="1" si="10"/>
        <v>#NAME?</v>
      </c>
      <c r="Q64" s="43" t="e">
        <f t="array" aca="1" ref="Q64" ca="1">IF(O64&lt;2,"",VAR(IF($G$3:$G$38=$L64,IF($H$3:$H$38=$M64,IF($I$3:$I$38=$N64,$J$3:$J$38,"")))))</f>
        <v>#NAME?</v>
      </c>
    </row>
    <row r="65" spans="12:17" x14ac:dyDescent="0.25">
      <c r="L65" s="183" t="e">
        <f t="shared" ca="1" si="11"/>
        <v>#NAME?</v>
      </c>
      <c r="M65" s="7" t="e">
        <f t="shared" ca="1" si="7"/>
        <v>#NAME?</v>
      </c>
      <c r="N65" s="43" t="e">
        <f t="shared" ca="1" si="7"/>
        <v>#NAME?</v>
      </c>
      <c r="O65" s="183">
        <f t="shared" ca="1" si="9"/>
        <v>36</v>
      </c>
      <c r="P65" s="7" t="e">
        <f t="shared" ca="1" si="10"/>
        <v>#NAME?</v>
      </c>
      <c r="Q65" s="43" t="e">
        <f t="array" aca="1" ref="Q65" ca="1">IF(O65&lt;2,"",VAR(IF($G$3:$G$38=$L65,IF($H$3:$H$38=$M65,IF($I$3:$I$38=$N65,$J$3:$J$38,"")))))</f>
        <v>#NAME?</v>
      </c>
    </row>
    <row r="66" spans="12:17" x14ac:dyDescent="0.25">
      <c r="L66" s="183" t="e">
        <f t="shared" ca="1" si="11"/>
        <v>#NAME?</v>
      </c>
      <c r="M66" s="7" t="e">
        <f t="shared" ca="1" si="7"/>
        <v>#NAME?</v>
      </c>
      <c r="N66" s="43" t="e">
        <f t="shared" ca="1" si="7"/>
        <v>#NAME?</v>
      </c>
      <c r="O66" s="183">
        <f t="shared" ca="1" si="9"/>
        <v>36</v>
      </c>
      <c r="P66" s="7" t="e">
        <f t="shared" ca="1" si="10"/>
        <v>#NAME?</v>
      </c>
      <c r="Q66" s="43" t="e">
        <f t="array" aca="1" ref="Q66" ca="1">IF(O66&lt;2,"",VAR(IF($G$3:$G$38=$L66,IF($H$3:$H$38=$M66,IF($I$3:$I$38=$N66,$J$3:$J$38,"")))))</f>
        <v>#NAME?</v>
      </c>
    </row>
    <row r="67" spans="12:17" x14ac:dyDescent="0.25">
      <c r="L67" s="183" t="e">
        <f t="shared" ca="1" si="11"/>
        <v>#NAME?</v>
      </c>
      <c r="M67" s="7" t="e">
        <f t="shared" ref="M67:N82" ca="1" si="12">M55</f>
        <v>#NAME?</v>
      </c>
      <c r="N67" s="43" t="e">
        <f t="shared" ca="1" si="12"/>
        <v>#NAME?</v>
      </c>
      <c r="O67" s="183">
        <f t="shared" ca="1" si="9"/>
        <v>36</v>
      </c>
      <c r="P67" s="7" t="e">
        <f t="shared" ca="1" si="10"/>
        <v>#NAME?</v>
      </c>
      <c r="Q67" s="43" t="e">
        <f t="array" aca="1" ref="Q67" ca="1">IF(O67&lt;2,"",VAR(IF($G$3:$G$38=$L67,IF($H$3:$H$38=$M67,IF($I$3:$I$38=$N67,$J$3:$J$38,"")))))</f>
        <v>#NAME?</v>
      </c>
    </row>
    <row r="68" spans="12:17" x14ac:dyDescent="0.25">
      <c r="L68" s="183" t="e">
        <f t="shared" ca="1" si="11"/>
        <v>#NAME?</v>
      </c>
      <c r="M68" s="7" t="e">
        <f t="shared" ca="1" si="12"/>
        <v>#NAME?</v>
      </c>
      <c r="N68" s="43" t="e">
        <f t="shared" ca="1" si="12"/>
        <v>#NAME?</v>
      </c>
      <c r="O68" s="183">
        <f t="shared" ca="1" si="9"/>
        <v>36</v>
      </c>
      <c r="P68" s="7" t="e">
        <f t="shared" ca="1" si="10"/>
        <v>#NAME?</v>
      </c>
      <c r="Q68" s="43" t="e">
        <f t="array" aca="1" ref="Q68" ca="1">IF(O68&lt;2,"",VAR(IF($G$3:$G$38=$L68,IF($H$3:$H$38=$M68,IF($I$3:$I$38=$N68,$J$3:$J$38,"")))))</f>
        <v>#NAME?</v>
      </c>
    </row>
    <row r="69" spans="12:17" x14ac:dyDescent="0.25">
      <c r="L69" s="183" t="e">
        <f t="shared" ca="1" si="11"/>
        <v>#NAME?</v>
      </c>
      <c r="M69" s="7" t="e">
        <f t="shared" ca="1" si="12"/>
        <v>#NAME?</v>
      </c>
      <c r="N69" s="43" t="e">
        <f t="shared" ca="1" si="12"/>
        <v>#NAME?</v>
      </c>
      <c r="O69" s="183">
        <f t="shared" ca="1" si="9"/>
        <v>36</v>
      </c>
      <c r="P69" s="7" t="e">
        <f t="shared" ca="1" si="10"/>
        <v>#NAME?</v>
      </c>
      <c r="Q69" s="43" t="e">
        <f t="array" aca="1" ref="Q69" ca="1">IF(O69&lt;2,"",VAR(IF($G$3:$G$38=$L69,IF($H$3:$H$38=$M69,IF($I$3:$I$38=$N69,$J$3:$J$38,"")))))</f>
        <v>#NAME?</v>
      </c>
    </row>
    <row r="70" spans="12:17" x14ac:dyDescent="0.25">
      <c r="L70" s="183" t="e">
        <f t="shared" ca="1" si="11"/>
        <v>#NAME?</v>
      </c>
      <c r="M70" s="7" t="e">
        <f t="shared" ca="1" si="12"/>
        <v>#NAME?</v>
      </c>
      <c r="N70" s="43" t="e">
        <f t="shared" ca="1" si="12"/>
        <v>#NAME?</v>
      </c>
      <c r="O70" s="183">
        <f t="shared" ca="1" si="9"/>
        <v>36</v>
      </c>
      <c r="P70" s="7" t="e">
        <f t="shared" ca="1" si="10"/>
        <v>#NAME?</v>
      </c>
      <c r="Q70" s="43" t="e">
        <f t="array" aca="1" ref="Q70" ca="1">IF(O70&lt;2,"",VAR(IF($G$3:$G$38=$L70,IF($H$3:$H$38=$M70,IF($I$3:$I$38=$N70,$J$3:$J$38,"")))))</f>
        <v>#NAME?</v>
      </c>
    </row>
    <row r="71" spans="12:17" x14ac:dyDescent="0.25">
      <c r="L71" s="183" t="e">
        <f ca="1">$L$6</f>
        <v>#NAME?</v>
      </c>
      <c r="M71" s="7" t="e">
        <f t="shared" ca="1" si="12"/>
        <v>#NAME?</v>
      </c>
      <c r="N71" s="43" t="e">
        <f t="shared" ca="1" si="12"/>
        <v>#NAME?</v>
      </c>
      <c r="O71" s="183">
        <f t="shared" ca="1" si="9"/>
        <v>36</v>
      </c>
      <c r="P71" s="7" t="e">
        <f t="shared" ca="1" si="10"/>
        <v>#NAME?</v>
      </c>
      <c r="Q71" s="43" t="e">
        <f t="array" aca="1" ref="Q71" ca="1">IF(O71&lt;2,"",VAR(IF($G$3:$G$38=$L71,IF($H$3:$H$38=$M71,IF($I$3:$I$38=$N71,$J$3:$J$38,"")))))</f>
        <v>#NAME?</v>
      </c>
    </row>
    <row r="72" spans="12:17" x14ac:dyDescent="0.25">
      <c r="L72" s="183" t="e">
        <f t="shared" ref="L72:L82" ca="1" si="13">$L$6</f>
        <v>#NAME?</v>
      </c>
      <c r="M72" s="7" t="e">
        <f t="shared" ca="1" si="12"/>
        <v>#NAME?</v>
      </c>
      <c r="N72" s="43" t="e">
        <f t="shared" ca="1" si="12"/>
        <v>#NAME?</v>
      </c>
      <c r="O72" s="183">
        <f t="shared" ca="1" si="9"/>
        <v>36</v>
      </c>
      <c r="P72" s="7" t="e">
        <f t="shared" ca="1" si="10"/>
        <v>#NAME?</v>
      </c>
      <c r="Q72" s="43" t="e">
        <f t="array" aca="1" ref="Q72" ca="1">IF(O72&lt;2,"",VAR(IF($G$3:$G$38=$L72,IF($H$3:$H$38=$M72,IF($I$3:$I$38=$N72,$J$3:$J$38,"")))))</f>
        <v>#NAME?</v>
      </c>
    </row>
    <row r="73" spans="12:17" x14ac:dyDescent="0.25">
      <c r="L73" s="183" t="e">
        <f t="shared" ca="1" si="13"/>
        <v>#NAME?</v>
      </c>
      <c r="M73" s="7" t="e">
        <f t="shared" ca="1" si="12"/>
        <v>#NAME?</v>
      </c>
      <c r="N73" s="43" t="e">
        <f t="shared" ca="1" si="12"/>
        <v>#NAME?</v>
      </c>
      <c r="O73" s="183">
        <f t="shared" ca="1" si="9"/>
        <v>36</v>
      </c>
      <c r="P73" s="7" t="e">
        <f t="shared" ca="1" si="10"/>
        <v>#NAME?</v>
      </c>
      <c r="Q73" s="43" t="e">
        <f t="array" aca="1" ref="Q73" ca="1">IF(O73&lt;2,"",VAR(IF($G$3:$G$38=$L73,IF($H$3:$H$38=$M73,IF($I$3:$I$38=$N73,$J$3:$J$38,"")))))</f>
        <v>#NAME?</v>
      </c>
    </row>
    <row r="74" spans="12:17" x14ac:dyDescent="0.25">
      <c r="L74" s="183" t="e">
        <f t="shared" ca="1" si="13"/>
        <v>#NAME?</v>
      </c>
      <c r="M74" s="7" t="e">
        <f t="shared" ca="1" si="12"/>
        <v>#NAME?</v>
      </c>
      <c r="N74" s="43" t="e">
        <f t="shared" ca="1" si="12"/>
        <v>#NAME?</v>
      </c>
      <c r="O74" s="183">
        <f t="shared" ca="1" si="9"/>
        <v>36</v>
      </c>
      <c r="P74" s="7" t="e">
        <f t="shared" ca="1" si="10"/>
        <v>#NAME?</v>
      </c>
      <c r="Q74" s="43" t="e">
        <f t="array" aca="1" ref="Q74" ca="1">IF(O74&lt;2,"",VAR(IF($G$3:$G$38=$L74,IF($H$3:$H$38=$M74,IF($I$3:$I$38=$N74,$J$3:$J$38,"")))))</f>
        <v>#NAME?</v>
      </c>
    </row>
    <row r="75" spans="12:17" x14ac:dyDescent="0.25">
      <c r="L75" s="183" t="e">
        <f t="shared" ca="1" si="13"/>
        <v>#NAME?</v>
      </c>
      <c r="M75" s="7" t="e">
        <f t="shared" ca="1" si="12"/>
        <v>#NAME?</v>
      </c>
      <c r="N75" s="43" t="e">
        <f t="shared" ca="1" si="12"/>
        <v>#NAME?</v>
      </c>
      <c r="O75" s="183">
        <f t="shared" ca="1" si="9"/>
        <v>36</v>
      </c>
      <c r="P75" s="7" t="e">
        <f t="shared" ca="1" si="10"/>
        <v>#NAME?</v>
      </c>
      <c r="Q75" s="43" t="e">
        <f t="array" aca="1" ref="Q75" ca="1">IF(O75&lt;2,"",VAR(IF($G$3:$G$38=$L75,IF($H$3:$H$38=$M75,IF($I$3:$I$38=$N75,$J$3:$J$38,"")))))</f>
        <v>#NAME?</v>
      </c>
    </row>
    <row r="76" spans="12:17" x14ac:dyDescent="0.25">
      <c r="L76" s="183" t="e">
        <f t="shared" ca="1" si="13"/>
        <v>#NAME?</v>
      </c>
      <c r="M76" s="7" t="e">
        <f t="shared" ca="1" si="12"/>
        <v>#NAME?</v>
      </c>
      <c r="N76" s="43" t="e">
        <f t="shared" ca="1" si="12"/>
        <v>#NAME?</v>
      </c>
      <c r="O76" s="183">
        <f t="shared" ca="1" si="9"/>
        <v>36</v>
      </c>
      <c r="P76" s="7" t="e">
        <f t="shared" ca="1" si="10"/>
        <v>#NAME?</v>
      </c>
      <c r="Q76" s="43" t="e">
        <f t="array" aca="1" ref="Q76" ca="1">IF(O76&lt;2,"",VAR(IF($G$3:$G$38=$L76,IF($H$3:$H$38=$M76,IF($I$3:$I$38=$N76,$J$3:$J$38,"")))))</f>
        <v>#NAME?</v>
      </c>
    </row>
    <row r="77" spans="12:17" x14ac:dyDescent="0.25">
      <c r="L77" s="183" t="e">
        <f t="shared" ca="1" si="13"/>
        <v>#NAME?</v>
      </c>
      <c r="M77" s="7" t="e">
        <f t="shared" ca="1" si="12"/>
        <v>#NAME?</v>
      </c>
      <c r="N77" s="43" t="e">
        <f t="shared" ca="1" si="12"/>
        <v>#NAME?</v>
      </c>
      <c r="O77" s="183">
        <f t="shared" ca="1" si="9"/>
        <v>36</v>
      </c>
      <c r="P77" s="7" t="e">
        <f t="shared" ca="1" si="10"/>
        <v>#NAME?</v>
      </c>
      <c r="Q77" s="43" t="e">
        <f t="array" aca="1" ref="Q77" ca="1">IF(O77&lt;2,"",VAR(IF($G$3:$G$38=$L77,IF($H$3:$H$38=$M77,IF($I$3:$I$38=$N77,$J$3:$J$38,"")))))</f>
        <v>#NAME?</v>
      </c>
    </row>
    <row r="78" spans="12:17" x14ac:dyDescent="0.25">
      <c r="L78" s="183" t="e">
        <f t="shared" ca="1" si="13"/>
        <v>#NAME?</v>
      </c>
      <c r="M78" s="7" t="e">
        <f t="shared" ca="1" si="12"/>
        <v>#NAME?</v>
      </c>
      <c r="N78" s="43" t="e">
        <f t="shared" ca="1" si="12"/>
        <v>#NAME?</v>
      </c>
      <c r="O78" s="183">
        <f t="shared" ca="1" si="9"/>
        <v>36</v>
      </c>
      <c r="P78" s="7" t="e">
        <f t="shared" ca="1" si="10"/>
        <v>#NAME?</v>
      </c>
      <c r="Q78" s="43" t="e">
        <f t="array" aca="1" ref="Q78" ca="1">IF(O78&lt;2,"",VAR(IF($G$3:$G$38=$L78,IF($H$3:$H$38=$M78,IF($I$3:$I$38=$N78,$J$3:$J$38,"")))))</f>
        <v>#NAME?</v>
      </c>
    </row>
    <row r="79" spans="12:17" x14ac:dyDescent="0.25">
      <c r="L79" s="183" t="e">
        <f t="shared" ca="1" si="13"/>
        <v>#NAME?</v>
      </c>
      <c r="M79" s="7" t="e">
        <f t="shared" ca="1" si="12"/>
        <v>#NAME?</v>
      </c>
      <c r="N79" s="43" t="e">
        <f t="shared" ca="1" si="12"/>
        <v>#NAME?</v>
      </c>
      <c r="O79" s="183">
        <f t="shared" ca="1" si="9"/>
        <v>36</v>
      </c>
      <c r="P79" s="7" t="e">
        <f t="shared" ca="1" si="10"/>
        <v>#NAME?</v>
      </c>
      <c r="Q79" s="43" t="e">
        <f t="array" aca="1" ref="Q79" ca="1">IF(O79&lt;2,"",VAR(IF($G$3:$G$38=$L79,IF($H$3:$H$38=$M79,IF($I$3:$I$38=$N79,$J$3:$J$38,"")))))</f>
        <v>#NAME?</v>
      </c>
    </row>
    <row r="80" spans="12:17" x14ac:dyDescent="0.25">
      <c r="L80" s="183" t="e">
        <f t="shared" ca="1" si="13"/>
        <v>#NAME?</v>
      </c>
      <c r="M80" s="7" t="e">
        <f t="shared" ca="1" si="12"/>
        <v>#NAME?</v>
      </c>
      <c r="N80" s="43" t="e">
        <f t="shared" ca="1" si="12"/>
        <v>#NAME?</v>
      </c>
      <c r="O80" s="183">
        <f t="shared" ca="1" si="9"/>
        <v>36</v>
      </c>
      <c r="P80" s="7" t="e">
        <f t="shared" ca="1" si="10"/>
        <v>#NAME?</v>
      </c>
      <c r="Q80" s="43" t="e">
        <f t="array" aca="1" ref="Q80" ca="1">IF(O80&lt;2,"",VAR(IF($G$3:$G$38=$L80,IF($H$3:$H$38=$M80,IF($I$3:$I$38=$N80,$J$3:$J$38,"")))))</f>
        <v>#NAME?</v>
      </c>
    </row>
    <row r="81" spans="12:17" x14ac:dyDescent="0.25">
      <c r="L81" s="183" t="e">
        <f t="shared" ca="1" si="13"/>
        <v>#NAME?</v>
      </c>
      <c r="M81" s="7" t="e">
        <f t="shared" ca="1" si="12"/>
        <v>#NAME?</v>
      </c>
      <c r="N81" s="43" t="e">
        <f t="shared" ca="1" si="12"/>
        <v>#NAME?</v>
      </c>
      <c r="O81" s="183">
        <f t="shared" ca="1" si="9"/>
        <v>36</v>
      </c>
      <c r="P81" s="7" t="e">
        <f t="shared" ca="1" si="10"/>
        <v>#NAME?</v>
      </c>
      <c r="Q81" s="43" t="e">
        <f t="array" aca="1" ref="Q81" ca="1">IF(O81&lt;2,"",VAR(IF($G$3:$G$38=$L81,IF($H$3:$H$38=$M81,IF($I$3:$I$38=$N81,$J$3:$J$38,"")))))</f>
        <v>#NAME?</v>
      </c>
    </row>
    <row r="82" spans="12:17" x14ac:dyDescent="0.25">
      <c r="L82" s="351" t="e">
        <f t="shared" ca="1" si="13"/>
        <v>#NAME?</v>
      </c>
      <c r="M82" s="352" t="e">
        <f t="shared" ca="1" si="12"/>
        <v>#NAME?</v>
      </c>
      <c r="N82" s="353" t="e">
        <f t="shared" ca="1" si="12"/>
        <v>#NAME?</v>
      </c>
      <c r="O82" s="351">
        <f t="shared" ca="1" si="9"/>
        <v>36</v>
      </c>
      <c r="P82" s="352" t="e">
        <f t="shared" ca="1" si="10"/>
        <v>#NAME?</v>
      </c>
      <c r="Q82" s="353" t="e">
        <f t="array" aca="1" ref="Q82" ca="1">IF(O82&lt;2,"",VAR(IF($G$3:$G$38=$L82,IF($H$3:$H$38=$M82,IF($I$3:$I$38=$N82,$J$3:$J$38,"")))))</f>
        <v>#NAME?</v>
      </c>
    </row>
    <row r="83" spans="12:17" x14ac:dyDescent="0.25">
      <c r="O83">
        <f ca="1">SUM(O47:O82)</f>
        <v>1296</v>
      </c>
      <c r="P83" t="e">
        <f ca="1">AVERAGE(J3:J38)</f>
        <v>#NAME?</v>
      </c>
      <c r="Q83" t="e">
        <f ca="1">VAR(J3:J38)</f>
        <v>#NAME?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Q83"/>
  <sheetViews>
    <sheetView workbookViewId="0"/>
  </sheetViews>
  <sheetFormatPr defaultRowHeight="15" x14ac:dyDescent="0.25"/>
  <cols>
    <col min="1" max="1" width="5" customWidth="1"/>
    <col min="2" max="5" width="7.5703125" customWidth="1"/>
    <col min="7" max="9" width="9.140625" style="612"/>
    <col min="19" max="19" width="16" customWidth="1"/>
  </cols>
  <sheetData>
    <row r="1" spans="1:69" ht="15.75" thickBot="1" x14ac:dyDescent="0.3">
      <c r="A1" s="1" t="s">
        <v>1411</v>
      </c>
      <c r="G1" s="39" t="s">
        <v>819</v>
      </c>
      <c r="L1" t="s">
        <v>13</v>
      </c>
      <c r="S1" t="s">
        <v>1427</v>
      </c>
      <c r="AA1" t="s">
        <v>1419</v>
      </c>
      <c r="AL1" t="s">
        <v>1420</v>
      </c>
      <c r="AW1" t="s">
        <v>1421</v>
      </c>
      <c r="BH1" t="s">
        <v>1422</v>
      </c>
    </row>
    <row r="2" spans="1:69" ht="15.75" thickTop="1" x14ac:dyDescent="0.25">
      <c r="AA2" s="386" t="s">
        <v>53</v>
      </c>
      <c r="AB2" s="386" t="s">
        <v>27</v>
      </c>
      <c r="AC2" s="386" t="s">
        <v>6</v>
      </c>
      <c r="AD2" s="386" t="s">
        <v>110</v>
      </c>
      <c r="AL2" s="386" t="s">
        <v>53</v>
      </c>
      <c r="AM2" s="386" t="s">
        <v>27</v>
      </c>
      <c r="AN2" s="386" t="s">
        <v>6</v>
      </c>
      <c r="AO2" s="386" t="s">
        <v>110</v>
      </c>
      <c r="AW2" s="386" t="s">
        <v>53</v>
      </c>
      <c r="AX2" s="386" t="s">
        <v>27</v>
      </c>
      <c r="AY2" s="386" t="s">
        <v>6</v>
      </c>
      <c r="AZ2" s="386" t="s">
        <v>110</v>
      </c>
      <c r="BH2" s="386" t="s">
        <v>53</v>
      </c>
      <c r="BI2" s="386" t="s">
        <v>27</v>
      </c>
      <c r="BJ2" s="386" t="s">
        <v>6</v>
      </c>
      <c r="BK2" s="386" t="s">
        <v>110</v>
      </c>
    </row>
    <row r="3" spans="1:69" ht="15.75" thickBot="1" x14ac:dyDescent="0.3">
      <c r="B3" s="612" t="s">
        <v>109</v>
      </c>
      <c r="C3" s="612" t="s">
        <v>95</v>
      </c>
      <c r="D3" s="612" t="s">
        <v>96</v>
      </c>
      <c r="E3" s="612" t="s">
        <v>97</v>
      </c>
      <c r="G3" s="599" t="e">
        <f t="array" aca="1" ref="G3:J38" ca="1">Split2Std(A3:E12, 3)</f>
        <v>#NAME?</v>
      </c>
      <c r="H3" s="666" t="e">
        <f ca="1"/>
        <v>#NAME?</v>
      </c>
      <c r="I3" s="666" t="e">
        <f ca="1"/>
        <v>#NAME?</v>
      </c>
      <c r="J3" s="557" t="e">
        <f ca="1"/>
        <v>#NAME?</v>
      </c>
      <c r="O3" s="12" t="s">
        <v>12</v>
      </c>
      <c r="P3" s="12" t="s">
        <v>9</v>
      </c>
      <c r="Q3" s="12" t="s">
        <v>54</v>
      </c>
      <c r="S3" t="s">
        <v>125</v>
      </c>
      <c r="W3" s="612" t="s">
        <v>18</v>
      </c>
      <c r="X3" s="612">
        <v>0.05</v>
      </c>
      <c r="AA3" s="664" t="e">
        <f t="array" ref="AA3:AA6" ca="1">N10:N13</f>
        <v>#NAME?</v>
      </c>
      <c r="AB3" s="665"/>
      <c r="AC3" s="664" t="e">
        <f t="array" ref="AC3:AC6" ca="1">P10:P13</f>
        <v>#NAME?</v>
      </c>
      <c r="AD3" s="664">
        <f t="array" ref="AD3:AD6" ca="1">O10:O13</f>
        <v>1296</v>
      </c>
      <c r="AL3" s="664" t="e">
        <f t="array" ref="AL3:AL5" ca="1">M7:M9</f>
        <v>#NAME?</v>
      </c>
      <c r="AM3" s="665"/>
      <c r="AN3" s="664" t="e">
        <f t="array" ref="AN3:AN5" ca="1">P7:P9</f>
        <v>#NAME?</v>
      </c>
      <c r="AO3" s="664">
        <f t="array" ref="AO3:AO5" ca="1">O7:O9</f>
        <v>1296</v>
      </c>
      <c r="AW3" s="664" t="e">
        <f t="array" ref="AW3:AW6" ca="1">N10:N13</f>
        <v>#NAME?</v>
      </c>
      <c r="AX3" s="665"/>
      <c r="AY3" s="664" t="e">
        <f t="array" ref="AY3:AY6" ca="1">P10:P13</f>
        <v>#NAME?</v>
      </c>
      <c r="AZ3" s="664">
        <f t="array" ref="AZ3:AZ6" ca="1">O10:O13</f>
        <v>1296</v>
      </c>
      <c r="BH3" s="664" t="e">
        <f t="array" ref="BH3:BH5" ca="1">M7:M9</f>
        <v>#NAME?</v>
      </c>
      <c r="BI3" s="665"/>
      <c r="BJ3" s="664" t="e">
        <f t="array" ref="BJ3:BJ5" ca="1">P7:P9</f>
        <v>#NAME?</v>
      </c>
      <c r="BK3" s="664">
        <f t="array" ref="BK3:BK5" ca="1">O7:O9</f>
        <v>1296</v>
      </c>
    </row>
    <row r="4" spans="1:69" ht="15.75" thickTop="1" x14ac:dyDescent="0.25">
      <c r="A4" s="612">
        <v>580</v>
      </c>
      <c r="B4" s="646">
        <v>217</v>
      </c>
      <c r="C4" s="387">
        <v>158</v>
      </c>
      <c r="D4" s="387">
        <v>229</v>
      </c>
      <c r="E4" s="647">
        <v>223</v>
      </c>
      <c r="G4" s="182" t="e">
        <f ca="1"/>
        <v>#NAME?</v>
      </c>
      <c r="H4" s="613" t="e">
        <f ca="1"/>
        <v>#NAME?</v>
      </c>
      <c r="I4" s="613" t="e">
        <f ca="1"/>
        <v>#NAME?</v>
      </c>
      <c r="J4" s="43" t="e">
        <f ca="1"/>
        <v>#NAME?</v>
      </c>
      <c r="L4" s="550" t="e">
        <f t="array" aca="1" ref="L4:L6" ca="1">SortUnique(G3:G38)</f>
        <v>#NAME?</v>
      </c>
      <c r="M4" s="556"/>
      <c r="N4" s="557"/>
      <c r="O4" s="550">
        <f ca="1">SUMIF($L$47:$L$82,L4,$O$47:$O$82)</f>
        <v>1296</v>
      </c>
      <c r="P4" s="556" t="e">
        <f ca="1">IF(O4=0,"",AVERAGEIF($G$3:$G$38,$L4,$J$3:$J$38))</f>
        <v>#NAME?</v>
      </c>
      <c r="Q4" s="557" t="e">
        <f t="array" aca="1" ref="Q4" ca="1">IF(O4&lt;2,"",VAR(IF($G$3:$G$38=$L4,$J$3:$J$38,"")))</f>
        <v>#NAME?</v>
      </c>
      <c r="S4" s="386"/>
      <c r="T4" s="386" t="s">
        <v>111</v>
      </c>
      <c r="U4" s="386" t="s">
        <v>41</v>
      </c>
      <c r="V4" s="386" t="s">
        <v>115</v>
      </c>
      <c r="W4" s="386" t="s">
        <v>98</v>
      </c>
      <c r="X4" s="386" t="s">
        <v>48</v>
      </c>
      <c r="Y4" s="386" t="s">
        <v>164</v>
      </c>
      <c r="AA4" s="7" t="e">
        <f ca="1"/>
        <v>#NAME?</v>
      </c>
      <c r="AB4" s="539">
        <v>-1</v>
      </c>
      <c r="AC4" s="7" t="e">
        <f ca="1"/>
        <v>#NAME?</v>
      </c>
      <c r="AD4" s="7">
        <f ca="1"/>
        <v>1296</v>
      </c>
      <c r="AL4" s="7" t="e">
        <f ca="1"/>
        <v>#NAME?</v>
      </c>
      <c r="AM4" s="539">
        <v>1</v>
      </c>
      <c r="AN4" s="7" t="e">
        <f ca="1"/>
        <v>#NAME?</v>
      </c>
      <c r="AO4" s="7">
        <f ca="1"/>
        <v>1296</v>
      </c>
      <c r="AW4" s="7" t="e">
        <f ca="1"/>
        <v>#NAME?</v>
      </c>
      <c r="AX4" s="539">
        <v>-1</v>
      </c>
      <c r="AY4" s="7" t="e">
        <f ca="1"/>
        <v>#NAME?</v>
      </c>
      <c r="AZ4" s="7">
        <f ca="1"/>
        <v>1296</v>
      </c>
      <c r="BH4" s="7" t="e">
        <f ca="1"/>
        <v>#NAME?</v>
      </c>
      <c r="BI4" s="539">
        <v>1</v>
      </c>
      <c r="BJ4" s="7" t="e">
        <f ca="1"/>
        <v>#NAME?</v>
      </c>
      <c r="BK4" s="7">
        <f ca="1"/>
        <v>1296</v>
      </c>
    </row>
    <row r="5" spans="1:69" x14ac:dyDescent="0.25">
      <c r="A5" s="612">
        <v>600</v>
      </c>
      <c r="B5" s="214">
        <v>233</v>
      </c>
      <c r="C5" s="7">
        <v>138</v>
      </c>
      <c r="D5" s="7">
        <v>186</v>
      </c>
      <c r="E5" s="215">
        <v>227</v>
      </c>
      <c r="G5" s="182" t="e">
        <f ca="1"/>
        <v>#NAME?</v>
      </c>
      <c r="H5" s="613" t="e">
        <f ca="1"/>
        <v>#NAME?</v>
      </c>
      <c r="I5" s="613" t="e">
        <f ca="1"/>
        <v>#NAME?</v>
      </c>
      <c r="J5" s="43" t="e">
        <f ca="1"/>
        <v>#NAME?</v>
      </c>
      <c r="L5" s="183" t="e">
        <f ca="1"/>
        <v>#NAME?</v>
      </c>
      <c r="M5" s="7"/>
      <c r="N5" s="43"/>
      <c r="O5" s="183">
        <f ca="1">SUMIF($L$47:$L$82,L5,$O$47:$O$82)</f>
        <v>1296</v>
      </c>
      <c r="P5" s="7" t="e">
        <f ca="1">IF(O5=0,"",AVERAGEIF($G$3:$G$38,$L5,$J$3:$J$38))</f>
        <v>#NAME?</v>
      </c>
      <c r="Q5" s="43" t="e">
        <f t="array" aca="1" ref="Q5" ca="1">IF(O5&lt;2,"",VAR(IF($G$3:$G$38=$L5,$J$3:$J$38,"")))</f>
        <v>#NAME?</v>
      </c>
      <c r="S5" t="s">
        <v>1414</v>
      </c>
      <c r="T5" t="e">
        <f ca="1">DEVSQ(P10:P13)*O10</f>
        <v>#NAME?</v>
      </c>
      <c r="U5">
        <f ca="1">COUNT(P10:P13)-1</f>
        <v>-1</v>
      </c>
      <c r="V5" t="e">
        <f t="shared" ref="V5:V10" ca="1" si="0">T5/U5</f>
        <v>#NAME?</v>
      </c>
      <c r="W5" t="e">
        <f ca="1">V5/V6</f>
        <v>#NAME?</v>
      </c>
      <c r="X5" t="e">
        <f ca="1">FDIST(W5,U5,U6)</f>
        <v>#NAME?</v>
      </c>
      <c r="Y5" s="612" t="e">
        <f ca="1">IF(X5&lt;X3,"yes","no")</f>
        <v>#NAME?</v>
      </c>
      <c r="AA5" s="7" t="e">
        <f ca="1"/>
        <v>#NAME?</v>
      </c>
      <c r="AB5" s="539">
        <v>1</v>
      </c>
      <c r="AC5" s="7" t="e">
        <f ca="1"/>
        <v>#NAME?</v>
      </c>
      <c r="AD5" s="7">
        <f ca="1"/>
        <v>1296</v>
      </c>
      <c r="AL5" s="354" t="e">
        <f ca="1"/>
        <v>#NAME?</v>
      </c>
      <c r="AM5" s="540">
        <v>-1</v>
      </c>
      <c r="AN5" s="354" t="e">
        <f ca="1"/>
        <v>#NAME?</v>
      </c>
      <c r="AO5" s="354">
        <f ca="1"/>
        <v>1296</v>
      </c>
      <c r="AW5" s="7" t="e">
        <f ca="1"/>
        <v>#NAME?</v>
      </c>
      <c r="AX5" s="539">
        <v>1</v>
      </c>
      <c r="AY5" s="7" t="e">
        <f ca="1"/>
        <v>#NAME?</v>
      </c>
      <c r="AZ5" s="7">
        <f ca="1"/>
        <v>1296</v>
      </c>
      <c r="BH5" s="354" t="e">
        <f ca="1"/>
        <v>#NAME?</v>
      </c>
      <c r="BI5" s="540">
        <v>-1</v>
      </c>
      <c r="BJ5" s="354" t="e">
        <f ca="1"/>
        <v>#NAME?</v>
      </c>
      <c r="BK5" s="354">
        <f ca="1"/>
        <v>1296</v>
      </c>
    </row>
    <row r="6" spans="1:69" x14ac:dyDescent="0.25">
      <c r="A6" s="612">
        <v>620</v>
      </c>
      <c r="B6" s="214">
        <v>175</v>
      </c>
      <c r="C6" s="7">
        <v>152</v>
      </c>
      <c r="D6" s="7">
        <v>155</v>
      </c>
      <c r="E6" s="215">
        <v>156</v>
      </c>
      <c r="G6" s="182" t="e">
        <f ca="1"/>
        <v>#NAME?</v>
      </c>
      <c r="H6" s="613" t="e">
        <f ca="1"/>
        <v>#NAME?</v>
      </c>
      <c r="I6" s="613" t="e">
        <f ca="1"/>
        <v>#NAME?</v>
      </c>
      <c r="J6" s="43" t="e">
        <f ca="1"/>
        <v>#NAME?</v>
      </c>
      <c r="L6" s="183" t="e">
        <f ca="1"/>
        <v>#NAME?</v>
      </c>
      <c r="M6" s="7"/>
      <c r="N6" s="43"/>
      <c r="O6" s="183">
        <f ca="1">SUMIF($L$47:$L$82,L6,$O$47:$O$82)</f>
        <v>1296</v>
      </c>
      <c r="P6" s="7" t="e">
        <f ca="1">IF(O6=0,"",AVERAGEIF($G$3:$G$38,$L6,$J$3:$J$38))</f>
        <v>#NAME?</v>
      </c>
      <c r="Q6" s="43" t="e">
        <f t="array" aca="1" ref="Q6" ca="1">IF(O6&lt;2,"",VAR(IF($G$3:$G$38=$L6,$J$3:$J$38,"")))</f>
        <v>#NAME?</v>
      </c>
      <c r="S6" s="354" t="s">
        <v>1428</v>
      </c>
      <c r="T6" s="354" t="e">
        <f ca="1">DEVSQ(P23:P34)*O23-T5</f>
        <v>#NAME?</v>
      </c>
      <c r="U6" s="354">
        <f ca="1">(COUNT(P4:P6)-1)*(U5+1)</f>
        <v>0</v>
      </c>
      <c r="V6" s="354" t="e">
        <f t="shared" ca="1" si="0"/>
        <v>#NAME?</v>
      </c>
      <c r="W6" s="354" t="e">
        <f ca="1">V6/V9</f>
        <v>#NAME?</v>
      </c>
      <c r="X6" s="354" t="e">
        <f ca="1">FDIST(W6,U6,U9)</f>
        <v>#NAME?</v>
      </c>
      <c r="Y6" s="614" t="e">
        <f ca="1">IF(X6&lt;X3,"yes","no")</f>
        <v>#NAME?</v>
      </c>
      <c r="AA6" s="354" t="e">
        <f ca="1"/>
        <v>#NAME?</v>
      </c>
      <c r="AB6" s="540"/>
      <c r="AC6" s="354" t="e">
        <f ca="1"/>
        <v>#NAME?</v>
      </c>
      <c r="AD6" s="354">
        <f ca="1"/>
        <v>1296</v>
      </c>
      <c r="AM6">
        <f>SUM(AM3:AM5)</f>
        <v>0</v>
      </c>
      <c r="AN6" t="e">
        <f ca="1">SUMPRODUCT(AM3:AM5,AN3:AN5)</f>
        <v>#NAME?</v>
      </c>
      <c r="AO6">
        <f ca="1">HARMEAN(AO3:AO5)</f>
        <v>1296</v>
      </c>
      <c r="AW6" s="354" t="e">
        <f ca="1"/>
        <v>#NAME?</v>
      </c>
      <c r="AX6" s="540"/>
      <c r="AY6" s="354" t="e">
        <f ca="1"/>
        <v>#NAME?</v>
      </c>
      <c r="AZ6" s="354">
        <f ca="1"/>
        <v>1296</v>
      </c>
      <c r="BI6">
        <f>SUM(BI3:BI5)</f>
        <v>0</v>
      </c>
      <c r="BJ6" t="e">
        <f ca="1">SUMPRODUCT(BI3:BI5,BJ3:BJ5)</f>
        <v>#NAME?</v>
      </c>
      <c r="BK6">
        <f ca="1">HARMEAN(BK3:BK5)</f>
        <v>1296</v>
      </c>
    </row>
    <row r="7" spans="1:69" ht="15.75" thickBot="1" x14ac:dyDescent="0.3">
      <c r="A7" s="612">
        <v>580</v>
      </c>
      <c r="B7" s="646">
        <v>188</v>
      </c>
      <c r="C7" s="387">
        <v>126</v>
      </c>
      <c r="D7" s="387">
        <v>160</v>
      </c>
      <c r="E7" s="647">
        <v>201</v>
      </c>
      <c r="G7" s="182" t="e">
        <f ca="1"/>
        <v>#NAME?</v>
      </c>
      <c r="H7" s="613" t="e">
        <f ca="1"/>
        <v>#NAME?</v>
      </c>
      <c r="I7" s="613" t="e">
        <f ca="1"/>
        <v>#NAME?</v>
      </c>
      <c r="J7" s="43" t="e">
        <f ca="1"/>
        <v>#NAME?</v>
      </c>
      <c r="L7" s="183"/>
      <c r="M7" s="7" t="e">
        <f t="array" aca="1" ref="M7:M9" ca="1">SortUnique(H3:H38)</f>
        <v>#NAME?</v>
      </c>
      <c r="N7" s="43"/>
      <c r="O7" s="183">
        <f ca="1">SUMIF($M$47:$M$82,M7,$O$47:$O$82)</f>
        <v>1296</v>
      </c>
      <c r="P7" s="7" t="e">
        <f ca="1">IF(O7=0,"",AVERAGEIF($H$3:$H$38,$M7,$J$3:$J$38))</f>
        <v>#NAME?</v>
      </c>
      <c r="Q7" s="43" t="e">
        <f t="array" aca="1" ref="Q7" ca="1">IF(O7&lt;2,"",VAR(IF($H$3:$H$38=$M7,$J$3:$J$38,"")))</f>
        <v>#NAME?</v>
      </c>
      <c r="S7" t="s">
        <v>1416</v>
      </c>
      <c r="T7" t="e">
        <f ca="1">DEVSQ(P7:P9)*O7</f>
        <v>#NAME?</v>
      </c>
      <c r="U7">
        <f ca="1">COUNT(P7:P9)-1</f>
        <v>-1</v>
      </c>
      <c r="V7" t="e">
        <f t="shared" ca="1" si="0"/>
        <v>#NAME?</v>
      </c>
      <c r="W7" t="e">
        <f ca="1">V7/V9</f>
        <v>#NAME?</v>
      </c>
      <c r="X7" t="e">
        <f ca="1">FDIST(W7,U7,U9)</f>
        <v>#NAME?</v>
      </c>
      <c r="Y7" s="612" t="e">
        <f ca="1">IF(X7&lt;X3,"yes","no")</f>
        <v>#NAME?</v>
      </c>
      <c r="AB7">
        <f>SUM(AB3:AB6)</f>
        <v>0</v>
      </c>
      <c r="AC7" t="e">
        <f ca="1">SUMPRODUCT(AB3:AB6,AC3:AC6)</f>
        <v>#NAME?</v>
      </c>
      <c r="AD7">
        <f ca="1">HARMEAN(AD3:AD6)</f>
        <v>1296</v>
      </c>
      <c r="AL7" t="s">
        <v>46</v>
      </c>
      <c r="AQ7" t="s">
        <v>18</v>
      </c>
      <c r="AR7">
        <v>0.05</v>
      </c>
      <c r="AX7">
        <f>SUM(AX3:AX6)</f>
        <v>0</v>
      </c>
      <c r="AY7" t="e">
        <f ca="1">SUMPRODUCT(AX3:AX6,AY3:AY6)</f>
        <v>#NAME?</v>
      </c>
      <c r="AZ7">
        <f ca="1">HARMEAN(AZ3:AZ6)</f>
        <v>1296</v>
      </c>
      <c r="BH7" t="s">
        <v>801</v>
      </c>
      <c r="BL7" s="612" t="s">
        <v>18</v>
      </c>
      <c r="BM7" s="612">
        <v>0.05</v>
      </c>
    </row>
    <row r="8" spans="1:69" ht="16.5" thickTop="1" thickBot="1" x14ac:dyDescent="0.3">
      <c r="A8" s="612">
        <v>600</v>
      </c>
      <c r="B8" s="214">
        <v>201</v>
      </c>
      <c r="C8" s="7">
        <v>130</v>
      </c>
      <c r="D8" s="7">
        <v>170</v>
      </c>
      <c r="E8" s="215">
        <v>181</v>
      </c>
      <c r="G8" s="182" t="e">
        <f ca="1"/>
        <v>#NAME?</v>
      </c>
      <c r="H8" s="613" t="e">
        <f ca="1"/>
        <v>#NAME?</v>
      </c>
      <c r="I8" s="613" t="e">
        <f ca="1"/>
        <v>#NAME?</v>
      </c>
      <c r="J8" s="43" t="e">
        <f ca="1"/>
        <v>#NAME?</v>
      </c>
      <c r="L8" s="183"/>
      <c r="M8" s="7" t="e">
        <f ca="1"/>
        <v>#NAME?</v>
      </c>
      <c r="N8" s="43"/>
      <c r="O8" s="183">
        <f ca="1">SUMIF($M$47:$M$82,M8,$O$47:$O$82)</f>
        <v>1296</v>
      </c>
      <c r="P8" s="7" t="e">
        <f ca="1">IF(O8=0,"",AVERAGEIF($H$3:$H$38,$M8,$J$3:$J$38))</f>
        <v>#NAME?</v>
      </c>
      <c r="Q8" s="43" t="e">
        <f t="array" aca="1" ref="Q8" ca="1">IF(O8&lt;2,"",VAR(IF($H$3:$H$38=$M8,$J$3:$J$38,"")))</f>
        <v>#NAME?</v>
      </c>
      <c r="S8" t="s">
        <v>1417</v>
      </c>
      <c r="T8" t="e">
        <f ca="1">DEVSQ(P35:P46)*O35-T5-T7</f>
        <v>#NAME?</v>
      </c>
      <c r="U8">
        <f ca="1">U5*U7</f>
        <v>1</v>
      </c>
      <c r="V8" t="e">
        <f t="shared" ca="1" si="0"/>
        <v>#NAME?</v>
      </c>
      <c r="W8" t="e">
        <f ca="1">V8/V9</f>
        <v>#NAME?</v>
      </c>
      <c r="X8" t="e">
        <f ca="1">FDIST(W8,U8,U9)</f>
        <v>#NAME?</v>
      </c>
      <c r="Y8" s="612" t="e">
        <f ca="1">IF(X8&lt;X3,"yes","no")</f>
        <v>#NAME?</v>
      </c>
      <c r="AA8" t="s">
        <v>46</v>
      </c>
      <c r="AF8" t="s">
        <v>18</v>
      </c>
      <c r="AG8">
        <v>0.05</v>
      </c>
      <c r="AL8" s="386" t="s">
        <v>390</v>
      </c>
      <c r="AM8" s="386" t="s">
        <v>60</v>
      </c>
      <c r="AN8" s="386" t="s">
        <v>41</v>
      </c>
      <c r="AO8" s="386" t="s">
        <v>48</v>
      </c>
      <c r="AP8" s="386" t="s">
        <v>49</v>
      </c>
      <c r="AQ8" s="386" t="s">
        <v>15</v>
      </c>
      <c r="AR8" s="386" t="s">
        <v>16</v>
      </c>
      <c r="AS8" s="386" t="s">
        <v>164</v>
      </c>
      <c r="AT8" s="386" t="s">
        <v>45</v>
      </c>
      <c r="AU8" s="386" t="s">
        <v>399</v>
      </c>
      <c r="AW8" t="s">
        <v>801</v>
      </c>
      <c r="BA8" s="612" t="s">
        <v>18</v>
      </c>
      <c r="BB8" s="612">
        <v>0.05</v>
      </c>
      <c r="BH8" s="386" t="s">
        <v>390</v>
      </c>
      <c r="BI8" s="386" t="s">
        <v>800</v>
      </c>
      <c r="BJ8" s="386" t="s">
        <v>41</v>
      </c>
      <c r="BK8" s="386" t="s">
        <v>166</v>
      </c>
      <c r="BL8" s="386" t="s">
        <v>15</v>
      </c>
      <c r="BM8" s="386" t="s">
        <v>16</v>
      </c>
      <c r="BN8" s="386" t="s">
        <v>48</v>
      </c>
      <c r="BO8" s="386" t="s">
        <v>75</v>
      </c>
      <c r="BP8" s="386" t="s">
        <v>45</v>
      </c>
      <c r="BQ8" s="386" t="s">
        <v>399</v>
      </c>
    </row>
    <row r="9" spans="1:69" ht="15.75" thickTop="1" x14ac:dyDescent="0.25">
      <c r="A9" s="612">
        <v>620</v>
      </c>
      <c r="B9" s="112">
        <v>195</v>
      </c>
      <c r="C9" s="354">
        <v>147</v>
      </c>
      <c r="D9" s="354">
        <v>161</v>
      </c>
      <c r="E9" s="120">
        <v>172</v>
      </c>
      <c r="G9" s="182" t="e">
        <f ca="1"/>
        <v>#NAME?</v>
      </c>
      <c r="H9" s="613" t="e">
        <f ca="1"/>
        <v>#NAME?</v>
      </c>
      <c r="I9" s="613" t="e">
        <f ca="1"/>
        <v>#NAME?</v>
      </c>
      <c r="J9" s="43" t="e">
        <f ca="1"/>
        <v>#NAME?</v>
      </c>
      <c r="L9" s="183"/>
      <c r="M9" s="7" t="e">
        <f ca="1"/>
        <v>#NAME?</v>
      </c>
      <c r="N9" s="43"/>
      <c r="O9" s="183">
        <f ca="1">SUMIF($M$47:$M$82,M9,$O$47:$O$82)</f>
        <v>1296</v>
      </c>
      <c r="P9" s="7" t="e">
        <f ca="1">IF(O9=0,"",AVERAGEIF($H$3:$H$38,$M9,$J$3:$J$38))</f>
        <v>#NAME?</v>
      </c>
      <c r="Q9" s="43" t="e">
        <f t="array" aca="1" ref="Q9" ca="1">IF(O9&lt;2,"",VAR(IF($H$3:$H$38=$M9,$J$3:$J$38,"")))</f>
        <v>#NAME?</v>
      </c>
      <c r="S9" t="s">
        <v>1418</v>
      </c>
      <c r="T9" t="e">
        <f ca="1">T10-SUM(T4:T8)</f>
        <v>#NAME?</v>
      </c>
      <c r="U9">
        <f ca="1">U10-SUM(U4:U8)</f>
        <v>1296</v>
      </c>
      <c r="V9" t="e">
        <f t="shared" ca="1" si="0"/>
        <v>#NAME?</v>
      </c>
      <c r="AA9" s="386" t="s">
        <v>390</v>
      </c>
      <c r="AB9" s="386" t="s">
        <v>60</v>
      </c>
      <c r="AC9" s="386" t="s">
        <v>41</v>
      </c>
      <c r="AD9" s="386" t="s">
        <v>48</v>
      </c>
      <c r="AE9" s="386" t="s">
        <v>49</v>
      </c>
      <c r="AF9" s="386" t="s">
        <v>15</v>
      </c>
      <c r="AG9" s="386" t="s">
        <v>16</v>
      </c>
      <c r="AH9" s="386" t="s">
        <v>164</v>
      </c>
      <c r="AI9" s="386" t="s">
        <v>45</v>
      </c>
      <c r="AJ9" s="386" t="s">
        <v>399</v>
      </c>
      <c r="AL9" s="663" t="e">
        <f ca="1">SQRT(V9*SUMPRODUCT(AM3:AM5^2,1/AO3:AO5))</f>
        <v>#NAME?</v>
      </c>
      <c r="AM9" s="663" t="e">
        <f ca="1">AN6/AL9</f>
        <v>#NAME?</v>
      </c>
      <c r="AN9" s="663">
        <f ca="1">U9</f>
        <v>1296</v>
      </c>
      <c r="AO9" s="663" t="e">
        <f ca="1">TDIST(ABS(AM9),AN9,2)</f>
        <v>#NAME?</v>
      </c>
      <c r="AP9" s="663">
        <f ca="1">TINV(AR7,AN9)</f>
        <v>1.961796122353757</v>
      </c>
      <c r="AQ9" s="663" t="e">
        <f ca="1">AN6-AL9*AP9</f>
        <v>#NAME?</v>
      </c>
      <c r="AR9" s="663" t="e">
        <f ca="1">AN6+AL9*AP9</f>
        <v>#NAME?</v>
      </c>
      <c r="AS9" s="196" t="e">
        <f ca="1">IF(AO9&lt;AR7,"yes","no")</f>
        <v>#NAME?</v>
      </c>
      <c r="AT9" s="663" t="e">
        <f ca="1">ABS(AN6)/SQRT(V9)</f>
        <v>#NAME?</v>
      </c>
      <c r="AU9" s="663" t="e">
        <f ca="1">SQRT(AM9^2/(AM9^2+AN9))</f>
        <v>#NAME?</v>
      </c>
      <c r="AW9" s="386" t="s">
        <v>390</v>
      </c>
      <c r="AX9" s="386" t="s">
        <v>800</v>
      </c>
      <c r="AY9" s="386" t="s">
        <v>41</v>
      </c>
      <c r="AZ9" s="386" t="s">
        <v>166</v>
      </c>
      <c r="BA9" s="386" t="s">
        <v>15</v>
      </c>
      <c r="BB9" s="386" t="s">
        <v>16</v>
      </c>
      <c r="BC9" s="386" t="s">
        <v>48</v>
      </c>
      <c r="BD9" s="386" t="s">
        <v>75</v>
      </c>
      <c r="BE9" s="386" t="s">
        <v>45</v>
      </c>
      <c r="BF9" s="386" t="s">
        <v>399</v>
      </c>
      <c r="BH9" s="663" t="e">
        <f ca="1">SQRT(V9/BK6)</f>
        <v>#NAME?</v>
      </c>
      <c r="BI9" s="663" t="e">
        <f ca="1">BJ6/BH9</f>
        <v>#NAME?</v>
      </c>
      <c r="BJ9" s="663">
        <f ca="1">U9</f>
        <v>1296</v>
      </c>
      <c r="BK9" s="663" t="e">
        <f ca="1">QCRIT(COUNTA(BH3:BH5),BJ9,BM7,2)</f>
        <v>#NAME?</v>
      </c>
      <c r="BL9" s="663" t="e">
        <f ca="1">BJ6-BH9*BK9</f>
        <v>#NAME?</v>
      </c>
      <c r="BM9" s="663" t="e">
        <f ca="1">BJ6+BH9*BK9</f>
        <v>#NAME?</v>
      </c>
      <c r="BN9" s="663" t="e">
        <f ca="1">QDIST(ABS(BI9),COUNTA(BH3:BH5),BJ9)</f>
        <v>#NAME?</v>
      </c>
      <c r="BO9" s="663" t="e">
        <f ca="1">BH9*BK9</f>
        <v>#NAME?</v>
      </c>
      <c r="BP9" s="663" t="e">
        <f ca="1">ABS(BJ6)/SQRT(V9)</f>
        <v>#NAME?</v>
      </c>
      <c r="BQ9" s="663" t="e">
        <f ca="1">SQRT(BI9^2/(BI9^2+BJ9))</f>
        <v>#NAME?</v>
      </c>
    </row>
    <row r="10" spans="1:69" x14ac:dyDescent="0.25">
      <c r="A10" s="612">
        <v>580</v>
      </c>
      <c r="B10" s="214">
        <v>162</v>
      </c>
      <c r="C10" s="7">
        <v>122</v>
      </c>
      <c r="D10" s="7">
        <v>167</v>
      </c>
      <c r="E10" s="215">
        <v>182</v>
      </c>
      <c r="G10" s="182" t="e">
        <f ca="1"/>
        <v>#NAME?</v>
      </c>
      <c r="H10" s="613" t="e">
        <f ca="1"/>
        <v>#NAME?</v>
      </c>
      <c r="I10" s="613" t="e">
        <f ca="1"/>
        <v>#NAME?</v>
      </c>
      <c r="J10" s="43" t="e">
        <f ca="1"/>
        <v>#NAME?</v>
      </c>
      <c r="L10" s="183"/>
      <c r="M10" s="7"/>
      <c r="N10" s="43" t="e">
        <f t="array" aca="1" ref="N10:N13" ca="1">SortUnique(I3:I38)</f>
        <v>#NAME?</v>
      </c>
      <c r="O10" s="183">
        <f ca="1">SUMIF($N$47:$N$82,N10,$O$47:$O$82)</f>
        <v>1296</v>
      </c>
      <c r="P10" s="7" t="e">
        <f ca="1">IF(O10=0,"",AVERAGEIF($I$3:$I$38,$N10,$J$3:$J$38))</f>
        <v>#NAME?</v>
      </c>
      <c r="Q10" s="43" t="e">
        <f t="array" aca="1" ref="Q10" ca="1">IF(O10&lt;2,"",VAR(IF($I$3:$I$38=$N10,$J$3:$J$38,"")))</f>
        <v>#NAME?</v>
      </c>
      <c r="S10" s="354" t="s">
        <v>1</v>
      </c>
      <c r="T10" s="354" t="e">
        <f ca="1">Q83*U10</f>
        <v>#NAME?</v>
      </c>
      <c r="U10" s="354">
        <f ca="1">O83-1</f>
        <v>1295</v>
      </c>
      <c r="V10" s="354" t="e">
        <f t="shared" ca="1" si="0"/>
        <v>#NAME?</v>
      </c>
      <c r="W10" s="354"/>
      <c r="X10" s="354"/>
      <c r="Y10" s="354"/>
      <c r="AA10" s="663" t="e">
        <f ca="1">SQRT(V6*SUMPRODUCT(AB3:AB6^2,1/AD3:AD6))</f>
        <v>#NAME?</v>
      </c>
      <c r="AB10" s="663" t="e">
        <f ca="1">AC7/AA10</f>
        <v>#NAME?</v>
      </c>
      <c r="AC10" s="663">
        <f ca="1">U6</f>
        <v>0</v>
      </c>
      <c r="AD10" s="663" t="e">
        <f ca="1">TDIST(ABS(AB10),AC10,2)</f>
        <v>#NAME?</v>
      </c>
      <c r="AE10" s="663" t="e">
        <f ca="1">TINV(AG8,AC10)</f>
        <v>#NUM!</v>
      </c>
      <c r="AF10" s="663" t="e">
        <f ca="1">AC7-AA10*AE10</f>
        <v>#NAME?</v>
      </c>
      <c r="AG10" s="663" t="e">
        <f ca="1">AC7+AA10*AE10</f>
        <v>#NAME?</v>
      </c>
      <c r="AH10" s="196" t="e">
        <f ca="1">IF(AD10&lt;AG8,"yes","no")</f>
        <v>#NAME?</v>
      </c>
      <c r="AI10" s="663" t="e">
        <f ca="1">ABS(AC7)/SQRT(V6)</f>
        <v>#NAME?</v>
      </c>
      <c r="AJ10" s="663" t="e">
        <f ca="1">SQRT(AB10^2/(AB10^2+AC10))</f>
        <v>#NAME?</v>
      </c>
      <c r="AW10" s="663" t="e">
        <f ca="1">SQRT(V6/AZ7)</f>
        <v>#NAME?</v>
      </c>
      <c r="AX10" s="663" t="e">
        <f ca="1">AY7/AW10</f>
        <v>#NAME?</v>
      </c>
      <c r="AY10" s="663">
        <f ca="1">U6</f>
        <v>0</v>
      </c>
      <c r="AZ10" s="663" t="e">
        <f ca="1">QCRIT(COUNTA(AW3:AW6),AY10,BB8,2)</f>
        <v>#NAME?</v>
      </c>
      <c r="BA10" s="663" t="e">
        <f ca="1">AY7-AW10*AZ10</f>
        <v>#NAME?</v>
      </c>
      <c r="BB10" s="663" t="e">
        <f ca="1">AY7+AW10*AZ10</f>
        <v>#NAME?</v>
      </c>
      <c r="BC10" s="663" t="e">
        <f ca="1">QDIST(ABS(AX10),COUNTA(AW3:AW6),AY10)</f>
        <v>#NAME?</v>
      </c>
      <c r="BD10" s="663" t="e">
        <f ca="1">AW10*AZ10</f>
        <v>#NAME?</v>
      </c>
      <c r="BE10" s="663" t="e">
        <f ca="1">ABS(AY7)/SQRT(V6)</f>
        <v>#NAME?</v>
      </c>
      <c r="BF10" s="663" t="e">
        <f ca="1">SQRT(AX10^2/(AX10^2+AY10))</f>
        <v>#NAME?</v>
      </c>
    </row>
    <row r="11" spans="1:69" x14ac:dyDescent="0.25">
      <c r="A11" s="612">
        <v>600</v>
      </c>
      <c r="B11" s="214">
        <v>170</v>
      </c>
      <c r="C11" s="7">
        <v>185</v>
      </c>
      <c r="D11" s="7">
        <v>181</v>
      </c>
      <c r="E11" s="215">
        <v>201</v>
      </c>
      <c r="G11" s="182" t="e">
        <f ca="1"/>
        <v>#NAME?</v>
      </c>
      <c r="H11" s="613" t="e">
        <f ca="1"/>
        <v>#NAME?</v>
      </c>
      <c r="I11" s="613" t="e">
        <f ca="1"/>
        <v>#NAME?</v>
      </c>
      <c r="J11" s="43" t="e">
        <f ca="1"/>
        <v>#NAME?</v>
      </c>
      <c r="L11" s="183"/>
      <c r="M11" s="7"/>
      <c r="N11" s="43" t="e">
        <f ca="1"/>
        <v>#NAME?</v>
      </c>
      <c r="O11" s="183">
        <f ca="1">SUMIF($N$47:$N$82,N11,$O$47:$O$82)</f>
        <v>1296</v>
      </c>
      <c r="P11" s="7" t="e">
        <f ca="1">IF(O11=0,"",AVERAGEIF($I$3:$I$38,$N11,$J$3:$J$38))</f>
        <v>#NAME?</v>
      </c>
      <c r="Q11" s="43" t="e">
        <f t="array" aca="1" ref="Q11" ca="1">IF(O11&lt;2,"",VAR(IF($I$3:$I$38=$N11,$J$3:$J$38,"")))</f>
        <v>#NAME?</v>
      </c>
    </row>
    <row r="12" spans="1:69" x14ac:dyDescent="0.25">
      <c r="A12" s="612">
        <v>620</v>
      </c>
      <c r="B12" s="112">
        <v>213</v>
      </c>
      <c r="C12" s="354">
        <v>180</v>
      </c>
      <c r="D12" s="354">
        <v>182</v>
      </c>
      <c r="E12" s="120">
        <v>199</v>
      </c>
      <c r="G12" s="182" t="e">
        <f ca="1"/>
        <v>#NAME?</v>
      </c>
      <c r="H12" s="613" t="e">
        <f ca="1"/>
        <v>#NAME?</v>
      </c>
      <c r="I12" s="613" t="e">
        <f ca="1"/>
        <v>#NAME?</v>
      </c>
      <c r="J12" s="43" t="e">
        <f ca="1"/>
        <v>#NAME?</v>
      </c>
      <c r="L12" s="183"/>
      <c r="M12" s="7"/>
      <c r="N12" s="43" t="e">
        <f ca="1"/>
        <v>#NAME?</v>
      </c>
      <c r="O12" s="183">
        <f ca="1">SUMIF($N$47:$N$82,N12,$O$47:$O$82)</f>
        <v>1296</v>
      </c>
      <c r="P12" s="7" t="e">
        <f ca="1">IF(O12=0,"",AVERAGEIF($I$3:$I$38,$N12,$J$3:$J$38))</f>
        <v>#NAME?</v>
      </c>
      <c r="Q12" s="43" t="e">
        <f t="array" aca="1" ref="Q12" ca="1">IF(O12&lt;2,"",VAR(IF($I$3:$I$38=$N12,$J$3:$J$38,"")))</f>
        <v>#NAME?</v>
      </c>
    </row>
    <row r="13" spans="1:69" x14ac:dyDescent="0.25">
      <c r="G13" s="182" t="e">
        <f ca="1"/>
        <v>#NAME?</v>
      </c>
      <c r="H13" s="613" t="e">
        <f ca="1"/>
        <v>#NAME?</v>
      </c>
      <c r="I13" s="613" t="e">
        <f ca="1"/>
        <v>#NAME?</v>
      </c>
      <c r="J13" s="43" t="e">
        <f ca="1"/>
        <v>#NAME?</v>
      </c>
      <c r="L13" s="351"/>
      <c r="M13" s="352"/>
      <c r="N13" s="353" t="e">
        <f ca="1"/>
        <v>#NAME?</v>
      </c>
      <c r="O13" s="351">
        <f ca="1">SUMIF($N$47:$N$82,N13,$O$47:$O$82)</f>
        <v>1296</v>
      </c>
      <c r="P13" s="352" t="e">
        <f ca="1">IF(O13=0,"",AVERAGEIF($I$3:$I$38,$N13,$J$3:$J$38))</f>
        <v>#NAME?</v>
      </c>
      <c r="Q13" s="353" t="e">
        <f t="array" aca="1" ref="Q13" ca="1">IF(O13&lt;2,"",VAR(IF($I$3:$I$38=$N13,$J$3:$J$38,"")))</f>
        <v>#NAME?</v>
      </c>
    </row>
    <row r="14" spans="1:69" x14ac:dyDescent="0.25">
      <c r="G14" s="182" t="e">
        <f ca="1"/>
        <v>#NAME?</v>
      </c>
      <c r="H14" s="613" t="e">
        <f ca="1"/>
        <v>#NAME?</v>
      </c>
      <c r="I14" s="613" t="e">
        <f ca="1"/>
        <v>#NAME?</v>
      </c>
      <c r="J14" s="43" t="e">
        <f ca="1"/>
        <v>#NAME?</v>
      </c>
      <c r="L14" s="550" t="e">
        <f ca="1">$L$4</f>
        <v>#NAME?</v>
      </c>
      <c r="M14" s="556" t="e">
        <f ca="1">$M7</f>
        <v>#NAME?</v>
      </c>
      <c r="N14" s="557"/>
      <c r="O14" s="550">
        <f ca="1">SUMIFS($O$47:$O$82,$L$47:$L$82,L14,$M$47:$M$82,M14)</f>
        <v>1296</v>
      </c>
      <c r="P14" s="556" t="e">
        <f ca="1">IF(O14=0,"",AVERAGEIFS($J$3:$J$38,$G$3:$G$38,$L14,$H$3:$H$38,$M14))</f>
        <v>#NAME?</v>
      </c>
      <c r="Q14" s="557" t="e">
        <f t="array" aca="1" ref="Q14" ca="1">IF(O14&lt;2,"",VAR(IF($G$3:$G$38=$L14,IF($H$3:$H$38=$M14,$J$3:$J$38,""))))</f>
        <v>#NAME?</v>
      </c>
    </row>
    <row r="15" spans="1:69" x14ac:dyDescent="0.25">
      <c r="G15" s="182" t="e">
        <f ca="1"/>
        <v>#NAME?</v>
      </c>
      <c r="H15" s="613" t="e">
        <f ca="1"/>
        <v>#NAME?</v>
      </c>
      <c r="I15" s="613" t="e">
        <f ca="1"/>
        <v>#NAME?</v>
      </c>
      <c r="J15" s="43" t="e">
        <f ca="1"/>
        <v>#NAME?</v>
      </c>
      <c r="L15" s="183" t="e">
        <f ca="1">$L$4</f>
        <v>#NAME?</v>
      </c>
      <c r="M15" s="7" t="e">
        <f ca="1">$M8</f>
        <v>#NAME?</v>
      </c>
      <c r="N15" s="43"/>
      <c r="O15" s="183">
        <f t="shared" ref="O15:O22" ca="1" si="1">SUMIFS($O$47:$O$82,$L$47:$L$82,L15,$M$47:$M$82,M15)</f>
        <v>1296</v>
      </c>
      <c r="P15" s="7" t="e">
        <f t="shared" ref="P15:P22" ca="1" si="2">IF(O15=0,"",AVERAGEIFS($J$3:$J$38,$G$3:$G$38,$L15,$H$3:$H$38,$M15))</f>
        <v>#NAME?</v>
      </c>
      <c r="Q15" s="43" t="e">
        <f t="array" aca="1" ref="Q15" ca="1">IF(O15&lt;2,"",VAR(IF($G$3:$G$38=$L15,IF($H$3:$H$38=$M15,$J$3:$J$38,""))))</f>
        <v>#NAME?</v>
      </c>
    </row>
    <row r="16" spans="1:69" x14ac:dyDescent="0.25">
      <c r="G16" s="182" t="e">
        <f ca="1"/>
        <v>#NAME?</v>
      </c>
      <c r="H16" s="613" t="e">
        <f ca="1"/>
        <v>#NAME?</v>
      </c>
      <c r="I16" s="613" t="e">
        <f ca="1"/>
        <v>#NAME?</v>
      </c>
      <c r="J16" s="43" t="e">
        <f ca="1"/>
        <v>#NAME?</v>
      </c>
      <c r="L16" s="183" t="e">
        <f ca="1">$L$4</f>
        <v>#NAME?</v>
      </c>
      <c r="M16" s="7" t="e">
        <f ca="1">$M9</f>
        <v>#NAME?</v>
      </c>
      <c r="N16" s="43"/>
      <c r="O16" s="183">
        <f t="shared" ca="1" si="1"/>
        <v>1296</v>
      </c>
      <c r="P16" s="7" t="e">
        <f t="shared" ca="1" si="2"/>
        <v>#NAME?</v>
      </c>
      <c r="Q16" s="43" t="e">
        <f t="array" aca="1" ref="Q16" ca="1">IF(O16&lt;2,"",VAR(IF($G$3:$G$38=$L16,IF($H$3:$H$38=$M16,$J$3:$J$38,""))))</f>
        <v>#NAME?</v>
      </c>
    </row>
    <row r="17" spans="7:17" x14ac:dyDescent="0.25">
      <c r="G17" s="182" t="e">
        <f ca="1"/>
        <v>#NAME?</v>
      </c>
      <c r="H17" s="613" t="e">
        <f ca="1"/>
        <v>#NAME?</v>
      </c>
      <c r="I17" s="613" t="e">
        <f ca="1"/>
        <v>#NAME?</v>
      </c>
      <c r="J17" s="43" t="e">
        <f ca="1"/>
        <v>#NAME?</v>
      </c>
      <c r="L17" s="183" t="e">
        <f ca="1">$L$5</f>
        <v>#NAME?</v>
      </c>
      <c r="M17" s="7" t="e">
        <f ca="1">$M7</f>
        <v>#NAME?</v>
      </c>
      <c r="N17" s="43"/>
      <c r="O17" s="183">
        <f t="shared" ca="1" si="1"/>
        <v>1296</v>
      </c>
      <c r="P17" s="7" t="e">
        <f t="shared" ca="1" si="2"/>
        <v>#NAME?</v>
      </c>
      <c r="Q17" s="43" t="e">
        <f t="array" aca="1" ref="Q17" ca="1">IF(O17&lt;2,"",VAR(IF($G$3:$G$38=$L17,IF($H$3:$H$38=$M17,$J$3:$J$38,""))))</f>
        <v>#NAME?</v>
      </c>
    </row>
    <row r="18" spans="7:17" x14ac:dyDescent="0.25">
      <c r="G18" s="182" t="e">
        <f ca="1"/>
        <v>#NAME?</v>
      </c>
      <c r="H18" s="613" t="e">
        <f ca="1"/>
        <v>#NAME?</v>
      </c>
      <c r="I18" s="613" t="e">
        <f ca="1"/>
        <v>#NAME?</v>
      </c>
      <c r="J18" s="43" t="e">
        <f ca="1"/>
        <v>#NAME?</v>
      </c>
      <c r="L18" s="183" t="e">
        <f ca="1">$L$5</f>
        <v>#NAME?</v>
      </c>
      <c r="M18" s="7" t="e">
        <f ca="1">$M8</f>
        <v>#NAME?</v>
      </c>
      <c r="N18" s="43"/>
      <c r="O18" s="183">
        <f t="shared" ca="1" si="1"/>
        <v>1296</v>
      </c>
      <c r="P18" s="7" t="e">
        <f t="shared" ca="1" si="2"/>
        <v>#NAME?</v>
      </c>
      <c r="Q18" s="43" t="e">
        <f t="array" aca="1" ref="Q18" ca="1">IF(O18&lt;2,"",VAR(IF($G$3:$G$38=$L18,IF($H$3:$H$38=$M18,$J$3:$J$38,""))))</f>
        <v>#NAME?</v>
      </c>
    </row>
    <row r="19" spans="7:17" x14ac:dyDescent="0.25">
      <c r="G19" s="182" t="e">
        <f ca="1"/>
        <v>#NAME?</v>
      </c>
      <c r="H19" s="613" t="e">
        <f ca="1"/>
        <v>#NAME?</v>
      </c>
      <c r="I19" s="613" t="e">
        <f ca="1"/>
        <v>#NAME?</v>
      </c>
      <c r="J19" s="43" t="e">
        <f ca="1"/>
        <v>#NAME?</v>
      </c>
      <c r="L19" s="183" t="e">
        <f ca="1">$L$5</f>
        <v>#NAME?</v>
      </c>
      <c r="M19" s="7" t="e">
        <f ca="1">$M9</f>
        <v>#NAME?</v>
      </c>
      <c r="N19" s="43"/>
      <c r="O19" s="183">
        <f t="shared" ca="1" si="1"/>
        <v>1296</v>
      </c>
      <c r="P19" s="7" t="e">
        <f t="shared" ca="1" si="2"/>
        <v>#NAME?</v>
      </c>
      <c r="Q19" s="43" t="e">
        <f t="array" aca="1" ref="Q19" ca="1">IF(O19&lt;2,"",VAR(IF($G$3:$G$38=$L19,IF($H$3:$H$38=$M19,$J$3:$J$38,""))))</f>
        <v>#NAME?</v>
      </c>
    </row>
    <row r="20" spans="7:17" x14ac:dyDescent="0.25">
      <c r="G20" s="182" t="e">
        <f ca="1"/>
        <v>#NAME?</v>
      </c>
      <c r="H20" s="613" t="e">
        <f ca="1"/>
        <v>#NAME?</v>
      </c>
      <c r="I20" s="613" t="e">
        <f ca="1"/>
        <v>#NAME?</v>
      </c>
      <c r="J20" s="43" t="e">
        <f ca="1"/>
        <v>#NAME?</v>
      </c>
      <c r="L20" s="183" t="e">
        <f ca="1">$L$6</f>
        <v>#NAME?</v>
      </c>
      <c r="M20" s="7" t="e">
        <f ca="1">$M7</f>
        <v>#NAME?</v>
      </c>
      <c r="N20" s="43"/>
      <c r="O20" s="183">
        <f t="shared" ca="1" si="1"/>
        <v>1296</v>
      </c>
      <c r="P20" s="7" t="e">
        <f t="shared" ca="1" si="2"/>
        <v>#NAME?</v>
      </c>
      <c r="Q20" s="43" t="e">
        <f t="array" aca="1" ref="Q20" ca="1">IF(O20&lt;2,"",VAR(IF($G$3:$G$38=$L20,IF($H$3:$H$38=$M20,$J$3:$J$38,""))))</f>
        <v>#NAME?</v>
      </c>
    </row>
    <row r="21" spans="7:17" x14ac:dyDescent="0.25">
      <c r="G21" s="182" t="e">
        <f ca="1"/>
        <v>#NAME?</v>
      </c>
      <c r="H21" s="613" t="e">
        <f ca="1"/>
        <v>#NAME?</v>
      </c>
      <c r="I21" s="613" t="e">
        <f ca="1"/>
        <v>#NAME?</v>
      </c>
      <c r="J21" s="43" t="e">
        <f ca="1"/>
        <v>#NAME?</v>
      </c>
      <c r="L21" s="183" t="e">
        <f ca="1">$L$6</f>
        <v>#NAME?</v>
      </c>
      <c r="M21" s="7" t="e">
        <f ca="1">$M8</f>
        <v>#NAME?</v>
      </c>
      <c r="N21" s="43"/>
      <c r="O21" s="183">
        <f t="shared" ca="1" si="1"/>
        <v>1296</v>
      </c>
      <c r="P21" s="7" t="e">
        <f t="shared" ca="1" si="2"/>
        <v>#NAME?</v>
      </c>
      <c r="Q21" s="43" t="e">
        <f t="array" aca="1" ref="Q21" ca="1">IF(O21&lt;2,"",VAR(IF($G$3:$G$38=$L21,IF($H$3:$H$38=$M21,$J$3:$J$38,""))))</f>
        <v>#NAME?</v>
      </c>
    </row>
    <row r="22" spans="7:17" x14ac:dyDescent="0.25">
      <c r="G22" s="182" t="e">
        <f ca="1"/>
        <v>#NAME?</v>
      </c>
      <c r="H22" s="613" t="e">
        <f ca="1"/>
        <v>#NAME?</v>
      </c>
      <c r="I22" s="613" t="e">
        <f ca="1"/>
        <v>#NAME?</v>
      </c>
      <c r="J22" s="43" t="e">
        <f ca="1"/>
        <v>#NAME?</v>
      </c>
      <c r="L22" s="351" t="e">
        <f ca="1">$L$6</f>
        <v>#NAME?</v>
      </c>
      <c r="M22" s="352" t="e">
        <f ca="1">$M9</f>
        <v>#NAME?</v>
      </c>
      <c r="N22" s="353"/>
      <c r="O22" s="351">
        <f t="shared" ca="1" si="1"/>
        <v>1296</v>
      </c>
      <c r="P22" s="352" t="e">
        <f t="shared" ca="1" si="2"/>
        <v>#NAME?</v>
      </c>
      <c r="Q22" s="353" t="e">
        <f t="array" aca="1" ref="Q22" ca="1">IF(O22&lt;2,"",VAR(IF($G$3:$G$38=$L22,IF($H$3:$H$38=$M22,$J$3:$J$38,""))))</f>
        <v>#NAME?</v>
      </c>
    </row>
    <row r="23" spans="7:17" x14ac:dyDescent="0.25">
      <c r="G23" s="182" t="e">
        <f ca="1"/>
        <v>#NAME?</v>
      </c>
      <c r="H23" s="613" t="e">
        <f ca="1"/>
        <v>#NAME?</v>
      </c>
      <c r="I23" s="613" t="e">
        <f ca="1"/>
        <v>#NAME?</v>
      </c>
      <c r="J23" s="43" t="e">
        <f ca="1"/>
        <v>#NAME?</v>
      </c>
      <c r="L23" s="550" t="e">
        <f ca="1">$L$4</f>
        <v>#NAME?</v>
      </c>
      <c r="M23" s="556"/>
      <c r="N23" s="557" t="e">
        <f ca="1">$N10</f>
        <v>#NAME?</v>
      </c>
      <c r="O23" s="550">
        <f ca="1">SUMIFS($O$47:$O$82,$L$47:$L$82,L23,$N$47:$N$82,N23)</f>
        <v>1296</v>
      </c>
      <c r="P23" s="556" t="e">
        <f ca="1">IF(O23=0,"",AVERAGEIFS($J$3:$J$38,$G$3:$G$38,$L23,$I$3:$I$38,$N23))</f>
        <v>#NAME?</v>
      </c>
      <c r="Q23" s="557" t="e">
        <f t="array" aca="1" ref="Q23" ca="1">IF(O23&lt;2,"",VAR(IF($G$3:$G$38=$L23,IF($I$3:$I$38=$N23,$J$3:$J$38,""))))</f>
        <v>#NAME?</v>
      </c>
    </row>
    <row r="24" spans="7:17" x14ac:dyDescent="0.25">
      <c r="G24" s="182" t="e">
        <f ca="1"/>
        <v>#NAME?</v>
      </c>
      <c r="H24" s="613" t="e">
        <f ca="1"/>
        <v>#NAME?</v>
      </c>
      <c r="I24" s="613" t="e">
        <f ca="1"/>
        <v>#NAME?</v>
      </c>
      <c r="J24" s="43" t="e">
        <f ca="1"/>
        <v>#NAME?</v>
      </c>
      <c r="L24" s="183" t="e">
        <f ca="1">$L$4</f>
        <v>#NAME?</v>
      </c>
      <c r="M24" s="7"/>
      <c r="N24" s="43" t="e">
        <f ca="1">$N11</f>
        <v>#NAME?</v>
      </c>
      <c r="O24" s="183">
        <f t="shared" ref="O24:O34" ca="1" si="3">SUMIFS($O$47:$O$82,$L$47:$L$82,L24,$N$47:$N$82,N24)</f>
        <v>1296</v>
      </c>
      <c r="P24" s="7" t="e">
        <f t="shared" ref="P24:P34" ca="1" si="4">IF(O24=0,"",AVERAGEIFS($J$3:$J$38,$G$3:$G$38,$L24,$I$3:$I$38,$N24))</f>
        <v>#NAME?</v>
      </c>
      <c r="Q24" s="43" t="e">
        <f t="array" aca="1" ref="Q24" ca="1">IF(O24&lt;2,"",VAR(IF($G$3:$G$38=$L24,IF($I$3:$I$38=$N24,$J$3:$J$38,""))))</f>
        <v>#NAME?</v>
      </c>
    </row>
    <row r="25" spans="7:17" x14ac:dyDescent="0.25">
      <c r="G25" s="182" t="e">
        <f ca="1"/>
        <v>#NAME?</v>
      </c>
      <c r="H25" s="613" t="e">
        <f ca="1"/>
        <v>#NAME?</v>
      </c>
      <c r="I25" s="613" t="e">
        <f ca="1"/>
        <v>#NAME?</v>
      </c>
      <c r="J25" s="43" t="e">
        <f ca="1"/>
        <v>#NAME?</v>
      </c>
      <c r="L25" s="183" t="e">
        <f ca="1">$L$4</f>
        <v>#NAME?</v>
      </c>
      <c r="M25" s="7"/>
      <c r="N25" s="43" t="e">
        <f ca="1">$N12</f>
        <v>#NAME?</v>
      </c>
      <c r="O25" s="183">
        <f t="shared" ca="1" si="3"/>
        <v>1296</v>
      </c>
      <c r="P25" s="7" t="e">
        <f t="shared" ca="1" si="4"/>
        <v>#NAME?</v>
      </c>
      <c r="Q25" s="43" t="e">
        <f t="array" aca="1" ref="Q25" ca="1">IF(O25&lt;2,"",VAR(IF($G$3:$G$38=$L25,IF($I$3:$I$38=$N25,$J$3:$J$38,""))))</f>
        <v>#NAME?</v>
      </c>
    </row>
    <row r="26" spans="7:17" x14ac:dyDescent="0.25">
      <c r="G26" s="182" t="e">
        <f ca="1"/>
        <v>#NAME?</v>
      </c>
      <c r="H26" s="613" t="e">
        <f ca="1"/>
        <v>#NAME?</v>
      </c>
      <c r="I26" s="613" t="e">
        <f ca="1"/>
        <v>#NAME?</v>
      </c>
      <c r="J26" s="43" t="e">
        <f ca="1"/>
        <v>#NAME?</v>
      </c>
      <c r="L26" s="183" t="e">
        <f ca="1">$L$4</f>
        <v>#NAME?</v>
      </c>
      <c r="M26" s="7"/>
      <c r="N26" s="43" t="e">
        <f ca="1">$N13</f>
        <v>#NAME?</v>
      </c>
      <c r="O26" s="183">
        <f t="shared" ca="1" si="3"/>
        <v>1296</v>
      </c>
      <c r="P26" s="7" t="e">
        <f t="shared" ca="1" si="4"/>
        <v>#NAME?</v>
      </c>
      <c r="Q26" s="43" t="e">
        <f t="array" aca="1" ref="Q26" ca="1">IF(O26&lt;2,"",VAR(IF($G$3:$G$38=$L26,IF($I$3:$I$38=$N26,$J$3:$J$38,""))))</f>
        <v>#NAME?</v>
      </c>
    </row>
    <row r="27" spans="7:17" x14ac:dyDescent="0.25">
      <c r="G27" s="182" t="e">
        <f ca="1"/>
        <v>#NAME?</v>
      </c>
      <c r="H27" s="613" t="e">
        <f ca="1"/>
        <v>#NAME?</v>
      </c>
      <c r="I27" s="613" t="e">
        <f ca="1"/>
        <v>#NAME?</v>
      </c>
      <c r="J27" s="43" t="e">
        <f ca="1"/>
        <v>#NAME?</v>
      </c>
      <c r="L27" s="183" t="e">
        <f ca="1">$L$5</f>
        <v>#NAME?</v>
      </c>
      <c r="M27" s="7"/>
      <c r="N27" s="43" t="e">
        <f ca="1">$N10</f>
        <v>#NAME?</v>
      </c>
      <c r="O27" s="183">
        <f t="shared" ca="1" si="3"/>
        <v>1296</v>
      </c>
      <c r="P27" s="7" t="e">
        <f t="shared" ca="1" si="4"/>
        <v>#NAME?</v>
      </c>
      <c r="Q27" s="43" t="e">
        <f t="array" aca="1" ref="Q27" ca="1">IF(O27&lt;2,"",VAR(IF($G$3:$G$38=$L27,IF($I$3:$I$38=$N27,$J$3:$J$38,""))))</f>
        <v>#NAME?</v>
      </c>
    </row>
    <row r="28" spans="7:17" x14ac:dyDescent="0.25">
      <c r="G28" s="182" t="e">
        <f ca="1"/>
        <v>#NAME?</v>
      </c>
      <c r="H28" s="613" t="e">
        <f ca="1"/>
        <v>#NAME?</v>
      </c>
      <c r="I28" s="613" t="e">
        <f ca="1"/>
        <v>#NAME?</v>
      </c>
      <c r="J28" s="43" t="e">
        <f ca="1"/>
        <v>#NAME?</v>
      </c>
      <c r="L28" s="183" t="e">
        <f ca="1">$L$5</f>
        <v>#NAME?</v>
      </c>
      <c r="M28" s="7"/>
      <c r="N28" s="43" t="e">
        <f ca="1">$N11</f>
        <v>#NAME?</v>
      </c>
      <c r="O28" s="183">
        <f t="shared" ca="1" si="3"/>
        <v>1296</v>
      </c>
      <c r="P28" s="7" t="e">
        <f t="shared" ca="1" si="4"/>
        <v>#NAME?</v>
      </c>
      <c r="Q28" s="43" t="e">
        <f t="array" aca="1" ref="Q28" ca="1">IF(O28&lt;2,"",VAR(IF($G$3:$G$38=$L28,IF($I$3:$I$38=$N28,$J$3:$J$38,""))))</f>
        <v>#NAME?</v>
      </c>
    </row>
    <row r="29" spans="7:17" x14ac:dyDescent="0.25">
      <c r="G29" s="182" t="e">
        <f ca="1"/>
        <v>#NAME?</v>
      </c>
      <c r="H29" s="613" t="e">
        <f ca="1"/>
        <v>#NAME?</v>
      </c>
      <c r="I29" s="613" t="e">
        <f ca="1"/>
        <v>#NAME?</v>
      </c>
      <c r="J29" s="43" t="e">
        <f ca="1"/>
        <v>#NAME?</v>
      </c>
      <c r="L29" s="183" t="e">
        <f ca="1">$L$5</f>
        <v>#NAME?</v>
      </c>
      <c r="M29" s="7"/>
      <c r="N29" s="43" t="e">
        <f ca="1">$N12</f>
        <v>#NAME?</v>
      </c>
      <c r="O29" s="183">
        <f t="shared" ca="1" si="3"/>
        <v>1296</v>
      </c>
      <c r="P29" s="7" t="e">
        <f t="shared" ca="1" si="4"/>
        <v>#NAME?</v>
      </c>
      <c r="Q29" s="43" t="e">
        <f t="array" aca="1" ref="Q29" ca="1">IF(O29&lt;2,"",VAR(IF($G$3:$G$38=$L29,IF($I$3:$I$38=$N29,$J$3:$J$38,""))))</f>
        <v>#NAME?</v>
      </c>
    </row>
    <row r="30" spans="7:17" x14ac:dyDescent="0.25">
      <c r="G30" s="182" t="e">
        <f ca="1"/>
        <v>#NAME?</v>
      </c>
      <c r="H30" s="613" t="e">
        <f ca="1"/>
        <v>#NAME?</v>
      </c>
      <c r="I30" s="613" t="e">
        <f ca="1"/>
        <v>#NAME?</v>
      </c>
      <c r="J30" s="43" t="e">
        <f ca="1"/>
        <v>#NAME?</v>
      </c>
      <c r="L30" s="183" t="e">
        <f ca="1">$L$5</f>
        <v>#NAME?</v>
      </c>
      <c r="M30" s="7"/>
      <c r="N30" s="43" t="e">
        <f ca="1">$N13</f>
        <v>#NAME?</v>
      </c>
      <c r="O30" s="183">
        <f t="shared" ca="1" si="3"/>
        <v>1296</v>
      </c>
      <c r="P30" s="7" t="e">
        <f t="shared" ca="1" si="4"/>
        <v>#NAME?</v>
      </c>
      <c r="Q30" s="43" t="e">
        <f t="array" aca="1" ref="Q30" ca="1">IF(O30&lt;2,"",VAR(IF($G$3:$G$38=$L30,IF($I$3:$I$38=$N30,$J$3:$J$38,""))))</f>
        <v>#NAME?</v>
      </c>
    </row>
    <row r="31" spans="7:17" x14ac:dyDescent="0.25">
      <c r="G31" s="182" t="e">
        <f ca="1"/>
        <v>#NAME?</v>
      </c>
      <c r="H31" s="613" t="e">
        <f ca="1"/>
        <v>#NAME?</v>
      </c>
      <c r="I31" s="613" t="e">
        <f ca="1"/>
        <v>#NAME?</v>
      </c>
      <c r="J31" s="43" t="e">
        <f ca="1"/>
        <v>#NAME?</v>
      </c>
      <c r="L31" s="183" t="e">
        <f ca="1">$L$6</f>
        <v>#NAME?</v>
      </c>
      <c r="M31" s="7"/>
      <c r="N31" s="43" t="e">
        <f ca="1">$N10</f>
        <v>#NAME?</v>
      </c>
      <c r="O31" s="183">
        <f t="shared" ca="1" si="3"/>
        <v>1296</v>
      </c>
      <c r="P31" s="7" t="e">
        <f t="shared" ca="1" si="4"/>
        <v>#NAME?</v>
      </c>
      <c r="Q31" s="43" t="e">
        <f t="array" aca="1" ref="Q31" ca="1">IF(O31&lt;2,"",VAR(IF($G$3:$G$38=$L31,IF($I$3:$I$38=$N31,$J$3:$J$38,""))))</f>
        <v>#NAME?</v>
      </c>
    </row>
    <row r="32" spans="7:17" x14ac:dyDescent="0.25">
      <c r="G32" s="182" t="e">
        <f ca="1"/>
        <v>#NAME?</v>
      </c>
      <c r="H32" s="613" t="e">
        <f ca="1"/>
        <v>#NAME?</v>
      </c>
      <c r="I32" s="613" t="e">
        <f ca="1"/>
        <v>#NAME?</v>
      </c>
      <c r="J32" s="43" t="e">
        <f ca="1"/>
        <v>#NAME?</v>
      </c>
      <c r="L32" s="183" t="e">
        <f ca="1">$L$6</f>
        <v>#NAME?</v>
      </c>
      <c r="M32" s="7"/>
      <c r="N32" s="43" t="e">
        <f ca="1">$N11</f>
        <v>#NAME?</v>
      </c>
      <c r="O32" s="183">
        <f t="shared" ca="1" si="3"/>
        <v>1296</v>
      </c>
      <c r="P32" s="7" t="e">
        <f t="shared" ca="1" si="4"/>
        <v>#NAME?</v>
      </c>
      <c r="Q32" s="43" t="e">
        <f t="array" aca="1" ref="Q32" ca="1">IF(O32&lt;2,"",VAR(IF($G$3:$G$38=$L32,IF($I$3:$I$38=$N32,$J$3:$J$38,""))))</f>
        <v>#NAME?</v>
      </c>
    </row>
    <row r="33" spans="7:17" x14ac:dyDescent="0.25">
      <c r="G33" s="182" t="e">
        <f ca="1"/>
        <v>#NAME?</v>
      </c>
      <c r="H33" s="613" t="e">
        <f ca="1"/>
        <v>#NAME?</v>
      </c>
      <c r="I33" s="613" t="e">
        <f ca="1"/>
        <v>#NAME?</v>
      </c>
      <c r="J33" s="43" t="e">
        <f ca="1"/>
        <v>#NAME?</v>
      </c>
      <c r="L33" s="183" t="e">
        <f ca="1">$L$6</f>
        <v>#NAME?</v>
      </c>
      <c r="M33" s="7"/>
      <c r="N33" s="43" t="e">
        <f ca="1">$N12</f>
        <v>#NAME?</v>
      </c>
      <c r="O33" s="183">
        <f t="shared" ca="1" si="3"/>
        <v>1296</v>
      </c>
      <c r="P33" s="7" t="e">
        <f t="shared" ca="1" si="4"/>
        <v>#NAME?</v>
      </c>
      <c r="Q33" s="43" t="e">
        <f t="array" aca="1" ref="Q33" ca="1">IF(O33&lt;2,"",VAR(IF($G$3:$G$38=$L33,IF($I$3:$I$38=$N33,$J$3:$J$38,""))))</f>
        <v>#NAME?</v>
      </c>
    </row>
    <row r="34" spans="7:17" x14ac:dyDescent="0.25">
      <c r="G34" s="182" t="e">
        <f ca="1"/>
        <v>#NAME?</v>
      </c>
      <c r="H34" s="613" t="e">
        <f ca="1"/>
        <v>#NAME?</v>
      </c>
      <c r="I34" s="613" t="e">
        <f ca="1"/>
        <v>#NAME?</v>
      </c>
      <c r="J34" s="43" t="e">
        <f ca="1"/>
        <v>#NAME?</v>
      </c>
      <c r="L34" s="351" t="e">
        <f ca="1">$L$6</f>
        <v>#NAME?</v>
      </c>
      <c r="M34" s="352"/>
      <c r="N34" s="353" t="e">
        <f ca="1">$N13</f>
        <v>#NAME?</v>
      </c>
      <c r="O34" s="351">
        <f t="shared" ca="1" si="3"/>
        <v>1296</v>
      </c>
      <c r="P34" s="352" t="e">
        <f t="shared" ca="1" si="4"/>
        <v>#NAME?</v>
      </c>
      <c r="Q34" s="353" t="e">
        <f t="array" aca="1" ref="Q34" ca="1">IF(O34&lt;2,"",VAR(IF($G$3:$G$38=$L34,IF($I$3:$I$38=$N34,$J$3:$J$38,""))))</f>
        <v>#NAME?</v>
      </c>
    </row>
    <row r="35" spans="7:17" x14ac:dyDescent="0.25">
      <c r="G35" s="182" t="e">
        <f ca="1"/>
        <v>#NAME?</v>
      </c>
      <c r="H35" s="613" t="e">
        <f ca="1"/>
        <v>#NAME?</v>
      </c>
      <c r="I35" s="613" t="e">
        <f ca="1"/>
        <v>#NAME?</v>
      </c>
      <c r="J35" s="43" t="e">
        <f ca="1"/>
        <v>#NAME?</v>
      </c>
      <c r="L35" s="550"/>
      <c r="M35" s="556" t="e">
        <f ca="1">$M$7</f>
        <v>#NAME?</v>
      </c>
      <c r="N35" s="557" t="e">
        <f ca="1">$N10</f>
        <v>#NAME?</v>
      </c>
      <c r="O35" s="550">
        <f ca="1">SUMIFS($O$47:$O$82,$M$47:$M$82,M35,$N$47:$N$82,N35)</f>
        <v>1296</v>
      </c>
      <c r="P35" s="556" t="e">
        <f ca="1">IF(O35=0,"",AVERAGEIFS($J$3:$J$38,$H$3:$H$38,$M35,$I$3:$I$38,$N35))</f>
        <v>#NAME?</v>
      </c>
      <c r="Q35" s="557" t="e">
        <f t="array" aca="1" ref="Q35" ca="1">IF(O35&lt;2,"",VAR(IF($H$3:$H$38=$M35,IF($I$3:$I$38=$N35,$J$3:$J$38,""))))</f>
        <v>#NAME?</v>
      </c>
    </row>
    <row r="36" spans="7:17" x14ac:dyDescent="0.25">
      <c r="G36" s="182" t="e">
        <f ca="1"/>
        <v>#NAME?</v>
      </c>
      <c r="H36" s="613" t="e">
        <f ca="1"/>
        <v>#NAME?</v>
      </c>
      <c r="I36" s="613" t="e">
        <f ca="1"/>
        <v>#NAME?</v>
      </c>
      <c r="J36" s="43" t="e">
        <f ca="1"/>
        <v>#NAME?</v>
      </c>
      <c r="L36" s="183"/>
      <c r="M36" s="7" t="e">
        <f ca="1">$M$7</f>
        <v>#NAME?</v>
      </c>
      <c r="N36" s="43" t="e">
        <f ca="1">$N11</f>
        <v>#NAME?</v>
      </c>
      <c r="O36" s="183">
        <f t="shared" ref="O36:O46" ca="1" si="5">SUMIFS($O$47:$O$82,$M$47:$M$82,M36,$N$47:$N$82,N36)</f>
        <v>1296</v>
      </c>
      <c r="P36" s="7" t="e">
        <f t="shared" ref="P36:P46" ca="1" si="6">IF(O36=0,"",AVERAGEIFS($J$3:$J$38,$H$3:$H$38,$M36,$I$3:$I$38,$N36))</f>
        <v>#NAME?</v>
      </c>
      <c r="Q36" s="43" t="e">
        <f t="array" aca="1" ref="Q36" ca="1">IF(O36&lt;2,"",VAR(IF($H$3:$H$38=$M36,IF($I$3:$I$38=$N36,$J$3:$J$38,""))))</f>
        <v>#NAME?</v>
      </c>
    </row>
    <row r="37" spans="7:17" x14ac:dyDescent="0.25">
      <c r="G37" s="182" t="e">
        <f ca="1"/>
        <v>#NAME?</v>
      </c>
      <c r="H37" s="613" t="e">
        <f ca="1"/>
        <v>#NAME?</v>
      </c>
      <c r="I37" s="613" t="e">
        <f ca="1"/>
        <v>#NAME?</v>
      </c>
      <c r="J37" s="43" t="e">
        <f ca="1"/>
        <v>#NAME?</v>
      </c>
      <c r="L37" s="183"/>
      <c r="M37" s="7" t="e">
        <f ca="1">$M$7</f>
        <v>#NAME?</v>
      </c>
      <c r="N37" s="43" t="e">
        <f ca="1">$N12</f>
        <v>#NAME?</v>
      </c>
      <c r="O37" s="183">
        <f t="shared" ca="1" si="5"/>
        <v>1296</v>
      </c>
      <c r="P37" s="7" t="e">
        <f t="shared" ca="1" si="6"/>
        <v>#NAME?</v>
      </c>
      <c r="Q37" s="43" t="e">
        <f t="array" aca="1" ref="Q37" ca="1">IF(O37&lt;2,"",VAR(IF($H$3:$H$38=$M37,IF($I$3:$I$38=$N37,$J$3:$J$38,""))))</f>
        <v>#NAME?</v>
      </c>
    </row>
    <row r="38" spans="7:17" x14ac:dyDescent="0.25">
      <c r="G38" s="377" t="e">
        <f ca="1"/>
        <v>#NAME?</v>
      </c>
      <c r="H38" s="440" t="e">
        <f ca="1"/>
        <v>#NAME?</v>
      </c>
      <c r="I38" s="440" t="e">
        <f ca="1"/>
        <v>#NAME?</v>
      </c>
      <c r="J38" s="353" t="e">
        <f ca="1"/>
        <v>#NAME?</v>
      </c>
      <c r="L38" s="183"/>
      <c r="M38" s="7" t="e">
        <f ca="1">$M$7</f>
        <v>#NAME?</v>
      </c>
      <c r="N38" s="43" t="e">
        <f ca="1">$N13</f>
        <v>#NAME?</v>
      </c>
      <c r="O38" s="183">
        <f t="shared" ca="1" si="5"/>
        <v>1296</v>
      </c>
      <c r="P38" s="7" t="e">
        <f t="shared" ca="1" si="6"/>
        <v>#NAME?</v>
      </c>
      <c r="Q38" s="43" t="e">
        <f t="array" aca="1" ref="Q38" ca="1">IF(O38&lt;2,"",VAR(IF($H$3:$H$38=$M38,IF($I$3:$I$38=$N38,$J$3:$J$38,""))))</f>
        <v>#NAME?</v>
      </c>
    </row>
    <row r="39" spans="7:17" x14ac:dyDescent="0.25">
      <c r="L39" s="183"/>
      <c r="M39" s="7" t="e">
        <f ca="1">$M$8</f>
        <v>#NAME?</v>
      </c>
      <c r="N39" s="43" t="e">
        <f ca="1">$N10</f>
        <v>#NAME?</v>
      </c>
      <c r="O39" s="183">
        <f t="shared" ca="1" si="5"/>
        <v>1296</v>
      </c>
      <c r="P39" s="7" t="e">
        <f t="shared" ca="1" si="6"/>
        <v>#NAME?</v>
      </c>
      <c r="Q39" s="43" t="e">
        <f t="array" aca="1" ref="Q39" ca="1">IF(O39&lt;2,"",VAR(IF($H$3:$H$38=$M39,IF($I$3:$I$38=$N39,$J$3:$J$38,""))))</f>
        <v>#NAME?</v>
      </c>
    </row>
    <row r="40" spans="7:17" x14ac:dyDescent="0.25">
      <c r="L40" s="183"/>
      <c r="M40" s="7" t="e">
        <f ca="1">$M$8</f>
        <v>#NAME?</v>
      </c>
      <c r="N40" s="43" t="e">
        <f ca="1">$N11</f>
        <v>#NAME?</v>
      </c>
      <c r="O40" s="183">
        <f t="shared" ca="1" si="5"/>
        <v>1296</v>
      </c>
      <c r="P40" s="7" t="e">
        <f t="shared" ca="1" si="6"/>
        <v>#NAME?</v>
      </c>
      <c r="Q40" s="43" t="e">
        <f t="array" aca="1" ref="Q40" ca="1">IF(O40&lt;2,"",VAR(IF($H$3:$H$38=$M40,IF($I$3:$I$38=$N40,$J$3:$J$38,""))))</f>
        <v>#NAME?</v>
      </c>
    </row>
    <row r="41" spans="7:17" x14ac:dyDescent="0.25">
      <c r="L41" s="183"/>
      <c r="M41" s="7" t="e">
        <f ca="1">$M$8</f>
        <v>#NAME?</v>
      </c>
      <c r="N41" s="43" t="e">
        <f ca="1">$N12</f>
        <v>#NAME?</v>
      </c>
      <c r="O41" s="183">
        <f t="shared" ca="1" si="5"/>
        <v>1296</v>
      </c>
      <c r="P41" s="7" t="e">
        <f t="shared" ca="1" si="6"/>
        <v>#NAME?</v>
      </c>
      <c r="Q41" s="43" t="e">
        <f t="array" aca="1" ref="Q41" ca="1">IF(O41&lt;2,"",VAR(IF($H$3:$H$38=$M41,IF($I$3:$I$38=$N41,$J$3:$J$38,""))))</f>
        <v>#NAME?</v>
      </c>
    </row>
    <row r="42" spans="7:17" x14ac:dyDescent="0.25">
      <c r="L42" s="183"/>
      <c r="M42" s="7" t="e">
        <f ca="1">$M$8</f>
        <v>#NAME?</v>
      </c>
      <c r="N42" s="43" t="e">
        <f ca="1">$N13</f>
        <v>#NAME?</v>
      </c>
      <c r="O42" s="183">
        <f t="shared" ca="1" si="5"/>
        <v>1296</v>
      </c>
      <c r="P42" s="7" t="e">
        <f t="shared" ca="1" si="6"/>
        <v>#NAME?</v>
      </c>
      <c r="Q42" s="43" t="e">
        <f t="array" aca="1" ref="Q42" ca="1">IF(O42&lt;2,"",VAR(IF($H$3:$H$38=$M42,IF($I$3:$I$38=$N42,$J$3:$J$38,""))))</f>
        <v>#NAME?</v>
      </c>
    </row>
    <row r="43" spans="7:17" x14ac:dyDescent="0.25">
      <c r="L43" s="183"/>
      <c r="M43" s="7" t="e">
        <f ca="1">$M$9</f>
        <v>#NAME?</v>
      </c>
      <c r="N43" s="43" t="e">
        <f ca="1">$N10</f>
        <v>#NAME?</v>
      </c>
      <c r="O43" s="183">
        <f t="shared" ca="1" si="5"/>
        <v>1296</v>
      </c>
      <c r="P43" s="7" t="e">
        <f t="shared" ca="1" si="6"/>
        <v>#NAME?</v>
      </c>
      <c r="Q43" s="43" t="e">
        <f t="array" aca="1" ref="Q43" ca="1">IF(O43&lt;2,"",VAR(IF($H$3:$H$38=$M43,IF($I$3:$I$38=$N43,$J$3:$J$38,""))))</f>
        <v>#NAME?</v>
      </c>
    </row>
    <row r="44" spans="7:17" x14ac:dyDescent="0.25">
      <c r="L44" s="183"/>
      <c r="M44" s="7" t="e">
        <f ca="1">$M$9</f>
        <v>#NAME?</v>
      </c>
      <c r="N44" s="43" t="e">
        <f ca="1">$N11</f>
        <v>#NAME?</v>
      </c>
      <c r="O44" s="183">
        <f t="shared" ca="1" si="5"/>
        <v>1296</v>
      </c>
      <c r="P44" s="7" t="e">
        <f t="shared" ca="1" si="6"/>
        <v>#NAME?</v>
      </c>
      <c r="Q44" s="43" t="e">
        <f t="array" aca="1" ref="Q44" ca="1">IF(O44&lt;2,"",VAR(IF($H$3:$H$38=$M44,IF($I$3:$I$38=$N44,$J$3:$J$38,""))))</f>
        <v>#NAME?</v>
      </c>
    </row>
    <row r="45" spans="7:17" x14ac:dyDescent="0.25">
      <c r="L45" s="183"/>
      <c r="M45" s="7" t="e">
        <f ca="1">$M$9</f>
        <v>#NAME?</v>
      </c>
      <c r="N45" s="43" t="e">
        <f ca="1">$N12</f>
        <v>#NAME?</v>
      </c>
      <c r="O45" s="183">
        <f t="shared" ca="1" si="5"/>
        <v>1296</v>
      </c>
      <c r="P45" s="7" t="e">
        <f t="shared" ca="1" si="6"/>
        <v>#NAME?</v>
      </c>
      <c r="Q45" s="43" t="e">
        <f t="array" aca="1" ref="Q45" ca="1">IF(O45&lt;2,"",VAR(IF($H$3:$H$38=$M45,IF($I$3:$I$38=$N45,$J$3:$J$38,""))))</f>
        <v>#NAME?</v>
      </c>
    </row>
    <row r="46" spans="7:17" x14ac:dyDescent="0.25">
      <c r="L46" s="351"/>
      <c r="M46" s="352" t="e">
        <f ca="1">$M$9</f>
        <v>#NAME?</v>
      </c>
      <c r="N46" s="353" t="e">
        <f ca="1">$N13</f>
        <v>#NAME?</v>
      </c>
      <c r="O46" s="351">
        <f t="shared" ca="1" si="5"/>
        <v>1296</v>
      </c>
      <c r="P46" s="352" t="e">
        <f t="shared" ca="1" si="6"/>
        <v>#NAME?</v>
      </c>
      <c r="Q46" s="353" t="e">
        <f t="array" aca="1" ref="Q46" ca="1">IF(O46&lt;2,"",VAR(IF($H$3:$H$38=$M46,IF($I$3:$I$38=$N46,$J$3:$J$38,""))))</f>
        <v>#NAME?</v>
      </c>
    </row>
    <row r="47" spans="7:17" x14ac:dyDescent="0.25">
      <c r="L47" s="550" t="e">
        <f ca="1">$L$4</f>
        <v>#NAME?</v>
      </c>
      <c r="M47" s="556" t="e">
        <f t="shared" ref="M47:N66" ca="1" si="7">M35</f>
        <v>#NAME?</v>
      </c>
      <c r="N47" s="557" t="e">
        <f t="shared" ca="1" si="7"/>
        <v>#NAME?</v>
      </c>
      <c r="O47" s="550">
        <f ca="1">COUNTIFS($G$3:$G$38,$L47,$H$3:$H$38,$M47,$I$3:$I$38,$N47)</f>
        <v>36</v>
      </c>
      <c r="P47" s="556" t="e">
        <f ca="1">IF(O47=0,"",AVERAGEIFS($J$3:$J$38,$G$3:$G$38,$L47,$H$3:$H$38,$M47,$I$3:$I$38,$N47))</f>
        <v>#NAME?</v>
      </c>
      <c r="Q47" s="557" t="e">
        <f t="array" aca="1" ref="Q47" ca="1">IF(O47&lt;2,"",VAR(IF($G$3:$G$38=$L47,IF($H$3:$H$38=$M47,IF($I$3:$I$38=$N47,$J$3:$J$38,"")))))</f>
        <v>#NAME?</v>
      </c>
    </row>
    <row r="48" spans="7:17" x14ac:dyDescent="0.25">
      <c r="L48" s="183" t="e">
        <f t="shared" ref="L48:L58" ca="1" si="8">$L$4</f>
        <v>#NAME?</v>
      </c>
      <c r="M48" s="7" t="e">
        <f t="shared" ca="1" si="7"/>
        <v>#NAME?</v>
      </c>
      <c r="N48" s="43" t="e">
        <f t="shared" ca="1" si="7"/>
        <v>#NAME?</v>
      </c>
      <c r="O48" s="183">
        <f t="shared" ref="O48:O82" ca="1" si="9">COUNTIFS($G$3:$G$38,$L48,$H$3:$H$38,$M48,$I$3:$I$38,$N48)</f>
        <v>36</v>
      </c>
      <c r="P48" s="7" t="e">
        <f t="shared" ref="P48:P82" ca="1" si="10">IF(O48=0,"",AVERAGEIFS($J$3:$J$38,$G$3:$G$38,$L48,$H$3:$H$38,$M48,$I$3:$I$38,$N48))</f>
        <v>#NAME?</v>
      </c>
      <c r="Q48" s="43" t="e">
        <f t="array" aca="1" ref="Q48" ca="1">IF(O48&lt;2,"",VAR(IF($G$3:$G$38=$L48,IF($H$3:$H$38=$M48,IF($I$3:$I$38=$N48,$J$3:$J$38,"")))))</f>
        <v>#NAME?</v>
      </c>
    </row>
    <row r="49" spans="12:17" x14ac:dyDescent="0.25">
      <c r="L49" s="183" t="e">
        <f t="shared" ca="1" si="8"/>
        <v>#NAME?</v>
      </c>
      <c r="M49" s="7" t="e">
        <f t="shared" ca="1" si="7"/>
        <v>#NAME?</v>
      </c>
      <c r="N49" s="43" t="e">
        <f t="shared" ca="1" si="7"/>
        <v>#NAME?</v>
      </c>
      <c r="O49" s="183">
        <f t="shared" ca="1" si="9"/>
        <v>36</v>
      </c>
      <c r="P49" s="7" t="e">
        <f t="shared" ca="1" si="10"/>
        <v>#NAME?</v>
      </c>
      <c r="Q49" s="43" t="e">
        <f t="array" aca="1" ref="Q49" ca="1">IF(O49&lt;2,"",VAR(IF($G$3:$G$38=$L49,IF($H$3:$H$38=$M49,IF($I$3:$I$38=$N49,$J$3:$J$38,"")))))</f>
        <v>#NAME?</v>
      </c>
    </row>
    <row r="50" spans="12:17" x14ac:dyDescent="0.25">
      <c r="L50" s="183" t="e">
        <f t="shared" ca="1" si="8"/>
        <v>#NAME?</v>
      </c>
      <c r="M50" s="7" t="e">
        <f t="shared" ca="1" si="7"/>
        <v>#NAME?</v>
      </c>
      <c r="N50" s="43" t="e">
        <f t="shared" ca="1" si="7"/>
        <v>#NAME?</v>
      </c>
      <c r="O50" s="183">
        <f t="shared" ca="1" si="9"/>
        <v>36</v>
      </c>
      <c r="P50" s="7" t="e">
        <f t="shared" ca="1" si="10"/>
        <v>#NAME?</v>
      </c>
      <c r="Q50" s="43" t="e">
        <f t="array" aca="1" ref="Q50" ca="1">IF(O50&lt;2,"",VAR(IF($G$3:$G$38=$L50,IF($H$3:$H$38=$M50,IF($I$3:$I$38=$N50,$J$3:$J$38,"")))))</f>
        <v>#NAME?</v>
      </c>
    </row>
    <row r="51" spans="12:17" x14ac:dyDescent="0.25">
      <c r="L51" s="183" t="e">
        <f t="shared" ca="1" si="8"/>
        <v>#NAME?</v>
      </c>
      <c r="M51" s="7" t="e">
        <f t="shared" ca="1" si="7"/>
        <v>#NAME?</v>
      </c>
      <c r="N51" s="43" t="e">
        <f t="shared" ca="1" si="7"/>
        <v>#NAME?</v>
      </c>
      <c r="O51" s="183">
        <f t="shared" ca="1" si="9"/>
        <v>36</v>
      </c>
      <c r="P51" s="7" t="e">
        <f t="shared" ca="1" si="10"/>
        <v>#NAME?</v>
      </c>
      <c r="Q51" s="43" t="e">
        <f t="array" aca="1" ref="Q51" ca="1">IF(O51&lt;2,"",VAR(IF($G$3:$G$38=$L51,IF($H$3:$H$38=$M51,IF($I$3:$I$38=$N51,$J$3:$J$38,"")))))</f>
        <v>#NAME?</v>
      </c>
    </row>
    <row r="52" spans="12:17" x14ac:dyDescent="0.25">
      <c r="L52" s="183" t="e">
        <f t="shared" ca="1" si="8"/>
        <v>#NAME?</v>
      </c>
      <c r="M52" s="7" t="e">
        <f t="shared" ca="1" si="7"/>
        <v>#NAME?</v>
      </c>
      <c r="N52" s="43" t="e">
        <f t="shared" ca="1" si="7"/>
        <v>#NAME?</v>
      </c>
      <c r="O52" s="183">
        <f t="shared" ca="1" si="9"/>
        <v>36</v>
      </c>
      <c r="P52" s="7" t="e">
        <f t="shared" ca="1" si="10"/>
        <v>#NAME?</v>
      </c>
      <c r="Q52" s="43" t="e">
        <f t="array" aca="1" ref="Q52" ca="1">IF(O52&lt;2,"",VAR(IF($G$3:$G$38=$L52,IF($H$3:$H$38=$M52,IF($I$3:$I$38=$N52,$J$3:$J$38,"")))))</f>
        <v>#NAME?</v>
      </c>
    </row>
    <row r="53" spans="12:17" x14ac:dyDescent="0.25">
      <c r="L53" s="183" t="e">
        <f t="shared" ca="1" si="8"/>
        <v>#NAME?</v>
      </c>
      <c r="M53" s="7" t="e">
        <f t="shared" ca="1" si="7"/>
        <v>#NAME?</v>
      </c>
      <c r="N53" s="43" t="e">
        <f t="shared" ca="1" si="7"/>
        <v>#NAME?</v>
      </c>
      <c r="O53" s="183">
        <f t="shared" ca="1" si="9"/>
        <v>36</v>
      </c>
      <c r="P53" s="7" t="e">
        <f t="shared" ca="1" si="10"/>
        <v>#NAME?</v>
      </c>
      <c r="Q53" s="43" t="e">
        <f t="array" aca="1" ref="Q53" ca="1">IF(O53&lt;2,"",VAR(IF($G$3:$G$38=$L53,IF($H$3:$H$38=$M53,IF($I$3:$I$38=$N53,$J$3:$J$38,"")))))</f>
        <v>#NAME?</v>
      </c>
    </row>
    <row r="54" spans="12:17" x14ac:dyDescent="0.25">
      <c r="L54" s="183" t="e">
        <f t="shared" ca="1" si="8"/>
        <v>#NAME?</v>
      </c>
      <c r="M54" s="7" t="e">
        <f t="shared" ca="1" si="7"/>
        <v>#NAME?</v>
      </c>
      <c r="N54" s="43" t="e">
        <f t="shared" ca="1" si="7"/>
        <v>#NAME?</v>
      </c>
      <c r="O54" s="183">
        <f t="shared" ca="1" si="9"/>
        <v>36</v>
      </c>
      <c r="P54" s="7" t="e">
        <f t="shared" ca="1" si="10"/>
        <v>#NAME?</v>
      </c>
      <c r="Q54" s="43" t="e">
        <f t="array" aca="1" ref="Q54" ca="1">IF(O54&lt;2,"",VAR(IF($G$3:$G$38=$L54,IF($H$3:$H$38=$M54,IF($I$3:$I$38=$N54,$J$3:$J$38,"")))))</f>
        <v>#NAME?</v>
      </c>
    </row>
    <row r="55" spans="12:17" x14ac:dyDescent="0.25">
      <c r="L55" s="183" t="e">
        <f t="shared" ca="1" si="8"/>
        <v>#NAME?</v>
      </c>
      <c r="M55" s="7" t="e">
        <f t="shared" ca="1" si="7"/>
        <v>#NAME?</v>
      </c>
      <c r="N55" s="43" t="e">
        <f t="shared" ca="1" si="7"/>
        <v>#NAME?</v>
      </c>
      <c r="O55" s="183">
        <f t="shared" ca="1" si="9"/>
        <v>36</v>
      </c>
      <c r="P55" s="7" t="e">
        <f t="shared" ca="1" si="10"/>
        <v>#NAME?</v>
      </c>
      <c r="Q55" s="43" t="e">
        <f t="array" aca="1" ref="Q55" ca="1">IF(O55&lt;2,"",VAR(IF($G$3:$G$38=$L55,IF($H$3:$H$38=$M55,IF($I$3:$I$38=$N55,$J$3:$J$38,"")))))</f>
        <v>#NAME?</v>
      </c>
    </row>
    <row r="56" spans="12:17" x14ac:dyDescent="0.25">
      <c r="L56" s="183" t="e">
        <f t="shared" ca="1" si="8"/>
        <v>#NAME?</v>
      </c>
      <c r="M56" s="7" t="e">
        <f t="shared" ca="1" si="7"/>
        <v>#NAME?</v>
      </c>
      <c r="N56" s="43" t="e">
        <f t="shared" ca="1" si="7"/>
        <v>#NAME?</v>
      </c>
      <c r="O56" s="183">
        <f t="shared" ca="1" si="9"/>
        <v>36</v>
      </c>
      <c r="P56" s="7" t="e">
        <f t="shared" ca="1" si="10"/>
        <v>#NAME?</v>
      </c>
      <c r="Q56" s="43" t="e">
        <f t="array" aca="1" ref="Q56" ca="1">IF(O56&lt;2,"",VAR(IF($G$3:$G$38=$L56,IF($H$3:$H$38=$M56,IF($I$3:$I$38=$N56,$J$3:$J$38,"")))))</f>
        <v>#NAME?</v>
      </c>
    </row>
    <row r="57" spans="12:17" x14ac:dyDescent="0.25">
      <c r="L57" s="183" t="e">
        <f t="shared" ca="1" si="8"/>
        <v>#NAME?</v>
      </c>
      <c r="M57" s="7" t="e">
        <f t="shared" ca="1" si="7"/>
        <v>#NAME?</v>
      </c>
      <c r="N57" s="43" t="e">
        <f t="shared" ca="1" si="7"/>
        <v>#NAME?</v>
      </c>
      <c r="O57" s="183">
        <f t="shared" ca="1" si="9"/>
        <v>36</v>
      </c>
      <c r="P57" s="7" t="e">
        <f t="shared" ca="1" si="10"/>
        <v>#NAME?</v>
      </c>
      <c r="Q57" s="43" t="e">
        <f t="array" aca="1" ref="Q57" ca="1">IF(O57&lt;2,"",VAR(IF($G$3:$G$38=$L57,IF($H$3:$H$38=$M57,IF($I$3:$I$38=$N57,$J$3:$J$38,"")))))</f>
        <v>#NAME?</v>
      </c>
    </row>
    <row r="58" spans="12:17" x14ac:dyDescent="0.25">
      <c r="L58" s="183" t="e">
        <f t="shared" ca="1" si="8"/>
        <v>#NAME?</v>
      </c>
      <c r="M58" s="7" t="e">
        <f t="shared" ca="1" si="7"/>
        <v>#NAME?</v>
      </c>
      <c r="N58" s="43" t="e">
        <f t="shared" ca="1" si="7"/>
        <v>#NAME?</v>
      </c>
      <c r="O58" s="183">
        <f t="shared" ca="1" si="9"/>
        <v>36</v>
      </c>
      <c r="P58" s="7" t="e">
        <f t="shared" ca="1" si="10"/>
        <v>#NAME?</v>
      </c>
      <c r="Q58" s="43" t="e">
        <f t="array" aca="1" ref="Q58" ca="1">IF(O58&lt;2,"",VAR(IF($G$3:$G$38=$L58,IF($H$3:$H$38=$M58,IF($I$3:$I$38=$N58,$J$3:$J$38,"")))))</f>
        <v>#NAME?</v>
      </c>
    </row>
    <row r="59" spans="12:17" x14ac:dyDescent="0.25">
      <c r="L59" s="183" t="e">
        <f ca="1">$L$5</f>
        <v>#NAME?</v>
      </c>
      <c r="M59" s="7" t="e">
        <f t="shared" ca="1" si="7"/>
        <v>#NAME?</v>
      </c>
      <c r="N59" s="43" t="e">
        <f t="shared" ca="1" si="7"/>
        <v>#NAME?</v>
      </c>
      <c r="O59" s="183">
        <f t="shared" ca="1" si="9"/>
        <v>36</v>
      </c>
      <c r="P59" s="7" t="e">
        <f t="shared" ca="1" si="10"/>
        <v>#NAME?</v>
      </c>
      <c r="Q59" s="43" t="e">
        <f t="array" aca="1" ref="Q59" ca="1">IF(O59&lt;2,"",VAR(IF($G$3:$G$38=$L59,IF($H$3:$H$38=$M59,IF($I$3:$I$38=$N59,$J$3:$J$38,"")))))</f>
        <v>#NAME?</v>
      </c>
    </row>
    <row r="60" spans="12:17" x14ac:dyDescent="0.25">
      <c r="L60" s="183" t="e">
        <f t="shared" ref="L60:L70" ca="1" si="11">$L$5</f>
        <v>#NAME?</v>
      </c>
      <c r="M60" s="7" t="e">
        <f t="shared" ca="1" si="7"/>
        <v>#NAME?</v>
      </c>
      <c r="N60" s="43" t="e">
        <f t="shared" ca="1" si="7"/>
        <v>#NAME?</v>
      </c>
      <c r="O60" s="183">
        <f t="shared" ca="1" si="9"/>
        <v>36</v>
      </c>
      <c r="P60" s="7" t="e">
        <f t="shared" ca="1" si="10"/>
        <v>#NAME?</v>
      </c>
      <c r="Q60" s="43" t="e">
        <f t="array" aca="1" ref="Q60" ca="1">IF(O60&lt;2,"",VAR(IF($G$3:$G$38=$L60,IF($H$3:$H$38=$M60,IF($I$3:$I$38=$N60,$J$3:$J$38,"")))))</f>
        <v>#NAME?</v>
      </c>
    </row>
    <row r="61" spans="12:17" x14ac:dyDescent="0.25">
      <c r="L61" s="183" t="e">
        <f t="shared" ca="1" si="11"/>
        <v>#NAME?</v>
      </c>
      <c r="M61" s="7" t="e">
        <f t="shared" ca="1" si="7"/>
        <v>#NAME?</v>
      </c>
      <c r="N61" s="43" t="e">
        <f t="shared" ca="1" si="7"/>
        <v>#NAME?</v>
      </c>
      <c r="O61" s="183">
        <f t="shared" ca="1" si="9"/>
        <v>36</v>
      </c>
      <c r="P61" s="7" t="e">
        <f t="shared" ca="1" si="10"/>
        <v>#NAME?</v>
      </c>
      <c r="Q61" s="43" t="e">
        <f t="array" aca="1" ref="Q61" ca="1">IF(O61&lt;2,"",VAR(IF($G$3:$G$38=$L61,IF($H$3:$H$38=$M61,IF($I$3:$I$38=$N61,$J$3:$J$38,"")))))</f>
        <v>#NAME?</v>
      </c>
    </row>
    <row r="62" spans="12:17" x14ac:dyDescent="0.25">
      <c r="L62" s="183" t="e">
        <f t="shared" ca="1" si="11"/>
        <v>#NAME?</v>
      </c>
      <c r="M62" s="7" t="e">
        <f t="shared" ca="1" si="7"/>
        <v>#NAME?</v>
      </c>
      <c r="N62" s="43" t="e">
        <f t="shared" ca="1" si="7"/>
        <v>#NAME?</v>
      </c>
      <c r="O62" s="183">
        <f t="shared" ca="1" si="9"/>
        <v>36</v>
      </c>
      <c r="P62" s="7" t="e">
        <f t="shared" ca="1" si="10"/>
        <v>#NAME?</v>
      </c>
      <c r="Q62" s="43" t="e">
        <f t="array" aca="1" ref="Q62" ca="1">IF(O62&lt;2,"",VAR(IF($G$3:$G$38=$L62,IF($H$3:$H$38=$M62,IF($I$3:$I$38=$N62,$J$3:$J$38,"")))))</f>
        <v>#NAME?</v>
      </c>
    </row>
    <row r="63" spans="12:17" x14ac:dyDescent="0.25">
      <c r="L63" s="183" t="e">
        <f t="shared" ca="1" si="11"/>
        <v>#NAME?</v>
      </c>
      <c r="M63" s="7" t="e">
        <f t="shared" ca="1" si="7"/>
        <v>#NAME?</v>
      </c>
      <c r="N63" s="43" t="e">
        <f t="shared" ca="1" si="7"/>
        <v>#NAME?</v>
      </c>
      <c r="O63" s="183">
        <f t="shared" ca="1" si="9"/>
        <v>36</v>
      </c>
      <c r="P63" s="7" t="e">
        <f t="shared" ca="1" si="10"/>
        <v>#NAME?</v>
      </c>
      <c r="Q63" s="43" t="e">
        <f t="array" aca="1" ref="Q63" ca="1">IF(O63&lt;2,"",VAR(IF($G$3:$G$38=$L63,IF($H$3:$H$38=$M63,IF($I$3:$I$38=$N63,$J$3:$J$38,"")))))</f>
        <v>#NAME?</v>
      </c>
    </row>
    <row r="64" spans="12:17" x14ac:dyDescent="0.25">
      <c r="L64" s="183" t="e">
        <f t="shared" ca="1" si="11"/>
        <v>#NAME?</v>
      </c>
      <c r="M64" s="7" t="e">
        <f t="shared" ca="1" si="7"/>
        <v>#NAME?</v>
      </c>
      <c r="N64" s="43" t="e">
        <f t="shared" ca="1" si="7"/>
        <v>#NAME?</v>
      </c>
      <c r="O64" s="183">
        <f t="shared" ca="1" si="9"/>
        <v>36</v>
      </c>
      <c r="P64" s="7" t="e">
        <f t="shared" ca="1" si="10"/>
        <v>#NAME?</v>
      </c>
      <c r="Q64" s="43" t="e">
        <f t="array" aca="1" ref="Q64" ca="1">IF(O64&lt;2,"",VAR(IF($G$3:$G$38=$L64,IF($H$3:$H$38=$M64,IF($I$3:$I$38=$N64,$J$3:$J$38,"")))))</f>
        <v>#NAME?</v>
      </c>
    </row>
    <row r="65" spans="12:17" x14ac:dyDescent="0.25">
      <c r="L65" s="183" t="e">
        <f t="shared" ca="1" si="11"/>
        <v>#NAME?</v>
      </c>
      <c r="M65" s="7" t="e">
        <f t="shared" ca="1" si="7"/>
        <v>#NAME?</v>
      </c>
      <c r="N65" s="43" t="e">
        <f t="shared" ca="1" si="7"/>
        <v>#NAME?</v>
      </c>
      <c r="O65" s="183">
        <f t="shared" ca="1" si="9"/>
        <v>36</v>
      </c>
      <c r="P65" s="7" t="e">
        <f t="shared" ca="1" si="10"/>
        <v>#NAME?</v>
      </c>
      <c r="Q65" s="43" t="e">
        <f t="array" aca="1" ref="Q65" ca="1">IF(O65&lt;2,"",VAR(IF($G$3:$G$38=$L65,IF($H$3:$H$38=$M65,IF($I$3:$I$38=$N65,$J$3:$J$38,"")))))</f>
        <v>#NAME?</v>
      </c>
    </row>
    <row r="66" spans="12:17" x14ac:dyDescent="0.25">
      <c r="L66" s="183" t="e">
        <f t="shared" ca="1" si="11"/>
        <v>#NAME?</v>
      </c>
      <c r="M66" s="7" t="e">
        <f t="shared" ca="1" si="7"/>
        <v>#NAME?</v>
      </c>
      <c r="N66" s="43" t="e">
        <f t="shared" ca="1" si="7"/>
        <v>#NAME?</v>
      </c>
      <c r="O66" s="183">
        <f t="shared" ca="1" si="9"/>
        <v>36</v>
      </c>
      <c r="P66" s="7" t="e">
        <f t="shared" ca="1" si="10"/>
        <v>#NAME?</v>
      </c>
      <c r="Q66" s="43" t="e">
        <f t="array" aca="1" ref="Q66" ca="1">IF(O66&lt;2,"",VAR(IF($G$3:$G$38=$L66,IF($H$3:$H$38=$M66,IF($I$3:$I$38=$N66,$J$3:$J$38,"")))))</f>
        <v>#NAME?</v>
      </c>
    </row>
    <row r="67" spans="12:17" x14ac:dyDescent="0.25">
      <c r="L67" s="183" t="e">
        <f t="shared" ca="1" si="11"/>
        <v>#NAME?</v>
      </c>
      <c r="M67" s="7" t="e">
        <f t="shared" ref="M67:N82" ca="1" si="12">M55</f>
        <v>#NAME?</v>
      </c>
      <c r="N67" s="43" t="e">
        <f t="shared" ca="1" si="12"/>
        <v>#NAME?</v>
      </c>
      <c r="O67" s="183">
        <f t="shared" ca="1" si="9"/>
        <v>36</v>
      </c>
      <c r="P67" s="7" t="e">
        <f t="shared" ca="1" si="10"/>
        <v>#NAME?</v>
      </c>
      <c r="Q67" s="43" t="e">
        <f t="array" aca="1" ref="Q67" ca="1">IF(O67&lt;2,"",VAR(IF($G$3:$G$38=$L67,IF($H$3:$H$38=$M67,IF($I$3:$I$38=$N67,$J$3:$J$38,"")))))</f>
        <v>#NAME?</v>
      </c>
    </row>
    <row r="68" spans="12:17" x14ac:dyDescent="0.25">
      <c r="L68" s="183" t="e">
        <f t="shared" ca="1" si="11"/>
        <v>#NAME?</v>
      </c>
      <c r="M68" s="7" t="e">
        <f t="shared" ca="1" si="12"/>
        <v>#NAME?</v>
      </c>
      <c r="N68" s="43" t="e">
        <f t="shared" ca="1" si="12"/>
        <v>#NAME?</v>
      </c>
      <c r="O68" s="183">
        <f t="shared" ca="1" si="9"/>
        <v>36</v>
      </c>
      <c r="P68" s="7" t="e">
        <f t="shared" ca="1" si="10"/>
        <v>#NAME?</v>
      </c>
      <c r="Q68" s="43" t="e">
        <f t="array" aca="1" ref="Q68" ca="1">IF(O68&lt;2,"",VAR(IF($G$3:$G$38=$L68,IF($H$3:$H$38=$M68,IF($I$3:$I$38=$N68,$J$3:$J$38,"")))))</f>
        <v>#NAME?</v>
      </c>
    </row>
    <row r="69" spans="12:17" x14ac:dyDescent="0.25">
      <c r="L69" s="183" t="e">
        <f t="shared" ca="1" si="11"/>
        <v>#NAME?</v>
      </c>
      <c r="M69" s="7" t="e">
        <f t="shared" ca="1" si="12"/>
        <v>#NAME?</v>
      </c>
      <c r="N69" s="43" t="e">
        <f t="shared" ca="1" si="12"/>
        <v>#NAME?</v>
      </c>
      <c r="O69" s="183">
        <f t="shared" ca="1" si="9"/>
        <v>36</v>
      </c>
      <c r="P69" s="7" t="e">
        <f t="shared" ca="1" si="10"/>
        <v>#NAME?</v>
      </c>
      <c r="Q69" s="43" t="e">
        <f t="array" aca="1" ref="Q69" ca="1">IF(O69&lt;2,"",VAR(IF($G$3:$G$38=$L69,IF($H$3:$H$38=$M69,IF($I$3:$I$38=$N69,$J$3:$J$38,"")))))</f>
        <v>#NAME?</v>
      </c>
    </row>
    <row r="70" spans="12:17" x14ac:dyDescent="0.25">
      <c r="L70" s="183" t="e">
        <f t="shared" ca="1" si="11"/>
        <v>#NAME?</v>
      </c>
      <c r="M70" s="7" t="e">
        <f t="shared" ca="1" si="12"/>
        <v>#NAME?</v>
      </c>
      <c r="N70" s="43" t="e">
        <f t="shared" ca="1" si="12"/>
        <v>#NAME?</v>
      </c>
      <c r="O70" s="183">
        <f t="shared" ca="1" si="9"/>
        <v>36</v>
      </c>
      <c r="P70" s="7" t="e">
        <f t="shared" ca="1" si="10"/>
        <v>#NAME?</v>
      </c>
      <c r="Q70" s="43" t="e">
        <f t="array" aca="1" ref="Q70" ca="1">IF(O70&lt;2,"",VAR(IF($G$3:$G$38=$L70,IF($H$3:$H$38=$M70,IF($I$3:$I$38=$N70,$J$3:$J$38,"")))))</f>
        <v>#NAME?</v>
      </c>
    </row>
    <row r="71" spans="12:17" x14ac:dyDescent="0.25">
      <c r="L71" s="183" t="e">
        <f ca="1">$L$6</f>
        <v>#NAME?</v>
      </c>
      <c r="M71" s="7" t="e">
        <f t="shared" ca="1" si="12"/>
        <v>#NAME?</v>
      </c>
      <c r="N71" s="43" t="e">
        <f t="shared" ca="1" si="12"/>
        <v>#NAME?</v>
      </c>
      <c r="O71" s="183">
        <f t="shared" ca="1" si="9"/>
        <v>36</v>
      </c>
      <c r="P71" s="7" t="e">
        <f t="shared" ca="1" si="10"/>
        <v>#NAME?</v>
      </c>
      <c r="Q71" s="43" t="e">
        <f t="array" aca="1" ref="Q71" ca="1">IF(O71&lt;2,"",VAR(IF($G$3:$G$38=$L71,IF($H$3:$H$38=$M71,IF($I$3:$I$38=$N71,$J$3:$J$38,"")))))</f>
        <v>#NAME?</v>
      </c>
    </row>
    <row r="72" spans="12:17" x14ac:dyDescent="0.25">
      <c r="L72" s="183" t="e">
        <f t="shared" ref="L72:L82" ca="1" si="13">$L$6</f>
        <v>#NAME?</v>
      </c>
      <c r="M72" s="7" t="e">
        <f t="shared" ca="1" si="12"/>
        <v>#NAME?</v>
      </c>
      <c r="N72" s="43" t="e">
        <f t="shared" ca="1" si="12"/>
        <v>#NAME?</v>
      </c>
      <c r="O72" s="183">
        <f t="shared" ca="1" si="9"/>
        <v>36</v>
      </c>
      <c r="P72" s="7" t="e">
        <f t="shared" ca="1" si="10"/>
        <v>#NAME?</v>
      </c>
      <c r="Q72" s="43" t="e">
        <f t="array" aca="1" ref="Q72" ca="1">IF(O72&lt;2,"",VAR(IF($G$3:$G$38=$L72,IF($H$3:$H$38=$M72,IF($I$3:$I$38=$N72,$J$3:$J$38,"")))))</f>
        <v>#NAME?</v>
      </c>
    </row>
    <row r="73" spans="12:17" x14ac:dyDescent="0.25">
      <c r="L73" s="183" t="e">
        <f t="shared" ca="1" si="13"/>
        <v>#NAME?</v>
      </c>
      <c r="M73" s="7" t="e">
        <f t="shared" ca="1" si="12"/>
        <v>#NAME?</v>
      </c>
      <c r="N73" s="43" t="e">
        <f t="shared" ca="1" si="12"/>
        <v>#NAME?</v>
      </c>
      <c r="O73" s="183">
        <f t="shared" ca="1" si="9"/>
        <v>36</v>
      </c>
      <c r="P73" s="7" t="e">
        <f t="shared" ca="1" si="10"/>
        <v>#NAME?</v>
      </c>
      <c r="Q73" s="43" t="e">
        <f t="array" aca="1" ref="Q73" ca="1">IF(O73&lt;2,"",VAR(IF($G$3:$G$38=$L73,IF($H$3:$H$38=$M73,IF($I$3:$I$38=$N73,$J$3:$J$38,"")))))</f>
        <v>#NAME?</v>
      </c>
    </row>
    <row r="74" spans="12:17" x14ac:dyDescent="0.25">
      <c r="L74" s="183" t="e">
        <f t="shared" ca="1" si="13"/>
        <v>#NAME?</v>
      </c>
      <c r="M74" s="7" t="e">
        <f t="shared" ca="1" si="12"/>
        <v>#NAME?</v>
      </c>
      <c r="N74" s="43" t="e">
        <f t="shared" ca="1" si="12"/>
        <v>#NAME?</v>
      </c>
      <c r="O74" s="183">
        <f t="shared" ca="1" si="9"/>
        <v>36</v>
      </c>
      <c r="P74" s="7" t="e">
        <f t="shared" ca="1" si="10"/>
        <v>#NAME?</v>
      </c>
      <c r="Q74" s="43" t="e">
        <f t="array" aca="1" ref="Q74" ca="1">IF(O74&lt;2,"",VAR(IF($G$3:$G$38=$L74,IF($H$3:$H$38=$M74,IF($I$3:$I$38=$N74,$J$3:$J$38,"")))))</f>
        <v>#NAME?</v>
      </c>
    </row>
    <row r="75" spans="12:17" x14ac:dyDescent="0.25">
      <c r="L75" s="183" t="e">
        <f t="shared" ca="1" si="13"/>
        <v>#NAME?</v>
      </c>
      <c r="M75" s="7" t="e">
        <f t="shared" ca="1" si="12"/>
        <v>#NAME?</v>
      </c>
      <c r="N75" s="43" t="e">
        <f t="shared" ca="1" si="12"/>
        <v>#NAME?</v>
      </c>
      <c r="O75" s="183">
        <f t="shared" ca="1" si="9"/>
        <v>36</v>
      </c>
      <c r="P75" s="7" t="e">
        <f t="shared" ca="1" si="10"/>
        <v>#NAME?</v>
      </c>
      <c r="Q75" s="43" t="e">
        <f t="array" aca="1" ref="Q75" ca="1">IF(O75&lt;2,"",VAR(IF($G$3:$G$38=$L75,IF($H$3:$H$38=$M75,IF($I$3:$I$38=$N75,$J$3:$J$38,"")))))</f>
        <v>#NAME?</v>
      </c>
    </row>
    <row r="76" spans="12:17" x14ac:dyDescent="0.25">
      <c r="L76" s="183" t="e">
        <f t="shared" ca="1" si="13"/>
        <v>#NAME?</v>
      </c>
      <c r="M76" s="7" t="e">
        <f t="shared" ca="1" si="12"/>
        <v>#NAME?</v>
      </c>
      <c r="N76" s="43" t="e">
        <f t="shared" ca="1" si="12"/>
        <v>#NAME?</v>
      </c>
      <c r="O76" s="183">
        <f t="shared" ca="1" si="9"/>
        <v>36</v>
      </c>
      <c r="P76" s="7" t="e">
        <f t="shared" ca="1" si="10"/>
        <v>#NAME?</v>
      </c>
      <c r="Q76" s="43" t="e">
        <f t="array" aca="1" ref="Q76" ca="1">IF(O76&lt;2,"",VAR(IF($G$3:$G$38=$L76,IF($H$3:$H$38=$M76,IF($I$3:$I$38=$N76,$J$3:$J$38,"")))))</f>
        <v>#NAME?</v>
      </c>
    </row>
    <row r="77" spans="12:17" x14ac:dyDescent="0.25">
      <c r="L77" s="183" t="e">
        <f t="shared" ca="1" si="13"/>
        <v>#NAME?</v>
      </c>
      <c r="M77" s="7" t="e">
        <f t="shared" ca="1" si="12"/>
        <v>#NAME?</v>
      </c>
      <c r="N77" s="43" t="e">
        <f t="shared" ca="1" si="12"/>
        <v>#NAME?</v>
      </c>
      <c r="O77" s="183">
        <f t="shared" ca="1" si="9"/>
        <v>36</v>
      </c>
      <c r="P77" s="7" t="e">
        <f t="shared" ca="1" si="10"/>
        <v>#NAME?</v>
      </c>
      <c r="Q77" s="43" t="e">
        <f t="array" aca="1" ref="Q77" ca="1">IF(O77&lt;2,"",VAR(IF($G$3:$G$38=$L77,IF($H$3:$H$38=$M77,IF($I$3:$I$38=$N77,$J$3:$J$38,"")))))</f>
        <v>#NAME?</v>
      </c>
    </row>
    <row r="78" spans="12:17" x14ac:dyDescent="0.25">
      <c r="L78" s="183" t="e">
        <f t="shared" ca="1" si="13"/>
        <v>#NAME?</v>
      </c>
      <c r="M78" s="7" t="e">
        <f t="shared" ca="1" si="12"/>
        <v>#NAME?</v>
      </c>
      <c r="N78" s="43" t="e">
        <f t="shared" ca="1" si="12"/>
        <v>#NAME?</v>
      </c>
      <c r="O78" s="183">
        <f t="shared" ca="1" si="9"/>
        <v>36</v>
      </c>
      <c r="P78" s="7" t="e">
        <f t="shared" ca="1" si="10"/>
        <v>#NAME?</v>
      </c>
      <c r="Q78" s="43" t="e">
        <f t="array" aca="1" ref="Q78" ca="1">IF(O78&lt;2,"",VAR(IF($G$3:$G$38=$L78,IF($H$3:$H$38=$M78,IF($I$3:$I$38=$N78,$J$3:$J$38,"")))))</f>
        <v>#NAME?</v>
      </c>
    </row>
    <row r="79" spans="12:17" x14ac:dyDescent="0.25">
      <c r="L79" s="183" t="e">
        <f t="shared" ca="1" si="13"/>
        <v>#NAME?</v>
      </c>
      <c r="M79" s="7" t="e">
        <f t="shared" ca="1" si="12"/>
        <v>#NAME?</v>
      </c>
      <c r="N79" s="43" t="e">
        <f t="shared" ca="1" si="12"/>
        <v>#NAME?</v>
      </c>
      <c r="O79" s="183">
        <f t="shared" ca="1" si="9"/>
        <v>36</v>
      </c>
      <c r="P79" s="7" t="e">
        <f t="shared" ca="1" si="10"/>
        <v>#NAME?</v>
      </c>
      <c r="Q79" s="43" t="e">
        <f t="array" aca="1" ref="Q79" ca="1">IF(O79&lt;2,"",VAR(IF($G$3:$G$38=$L79,IF($H$3:$H$38=$M79,IF($I$3:$I$38=$N79,$J$3:$J$38,"")))))</f>
        <v>#NAME?</v>
      </c>
    </row>
    <row r="80" spans="12:17" x14ac:dyDescent="0.25">
      <c r="L80" s="183" t="e">
        <f t="shared" ca="1" si="13"/>
        <v>#NAME?</v>
      </c>
      <c r="M80" s="7" t="e">
        <f t="shared" ca="1" si="12"/>
        <v>#NAME?</v>
      </c>
      <c r="N80" s="43" t="e">
        <f t="shared" ca="1" si="12"/>
        <v>#NAME?</v>
      </c>
      <c r="O80" s="183">
        <f t="shared" ca="1" si="9"/>
        <v>36</v>
      </c>
      <c r="P80" s="7" t="e">
        <f t="shared" ca="1" si="10"/>
        <v>#NAME?</v>
      </c>
      <c r="Q80" s="43" t="e">
        <f t="array" aca="1" ref="Q80" ca="1">IF(O80&lt;2,"",VAR(IF($G$3:$G$38=$L80,IF($H$3:$H$38=$M80,IF($I$3:$I$38=$N80,$J$3:$J$38,"")))))</f>
        <v>#NAME?</v>
      </c>
    </row>
    <row r="81" spans="12:17" x14ac:dyDescent="0.25">
      <c r="L81" s="183" t="e">
        <f t="shared" ca="1" si="13"/>
        <v>#NAME?</v>
      </c>
      <c r="M81" s="7" t="e">
        <f t="shared" ca="1" si="12"/>
        <v>#NAME?</v>
      </c>
      <c r="N81" s="43" t="e">
        <f t="shared" ca="1" si="12"/>
        <v>#NAME?</v>
      </c>
      <c r="O81" s="183">
        <f t="shared" ca="1" si="9"/>
        <v>36</v>
      </c>
      <c r="P81" s="7" t="e">
        <f t="shared" ca="1" si="10"/>
        <v>#NAME?</v>
      </c>
      <c r="Q81" s="43" t="e">
        <f t="array" aca="1" ref="Q81" ca="1">IF(O81&lt;2,"",VAR(IF($G$3:$G$38=$L81,IF($H$3:$H$38=$M81,IF($I$3:$I$38=$N81,$J$3:$J$38,"")))))</f>
        <v>#NAME?</v>
      </c>
    </row>
    <row r="82" spans="12:17" x14ac:dyDescent="0.25">
      <c r="L82" s="351" t="e">
        <f t="shared" ca="1" si="13"/>
        <v>#NAME?</v>
      </c>
      <c r="M82" s="352" t="e">
        <f t="shared" ca="1" si="12"/>
        <v>#NAME?</v>
      </c>
      <c r="N82" s="353" t="e">
        <f t="shared" ca="1" si="12"/>
        <v>#NAME?</v>
      </c>
      <c r="O82" s="351">
        <f t="shared" ca="1" si="9"/>
        <v>36</v>
      </c>
      <c r="P82" s="352" t="e">
        <f t="shared" ca="1" si="10"/>
        <v>#NAME?</v>
      </c>
      <c r="Q82" s="353" t="e">
        <f t="array" aca="1" ref="Q82" ca="1">IF(O82&lt;2,"",VAR(IF($G$3:$G$38=$L82,IF($H$3:$H$38=$M82,IF($I$3:$I$38=$N82,$J$3:$J$38,"")))))</f>
        <v>#NAME?</v>
      </c>
    </row>
    <row r="83" spans="12:17" x14ac:dyDescent="0.25">
      <c r="O83">
        <f ca="1">SUM(O47:O82)</f>
        <v>1296</v>
      </c>
      <c r="P83" t="e">
        <f ca="1">AVERAGE(J3:J38)</f>
        <v>#NAME?</v>
      </c>
      <c r="Q83" t="e">
        <f ca="1">VAR(J3:J38)</f>
        <v>#NAME?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N14"/>
  <sheetViews>
    <sheetView workbookViewId="0"/>
  </sheetViews>
  <sheetFormatPr defaultRowHeight="15" x14ac:dyDescent="0.25"/>
  <cols>
    <col min="1" max="1" width="4.5703125" customWidth="1"/>
    <col min="2" max="5" width="6.42578125" customWidth="1"/>
  </cols>
  <sheetData>
    <row r="1" spans="1:40" ht="15.75" thickBot="1" x14ac:dyDescent="0.3">
      <c r="A1" s="1" t="s">
        <v>1411</v>
      </c>
      <c r="G1" t="s">
        <v>152</v>
      </c>
      <c r="N1" t="s">
        <v>1369</v>
      </c>
      <c r="V1" t="s">
        <v>1365</v>
      </c>
      <c r="AE1" t="s">
        <v>1366</v>
      </c>
    </row>
    <row r="2" spans="1:40" ht="15.75" thickTop="1" x14ac:dyDescent="0.25">
      <c r="AE2" s="386" t="s">
        <v>53</v>
      </c>
      <c r="AF2" s="386" t="s">
        <v>27</v>
      </c>
      <c r="AG2" s="386" t="s">
        <v>6</v>
      </c>
      <c r="AH2" s="386" t="s">
        <v>17</v>
      </c>
    </row>
    <row r="3" spans="1:40" ht="15.75" thickBot="1" x14ac:dyDescent="0.3">
      <c r="B3" s="612" t="s">
        <v>109</v>
      </c>
      <c r="C3" s="612" t="s">
        <v>95</v>
      </c>
      <c r="D3" s="612" t="s">
        <v>96</v>
      </c>
      <c r="E3" s="612" t="s">
        <v>97</v>
      </c>
      <c r="G3" t="str">
        <f>IF(A3="","",A3)</f>
        <v/>
      </c>
      <c r="H3" t="str">
        <f t="shared" ref="H3:K6" si="0">B3</f>
        <v>A</v>
      </c>
      <c r="I3" t="str">
        <f t="shared" si="0"/>
        <v>B</v>
      </c>
      <c r="J3" t="str">
        <f t="shared" si="0"/>
        <v>C</v>
      </c>
      <c r="K3" t="str">
        <f t="shared" si="0"/>
        <v>D</v>
      </c>
      <c r="L3" s="612" t="s">
        <v>9</v>
      </c>
      <c r="N3" t="s">
        <v>125</v>
      </c>
      <c r="R3" t="s">
        <v>18</v>
      </c>
      <c r="S3">
        <v>0.05</v>
      </c>
      <c r="V3" t="str">
        <f>IF(A3="","",A3)</f>
        <v/>
      </c>
      <c r="W3" t="str">
        <f>B3</f>
        <v>A</v>
      </c>
      <c r="X3" t="str">
        <f>C3</f>
        <v>B</v>
      </c>
      <c r="Y3" t="str">
        <f>D3</f>
        <v>C</v>
      </c>
      <c r="Z3" t="str">
        <f>E3</f>
        <v>D</v>
      </c>
      <c r="AE3" s="387" t="str">
        <f t="array" ref="AE3:AE6">TRANSPOSE(B3:E3)</f>
        <v>A</v>
      </c>
      <c r="AF3" s="549"/>
      <c r="AG3" s="387">
        <f>AVERAGE(B4:B6)</f>
        <v>189</v>
      </c>
      <c r="AH3" s="387">
        <f>COUNT(B4:B6)</f>
        <v>3</v>
      </c>
    </row>
    <row r="4" spans="1:40" ht="15.75" thickTop="1" x14ac:dyDescent="0.25">
      <c r="A4" s="612">
        <v>1</v>
      </c>
      <c r="B4" s="646">
        <v>217</v>
      </c>
      <c r="C4" s="664">
        <v>158</v>
      </c>
      <c r="D4" s="664">
        <v>229</v>
      </c>
      <c r="E4" s="647">
        <v>223</v>
      </c>
      <c r="G4">
        <f>A4</f>
        <v>1</v>
      </c>
      <c r="H4" s="648">
        <f t="shared" si="0"/>
        <v>217</v>
      </c>
      <c r="I4" s="649">
        <f t="shared" si="0"/>
        <v>158</v>
      </c>
      <c r="J4" s="649">
        <f t="shared" si="0"/>
        <v>229</v>
      </c>
      <c r="K4" s="650">
        <f t="shared" si="0"/>
        <v>223</v>
      </c>
      <c r="L4">
        <f>AVERAGE(H4:K4)</f>
        <v>206.75</v>
      </c>
      <c r="N4" s="386" t="s">
        <v>153</v>
      </c>
      <c r="O4" s="386" t="s">
        <v>111</v>
      </c>
      <c r="P4" s="386" t="s">
        <v>41</v>
      </c>
      <c r="Q4" s="386" t="s">
        <v>115</v>
      </c>
      <c r="R4" s="386" t="s">
        <v>98</v>
      </c>
      <c r="S4" s="386" t="s">
        <v>154</v>
      </c>
      <c r="T4" s="386" t="s">
        <v>155</v>
      </c>
      <c r="V4" t="s">
        <v>168</v>
      </c>
      <c r="W4" s="667"/>
      <c r="X4" s="668">
        <v>1</v>
      </c>
      <c r="Y4" s="668">
        <v>-1</v>
      </c>
      <c r="Z4" s="669"/>
      <c r="AA4" s="670" t="s">
        <v>389</v>
      </c>
      <c r="AE4" s="7" t="str">
        <v>B</v>
      </c>
      <c r="AF4" s="539">
        <v>-1</v>
      </c>
      <c r="AG4" s="7">
        <f>AVERAGE(C4:C6)</f>
        <v>135.33333333333334</v>
      </c>
      <c r="AH4" s="7">
        <f>COUNT(C4:C6)</f>
        <v>3</v>
      </c>
    </row>
    <row r="5" spans="1:40" x14ac:dyDescent="0.25">
      <c r="A5" s="612">
        <v>2</v>
      </c>
      <c r="B5" s="214">
        <v>188</v>
      </c>
      <c r="C5" s="7">
        <v>126</v>
      </c>
      <c r="D5" s="7">
        <v>160</v>
      </c>
      <c r="E5" s="215">
        <v>201</v>
      </c>
      <c r="G5">
        <f>A5</f>
        <v>2</v>
      </c>
      <c r="H5" s="183">
        <f t="shared" si="0"/>
        <v>188</v>
      </c>
      <c r="I5" s="7">
        <f t="shared" si="0"/>
        <v>126</v>
      </c>
      <c r="J5" s="7">
        <f t="shared" si="0"/>
        <v>160</v>
      </c>
      <c r="K5" s="43">
        <f t="shared" si="0"/>
        <v>201</v>
      </c>
      <c r="L5">
        <f>AVERAGE(H5:K5)</f>
        <v>168.75</v>
      </c>
      <c r="N5" t="s">
        <v>1364</v>
      </c>
      <c r="O5">
        <f>(P6+1)*DEVSQ(L4:L6)</f>
        <v>5208.666666666667</v>
      </c>
      <c r="P5">
        <f>COUNT(H4:H6)-1</f>
        <v>2</v>
      </c>
      <c r="Q5">
        <f>O5/P5</f>
        <v>2604.3333333333335</v>
      </c>
      <c r="R5">
        <f>Q5/Q7</f>
        <v>19.275493421052605</v>
      </c>
      <c r="S5">
        <f>FDIST(R5,P5,P7)</f>
        <v>2.4427654328442569E-3</v>
      </c>
      <c r="T5">
        <f>FINV(S3,P5,P7)</f>
        <v>5.1432528497847176</v>
      </c>
      <c r="V5">
        <f t="shared" ref="V5:Z7" si="1">A4</f>
        <v>1</v>
      </c>
      <c r="W5" s="648">
        <f t="shared" si="1"/>
        <v>217</v>
      </c>
      <c r="X5" s="649">
        <f t="shared" si="1"/>
        <v>158</v>
      </c>
      <c r="Y5" s="649">
        <f t="shared" si="1"/>
        <v>229</v>
      </c>
      <c r="Z5" s="650">
        <f t="shared" si="1"/>
        <v>223</v>
      </c>
      <c r="AA5" s="671">
        <f>SUMPRODUCT($W$4:$Z$4,W5:Z5)</f>
        <v>-71</v>
      </c>
      <c r="AE5" s="7" t="str">
        <v>C</v>
      </c>
      <c r="AF5" s="539">
        <v>1</v>
      </c>
      <c r="AG5" s="7">
        <f>AVERAGE(D4:D6)</f>
        <v>185.33333333333334</v>
      </c>
      <c r="AH5" s="7">
        <f>COUNT(D4:D6)</f>
        <v>3</v>
      </c>
    </row>
    <row r="6" spans="1:40" x14ac:dyDescent="0.25">
      <c r="A6" s="612">
        <v>3</v>
      </c>
      <c r="B6" s="112">
        <v>162</v>
      </c>
      <c r="C6" s="354">
        <v>122</v>
      </c>
      <c r="D6" s="354">
        <v>167</v>
      </c>
      <c r="E6" s="120">
        <v>182</v>
      </c>
      <c r="G6">
        <f>A6</f>
        <v>3</v>
      </c>
      <c r="H6" s="351">
        <f t="shared" si="0"/>
        <v>162</v>
      </c>
      <c r="I6" s="352">
        <f t="shared" si="0"/>
        <v>122</v>
      </c>
      <c r="J6" s="352">
        <f t="shared" si="0"/>
        <v>167</v>
      </c>
      <c r="K6" s="353">
        <f t="shared" si="0"/>
        <v>182</v>
      </c>
      <c r="L6">
        <f>AVERAGE(H6:K6)</f>
        <v>158.25</v>
      </c>
      <c r="N6" t="s">
        <v>53</v>
      </c>
      <c r="O6">
        <f>(P5+1)*DEVSQ(H7:K7)</f>
        <v>7713.5833333333321</v>
      </c>
      <c r="P6">
        <f>COUNT(H4:K4)-1</f>
        <v>3</v>
      </c>
      <c r="Q6">
        <f>O6/P6</f>
        <v>2571.1944444444439</v>
      </c>
      <c r="R6">
        <f>Q6/Q7</f>
        <v>19.030222039473653</v>
      </c>
      <c r="S6">
        <f>FDIST(R6,P6,P7)</f>
        <v>1.8130799740299389E-3</v>
      </c>
      <c r="T6">
        <f>FINV(S3,P6,P7)</f>
        <v>4.7570626630894131</v>
      </c>
      <c r="V6">
        <f t="shared" si="1"/>
        <v>2</v>
      </c>
      <c r="W6" s="183">
        <f t="shared" si="1"/>
        <v>188</v>
      </c>
      <c r="X6" s="7">
        <f t="shared" si="1"/>
        <v>126</v>
      </c>
      <c r="Y6" s="7">
        <f t="shared" si="1"/>
        <v>160</v>
      </c>
      <c r="Z6" s="43">
        <f t="shared" si="1"/>
        <v>201</v>
      </c>
      <c r="AA6" s="322">
        <f>SUMPRODUCT($W$4:$Z$4,W6:Z6)</f>
        <v>-34</v>
      </c>
      <c r="AE6" s="354" t="str">
        <v>D</v>
      </c>
      <c r="AF6" s="540"/>
      <c r="AG6" s="354">
        <f>AVERAGE(E4:E6)</f>
        <v>202</v>
      </c>
      <c r="AH6" s="354">
        <f>COUNT(E4:E6)</f>
        <v>3</v>
      </c>
    </row>
    <row r="7" spans="1:40" x14ac:dyDescent="0.25">
      <c r="G7" t="s">
        <v>9</v>
      </c>
      <c r="H7">
        <f>AVERAGE(H4:H6)</f>
        <v>189</v>
      </c>
      <c r="I7">
        <f>AVERAGE(I4:I6)</f>
        <v>135.33333333333334</v>
      </c>
      <c r="J7">
        <f>AVERAGE(J4:J6)</f>
        <v>185.33333333333334</v>
      </c>
      <c r="K7">
        <f>AVERAGE(K4:K6)</f>
        <v>202</v>
      </c>
      <c r="L7">
        <f>AVERAGE(L4:L6)</f>
        <v>177.91666666666666</v>
      </c>
      <c r="N7" t="s">
        <v>176</v>
      </c>
      <c r="O7">
        <f>O8-O5-O6</f>
        <v>810.66666666666788</v>
      </c>
      <c r="P7">
        <f>P8-P5-P6</f>
        <v>6</v>
      </c>
      <c r="Q7">
        <f>O7/P7</f>
        <v>135.11111111111131</v>
      </c>
      <c r="V7">
        <f t="shared" si="1"/>
        <v>3</v>
      </c>
      <c r="W7" s="351">
        <f t="shared" si="1"/>
        <v>162</v>
      </c>
      <c r="X7" s="352">
        <f t="shared" si="1"/>
        <v>122</v>
      </c>
      <c r="Y7" s="352">
        <f t="shared" si="1"/>
        <v>167</v>
      </c>
      <c r="Z7" s="353">
        <f t="shared" si="1"/>
        <v>182</v>
      </c>
      <c r="AA7" s="349">
        <f>SUMPRODUCT($W$4:$Z$4,W7:Z7)</f>
        <v>-45</v>
      </c>
      <c r="AF7">
        <f>SUM(AF3:AF6)</f>
        <v>0</v>
      </c>
      <c r="AG7">
        <f>SUMPRODUCT(AF3:AF6,AG3:AG6)</f>
        <v>50</v>
      </c>
      <c r="AH7">
        <f>SUMPRODUCT(ABS(AF3:AF6),AH3:AH6)/SUMPRODUCT(ABS(AF3:AF6))</f>
        <v>3</v>
      </c>
    </row>
    <row r="8" spans="1:40" ht="15.75" thickBot="1" x14ac:dyDescent="0.3">
      <c r="G8" t="s">
        <v>54</v>
      </c>
      <c r="H8">
        <f>VAR(H4:H6)</f>
        <v>757</v>
      </c>
      <c r="I8">
        <f>VAR(I4:I6)</f>
        <v>389.33333333333212</v>
      </c>
      <c r="J8">
        <f>VAR(J4:J6)</f>
        <v>1442.3333333333358</v>
      </c>
      <c r="K8">
        <f>VAR(K4:K6)</f>
        <v>421</v>
      </c>
      <c r="L8">
        <f>VAR(L4:L6)</f>
        <v>651.08333333333576</v>
      </c>
      <c r="N8" t="s">
        <v>1</v>
      </c>
      <c r="O8">
        <f>DEVSQ(H4:K6)</f>
        <v>13732.916666666666</v>
      </c>
      <c r="P8">
        <f>(P5+1)*(P6+1)-1</f>
        <v>11</v>
      </c>
      <c r="Z8" t="s">
        <v>6</v>
      </c>
      <c r="AA8" s="671">
        <f>AVERAGE(AA5:AA7)</f>
        <v>-50</v>
      </c>
      <c r="AE8" t="s">
        <v>801</v>
      </c>
      <c r="AJ8" t="s">
        <v>18</v>
      </c>
      <c r="AK8">
        <v>0.05</v>
      </c>
    </row>
    <row r="9" spans="1:40" ht="15.75" thickTop="1" x14ac:dyDescent="0.25">
      <c r="N9" s="664"/>
      <c r="O9" s="664"/>
      <c r="P9" s="664"/>
      <c r="Q9" s="664"/>
      <c r="R9" s="664"/>
      <c r="S9" s="664"/>
      <c r="T9" s="664"/>
      <c r="Z9" t="s">
        <v>52</v>
      </c>
      <c r="AA9" s="322">
        <f>STDEV(AA5:AA7)</f>
        <v>19</v>
      </c>
      <c r="AE9" s="386" t="s">
        <v>390</v>
      </c>
      <c r="AF9" s="386" t="s">
        <v>800</v>
      </c>
      <c r="AG9" s="386" t="s">
        <v>41</v>
      </c>
      <c r="AH9" s="386" t="s">
        <v>166</v>
      </c>
      <c r="AI9" s="386" t="s">
        <v>75</v>
      </c>
      <c r="AJ9" s="386" t="s">
        <v>15</v>
      </c>
      <c r="AK9" s="386" t="s">
        <v>16</v>
      </c>
      <c r="AL9" s="386" t="s">
        <v>48</v>
      </c>
      <c r="AM9" s="386" t="s">
        <v>45</v>
      </c>
      <c r="AN9" s="386" t="s">
        <v>399</v>
      </c>
    </row>
    <row r="10" spans="1:40" x14ac:dyDescent="0.25">
      <c r="Z10" t="s">
        <v>390</v>
      </c>
      <c r="AA10" s="349">
        <f>AA9/SQRT(COUNTA(AA5:AA7))</f>
        <v>10.96965511460289</v>
      </c>
      <c r="AE10" s="651" t="e">
        <f ca="1">SQRT(MSWF(B4:E6,1)/AH7)</f>
        <v>#NAME?</v>
      </c>
      <c r="AF10" s="651" t="e">
        <f ca="1">AG7/AE10</f>
        <v>#NAME?</v>
      </c>
      <c r="AG10" s="651" t="e">
        <f ca="1">dfWF(B4:E6,1)</f>
        <v>#NAME?</v>
      </c>
      <c r="AH10" s="651" t="e">
        <f ca="1">QCRIT(COUNT(AH3:AH6),AG10,AK8,2)</f>
        <v>#NAME?</v>
      </c>
      <c r="AI10" s="651" t="e">
        <f ca="1">AE10*AH10</f>
        <v>#NAME?</v>
      </c>
      <c r="AJ10" s="651" t="e">
        <f ca="1">AG7-AE10*AH10</f>
        <v>#NAME?</v>
      </c>
      <c r="AK10" s="651" t="e">
        <f ca="1">AG7+AE10*AH10</f>
        <v>#NAME?</v>
      </c>
      <c r="AL10" s="651" t="e">
        <f ca="1">QDIST(ABS(AF10),COUNT(AH3:AH6),AG10)</f>
        <v>#NAME?</v>
      </c>
      <c r="AM10" s="651" t="e">
        <f ca="1">ABS(AG7)/(AE10*SQRT(AH7))</f>
        <v>#NAME?</v>
      </c>
      <c r="AN10" s="651" t="e">
        <f ca="1">SQRT(AF10^2/(AF10^2+AG10))</f>
        <v>#NAME?</v>
      </c>
    </row>
    <row r="12" spans="1:40" ht="15.75" thickBot="1" x14ac:dyDescent="0.3">
      <c r="V12" t="s">
        <v>46</v>
      </c>
      <c r="Y12" t="s">
        <v>18</v>
      </c>
      <c r="Z12">
        <v>0.05</v>
      </c>
    </row>
    <row r="13" spans="1:40" ht="15.75" thickTop="1" x14ac:dyDescent="0.25">
      <c r="V13" s="386" t="s">
        <v>6</v>
      </c>
      <c r="W13" s="386" t="s">
        <v>390</v>
      </c>
      <c r="X13" s="386" t="s">
        <v>60</v>
      </c>
      <c r="Y13" s="386" t="s">
        <v>41</v>
      </c>
      <c r="Z13" s="386" t="s">
        <v>48</v>
      </c>
      <c r="AA13" s="386" t="s">
        <v>164</v>
      </c>
      <c r="AB13" s="386" t="s">
        <v>398</v>
      </c>
      <c r="AC13" s="386" t="s">
        <v>399</v>
      </c>
    </row>
    <row r="14" spans="1:40" x14ac:dyDescent="0.25">
      <c r="V14" s="651">
        <f>AA8</f>
        <v>-50</v>
      </c>
      <c r="W14" s="651">
        <f>AA10</f>
        <v>10.96965511460289</v>
      </c>
      <c r="X14" s="651">
        <f>V14/W14</f>
        <v>-4.5580284409707295</v>
      </c>
      <c r="Y14" s="651">
        <f>COUNTA(AA5:AA7)-1</f>
        <v>2</v>
      </c>
      <c r="Z14" s="651">
        <f>TDIST(ABS(X14),Y14,2)</f>
        <v>4.4915283412048257E-2</v>
      </c>
      <c r="AA14" s="652" t="str">
        <f>IF(Z14&lt;Z12,"yes","no")</f>
        <v>yes</v>
      </c>
      <c r="AB14" s="651">
        <f>ABS(AA8)/AA9</f>
        <v>2.6315789473684212</v>
      </c>
      <c r="AC14" s="651">
        <f>SQRT(V14^2/(V14^2+Y14))</f>
        <v>0.99960023984011193</v>
      </c>
      <c r="AD14" s="61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P19"/>
  <sheetViews>
    <sheetView workbookViewId="0"/>
  </sheetViews>
  <sheetFormatPr defaultRowHeight="15" x14ac:dyDescent="0.25"/>
  <sheetData>
    <row r="1" spans="1:16" x14ac:dyDescent="0.25">
      <c r="A1" s="1" t="s">
        <v>1374</v>
      </c>
      <c r="G1" t="s">
        <v>1375</v>
      </c>
      <c r="M1" t="s">
        <v>1134</v>
      </c>
    </row>
    <row r="3" spans="1:16" x14ac:dyDescent="0.25">
      <c r="A3" s="612"/>
      <c r="B3" s="612">
        <v>1</v>
      </c>
      <c r="C3" s="612">
        <f>B3+1</f>
        <v>2</v>
      </c>
      <c r="D3" s="612">
        <f>C3+1</f>
        <v>3</v>
      </c>
      <c r="E3" s="612">
        <f>D3+1</f>
        <v>4</v>
      </c>
      <c r="F3" s="612"/>
      <c r="H3" s="612">
        <v>1</v>
      </c>
      <c r="I3" s="612">
        <f>H3+1</f>
        <v>2</v>
      </c>
      <c r="J3" s="612">
        <f>I3+1</f>
        <v>3</v>
      </c>
      <c r="K3" s="612">
        <f>J3+1</f>
        <v>4</v>
      </c>
      <c r="M3" s="609" t="s">
        <v>29</v>
      </c>
      <c r="N3" s="609" t="s">
        <v>1376</v>
      </c>
      <c r="O3" s="609" t="s">
        <v>1377</v>
      </c>
      <c r="P3" s="609" t="s">
        <v>1111</v>
      </c>
    </row>
    <row r="4" spans="1:16" x14ac:dyDescent="0.25">
      <c r="A4" s="49">
        <v>1</v>
      </c>
      <c r="B4" s="575" t="s">
        <v>1378</v>
      </c>
      <c r="C4" s="552" t="s">
        <v>1379</v>
      </c>
      <c r="D4" s="552" t="s">
        <v>1380</v>
      </c>
      <c r="E4" s="576" t="s">
        <v>1381</v>
      </c>
      <c r="F4" s="613"/>
      <c r="G4" s="49">
        <v>1</v>
      </c>
      <c r="H4" s="575" t="s">
        <v>109</v>
      </c>
      <c r="I4" s="552" t="s">
        <v>95</v>
      </c>
      <c r="J4" s="552" t="s">
        <v>96</v>
      </c>
      <c r="K4" s="576" t="s">
        <v>97</v>
      </c>
      <c r="M4" s="612">
        <v>1</v>
      </c>
      <c r="N4" s="49">
        <v>1</v>
      </c>
      <c r="O4" s="612" t="s">
        <v>109</v>
      </c>
      <c r="P4" s="612">
        <v>4</v>
      </c>
    </row>
    <row r="5" spans="1:16" x14ac:dyDescent="0.25">
      <c r="A5" s="612">
        <f>A4+1</f>
        <v>2</v>
      </c>
      <c r="B5" s="222" t="s">
        <v>1382</v>
      </c>
      <c r="C5" s="613" t="s">
        <v>1383</v>
      </c>
      <c r="D5" s="613" t="s">
        <v>1384</v>
      </c>
      <c r="E5" s="176" t="s">
        <v>1385</v>
      </c>
      <c r="F5" s="613"/>
      <c r="G5" s="612">
        <f>G4+1</f>
        <v>2</v>
      </c>
      <c r="H5" s="222" t="s">
        <v>95</v>
      </c>
      <c r="I5" s="613" t="s">
        <v>96</v>
      </c>
      <c r="J5" s="613" t="s">
        <v>97</v>
      </c>
      <c r="K5" s="176" t="s">
        <v>109</v>
      </c>
      <c r="M5" s="612">
        <v>1</v>
      </c>
      <c r="N5" s="612">
        <f>N4+1</f>
        <v>2</v>
      </c>
      <c r="O5" s="612" t="s">
        <v>95</v>
      </c>
      <c r="P5" s="612">
        <v>2</v>
      </c>
    </row>
    <row r="6" spans="1:16" x14ac:dyDescent="0.25">
      <c r="A6" s="612">
        <f>A5+1</f>
        <v>3</v>
      </c>
      <c r="B6" s="222" t="s">
        <v>1386</v>
      </c>
      <c r="C6" s="613" t="s">
        <v>1387</v>
      </c>
      <c r="D6" s="613" t="s">
        <v>1388</v>
      </c>
      <c r="E6" s="176" t="s">
        <v>1389</v>
      </c>
      <c r="F6" s="613"/>
      <c r="G6" s="612">
        <f>G5+1</f>
        <v>3</v>
      </c>
      <c r="H6" s="222" t="s">
        <v>96</v>
      </c>
      <c r="I6" s="613" t="s">
        <v>97</v>
      </c>
      <c r="J6" s="613" t="s">
        <v>109</v>
      </c>
      <c r="K6" s="176" t="s">
        <v>95</v>
      </c>
      <c r="M6" s="612">
        <v>1</v>
      </c>
      <c r="N6" s="612">
        <f>N5+1</f>
        <v>3</v>
      </c>
      <c r="O6" s="612" t="s">
        <v>96</v>
      </c>
      <c r="P6" s="612">
        <v>5</v>
      </c>
    </row>
    <row r="7" spans="1:16" x14ac:dyDescent="0.25">
      <c r="A7" s="612">
        <f>A6+1</f>
        <v>4</v>
      </c>
      <c r="B7" s="139" t="s">
        <v>1390</v>
      </c>
      <c r="C7" s="614" t="s">
        <v>1391</v>
      </c>
      <c r="D7" s="614" t="s">
        <v>1392</v>
      </c>
      <c r="E7" s="115" t="s">
        <v>1386</v>
      </c>
      <c r="F7" s="613"/>
      <c r="G7" s="612">
        <f>G6+1</f>
        <v>4</v>
      </c>
      <c r="H7" s="139" t="s">
        <v>97</v>
      </c>
      <c r="I7" s="614" t="s">
        <v>109</v>
      </c>
      <c r="J7" s="614" t="s">
        <v>95</v>
      </c>
      <c r="K7" s="115" t="s">
        <v>96</v>
      </c>
      <c r="M7" s="612">
        <v>1</v>
      </c>
      <c r="N7" s="612">
        <f>N6+1</f>
        <v>4</v>
      </c>
      <c r="O7" s="612" t="s">
        <v>97</v>
      </c>
      <c r="P7" s="612">
        <v>7</v>
      </c>
    </row>
    <row r="8" spans="1:16" x14ac:dyDescent="0.25">
      <c r="G8" s="49">
        <v>1</v>
      </c>
      <c r="H8" s="575">
        <v>4</v>
      </c>
      <c r="I8" s="552">
        <v>2</v>
      </c>
      <c r="J8" s="552">
        <v>5</v>
      </c>
      <c r="K8" s="576">
        <v>7</v>
      </c>
      <c r="M8" s="612">
        <v>2</v>
      </c>
      <c r="N8" s="49">
        <v>1</v>
      </c>
      <c r="O8" s="612" t="s">
        <v>95</v>
      </c>
      <c r="P8" s="612">
        <v>1</v>
      </c>
    </row>
    <row r="9" spans="1:16" x14ac:dyDescent="0.25">
      <c r="G9" s="612">
        <f>G8+1</f>
        <v>2</v>
      </c>
      <c r="H9" s="222">
        <v>1</v>
      </c>
      <c r="I9" s="613">
        <v>6</v>
      </c>
      <c r="J9" s="613">
        <v>6</v>
      </c>
      <c r="K9" s="176">
        <v>5</v>
      </c>
      <c r="M9" s="612">
        <v>2</v>
      </c>
      <c r="N9" s="612">
        <f>N8+1</f>
        <v>2</v>
      </c>
      <c r="O9" s="612" t="s">
        <v>96</v>
      </c>
      <c r="P9" s="612">
        <v>6</v>
      </c>
    </row>
    <row r="10" spans="1:16" x14ac:dyDescent="0.25">
      <c r="G10" s="612">
        <f>G9+1</f>
        <v>3</v>
      </c>
      <c r="H10" s="222">
        <v>8</v>
      </c>
      <c r="I10" s="613">
        <v>9</v>
      </c>
      <c r="J10" s="613">
        <v>6</v>
      </c>
      <c r="K10" s="176">
        <v>3</v>
      </c>
      <c r="M10" s="612">
        <v>2</v>
      </c>
      <c r="N10" s="612">
        <f>N9+1</f>
        <v>3</v>
      </c>
      <c r="O10" s="612" t="s">
        <v>97</v>
      </c>
      <c r="P10" s="612">
        <v>6</v>
      </c>
    </row>
    <row r="11" spans="1:16" x14ac:dyDescent="0.25">
      <c r="G11" s="612">
        <f>G10+1</f>
        <v>4</v>
      </c>
      <c r="H11" s="139">
        <v>11</v>
      </c>
      <c r="I11" s="614">
        <v>3</v>
      </c>
      <c r="J11" s="614">
        <v>7</v>
      </c>
      <c r="K11" s="115">
        <v>8</v>
      </c>
      <c r="M11" s="612">
        <v>2</v>
      </c>
      <c r="N11" s="612">
        <f>N10+1</f>
        <v>4</v>
      </c>
      <c r="O11" s="612" t="s">
        <v>109</v>
      </c>
      <c r="P11" s="612">
        <v>5</v>
      </c>
    </row>
    <row r="12" spans="1:16" x14ac:dyDescent="0.25">
      <c r="M12" s="612">
        <v>3</v>
      </c>
      <c r="N12" s="49">
        <v>1</v>
      </c>
      <c r="O12" s="612" t="s">
        <v>96</v>
      </c>
      <c r="P12" s="612">
        <v>8</v>
      </c>
    </row>
    <row r="13" spans="1:16" x14ac:dyDescent="0.25">
      <c r="M13" s="612">
        <v>3</v>
      </c>
      <c r="N13" s="612">
        <f>N12+1</f>
        <v>2</v>
      </c>
      <c r="O13" s="612" t="s">
        <v>97</v>
      </c>
      <c r="P13" s="612">
        <v>9</v>
      </c>
    </row>
    <row r="14" spans="1:16" x14ac:dyDescent="0.25">
      <c r="M14" s="612">
        <v>3</v>
      </c>
      <c r="N14" s="612">
        <f>N13+1</f>
        <v>3</v>
      </c>
      <c r="O14" s="612" t="s">
        <v>109</v>
      </c>
      <c r="P14" s="612">
        <v>6</v>
      </c>
    </row>
    <row r="15" spans="1:16" x14ac:dyDescent="0.25">
      <c r="M15" s="612">
        <v>3</v>
      </c>
      <c r="N15" s="612">
        <f>N14+1</f>
        <v>4</v>
      </c>
      <c r="O15" s="612" t="s">
        <v>95</v>
      </c>
      <c r="P15" s="612">
        <v>3</v>
      </c>
    </row>
    <row r="16" spans="1:16" x14ac:dyDescent="0.25">
      <c r="M16" s="612">
        <v>4</v>
      </c>
      <c r="N16" s="49">
        <v>1</v>
      </c>
      <c r="O16" s="612" t="s">
        <v>97</v>
      </c>
      <c r="P16" s="612">
        <v>11</v>
      </c>
    </row>
    <row r="17" spans="13:16" x14ac:dyDescent="0.25">
      <c r="M17" s="612">
        <v>4</v>
      </c>
      <c r="N17" s="612">
        <f>N16+1</f>
        <v>2</v>
      </c>
      <c r="O17" s="612" t="s">
        <v>109</v>
      </c>
      <c r="P17" s="612">
        <v>3</v>
      </c>
    </row>
    <row r="18" spans="13:16" x14ac:dyDescent="0.25">
      <c r="M18" s="612">
        <v>4</v>
      </c>
      <c r="N18" s="612">
        <f>N17+1</f>
        <v>3</v>
      </c>
      <c r="O18" s="612" t="s">
        <v>95</v>
      </c>
      <c r="P18" s="612">
        <v>7</v>
      </c>
    </row>
    <row r="19" spans="13:16" x14ac:dyDescent="0.25">
      <c r="M19" s="614">
        <v>4</v>
      </c>
      <c r="N19" s="614">
        <f>N18+1</f>
        <v>4</v>
      </c>
      <c r="O19" s="614" t="s">
        <v>96</v>
      </c>
      <c r="P19" s="614">
        <v>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D11"/>
  <sheetViews>
    <sheetView workbookViewId="0"/>
  </sheetViews>
  <sheetFormatPr defaultRowHeight="15" x14ac:dyDescent="0.25"/>
  <cols>
    <col min="1" max="11" width="4.7109375" customWidth="1"/>
    <col min="12" max="12" width="7" customWidth="1"/>
    <col min="13" max="13" width="4.7109375" customWidth="1"/>
    <col min="14" max="14" width="7" customWidth="1"/>
    <col min="16" max="16" width="4.85546875" customWidth="1"/>
    <col min="20" max="20" width="6" customWidth="1"/>
  </cols>
  <sheetData>
    <row r="1" spans="1:56" ht="15.75" thickBot="1" x14ac:dyDescent="0.3">
      <c r="A1" s="1" t="s">
        <v>1393</v>
      </c>
      <c r="X1" t="s">
        <v>13</v>
      </c>
      <c r="AB1" t="s">
        <v>1373</v>
      </c>
      <c r="AJ1" t="s">
        <v>1399</v>
      </c>
      <c r="AU1" t="s">
        <v>1400</v>
      </c>
    </row>
    <row r="2" spans="1:56" ht="15.75" thickTop="1" x14ac:dyDescent="0.25">
      <c r="AJ2" s="386" t="s">
        <v>53</v>
      </c>
      <c r="AK2" s="386" t="s">
        <v>27</v>
      </c>
      <c r="AL2" s="386" t="s">
        <v>6</v>
      </c>
      <c r="AU2" s="386" t="s">
        <v>53</v>
      </c>
      <c r="AV2" s="386" t="s">
        <v>27</v>
      </c>
      <c r="AW2" s="386" t="s">
        <v>6</v>
      </c>
    </row>
    <row r="3" spans="1:56" ht="15.75" thickBot="1" x14ac:dyDescent="0.3">
      <c r="B3" s="612">
        <v>1</v>
      </c>
      <c r="C3" s="612">
        <f>B3+1</f>
        <v>2</v>
      </c>
      <c r="D3" s="612">
        <f>C3+1</f>
        <v>3</v>
      </c>
      <c r="E3" s="612">
        <f>D3+1</f>
        <v>4</v>
      </c>
      <c r="H3" s="612">
        <v>1</v>
      </c>
      <c r="I3" s="612">
        <f>H3+1</f>
        <v>2</v>
      </c>
      <c r="J3" s="612">
        <f>I3+1</f>
        <v>3</v>
      </c>
      <c r="K3" s="612">
        <f>J3+1</f>
        <v>4</v>
      </c>
      <c r="N3" t="s">
        <v>125</v>
      </c>
      <c r="R3" s="612" t="s">
        <v>18</v>
      </c>
      <c r="S3" s="612">
        <v>0.05</v>
      </c>
      <c r="W3" s="612"/>
      <c r="X3" s="612" t="s">
        <v>29</v>
      </c>
      <c r="Y3" s="612" t="s">
        <v>1376</v>
      </c>
      <c r="Z3" s="612" t="s">
        <v>1377</v>
      </c>
      <c r="AB3" t="s">
        <v>125</v>
      </c>
      <c r="AF3" s="612" t="s">
        <v>18</v>
      </c>
      <c r="AG3" s="612">
        <v>0.05</v>
      </c>
      <c r="AJ3" s="413" t="s">
        <v>109</v>
      </c>
      <c r="AK3" s="549"/>
      <c r="AL3" s="387">
        <f t="array" ref="AL3:AL6">Z4:Z7</f>
        <v>4.5</v>
      </c>
      <c r="AU3" s="413" t="s">
        <v>109</v>
      </c>
      <c r="AV3" s="549"/>
      <c r="AW3" s="387">
        <f t="array" ref="AW3:AW6">Z4:Z7</f>
        <v>4.5</v>
      </c>
    </row>
    <row r="4" spans="1:56" ht="15.75" thickTop="1" x14ac:dyDescent="0.25">
      <c r="A4" s="49">
        <v>1</v>
      </c>
      <c r="B4" s="575" t="s">
        <v>109</v>
      </c>
      <c r="C4" s="552" t="s">
        <v>95</v>
      </c>
      <c r="D4" s="552" t="s">
        <v>96</v>
      </c>
      <c r="E4" s="576" t="s">
        <v>97</v>
      </c>
      <c r="G4" s="49">
        <v>1</v>
      </c>
      <c r="H4" s="575">
        <v>4</v>
      </c>
      <c r="I4" s="552">
        <v>2</v>
      </c>
      <c r="J4" s="552">
        <v>5</v>
      </c>
      <c r="K4" s="576">
        <v>7</v>
      </c>
      <c r="L4" s="12">
        <f>AVERAGE(H4:K4)</f>
        <v>4.5</v>
      </c>
      <c r="N4" s="386"/>
      <c r="O4" s="386" t="s">
        <v>111</v>
      </c>
      <c r="P4" s="386" t="s">
        <v>41</v>
      </c>
      <c r="Q4" s="386" t="s">
        <v>115</v>
      </c>
      <c r="R4" s="386" t="s">
        <v>98</v>
      </c>
      <c r="S4" s="386" t="s">
        <v>48</v>
      </c>
      <c r="T4" s="386" t="s">
        <v>164</v>
      </c>
      <c r="W4">
        <v>1</v>
      </c>
      <c r="X4" s="648">
        <f t="array" ref="X4">AVERAGE(IF($A$4:$A$7=W4,$B$8:$E$11,""))</f>
        <v>4.5</v>
      </c>
      <c r="Y4" s="649">
        <f>AVERAGE(B8:B11)</f>
        <v>6</v>
      </c>
      <c r="Z4" s="650">
        <f t="array" ref="Z4">AVERAGE(IF($B$4:$E$7=CHAR(64+W4),$B$8:$E$11,""))</f>
        <v>4.5</v>
      </c>
      <c r="AB4" s="386"/>
      <c r="AC4" s="386" t="s">
        <v>111</v>
      </c>
      <c r="AD4" s="386" t="s">
        <v>41</v>
      </c>
      <c r="AE4" s="386" t="s">
        <v>115</v>
      </c>
      <c r="AF4" s="386" t="s">
        <v>98</v>
      </c>
      <c r="AG4" s="386" t="s">
        <v>48</v>
      </c>
      <c r="AH4" s="386" t="s">
        <v>164</v>
      </c>
      <c r="AJ4" s="613" t="s">
        <v>95</v>
      </c>
      <c r="AK4" s="539"/>
      <c r="AL4" s="7">
        <v>3.25</v>
      </c>
      <c r="AU4" s="613" t="s">
        <v>95</v>
      </c>
      <c r="AV4" s="539"/>
      <c r="AW4" s="7">
        <v>3.25</v>
      </c>
    </row>
    <row r="5" spans="1:56" x14ac:dyDescent="0.25">
      <c r="A5" s="612">
        <f>A4+1</f>
        <v>2</v>
      </c>
      <c r="B5" s="222" t="s">
        <v>95</v>
      </c>
      <c r="C5" s="613" t="s">
        <v>96</v>
      </c>
      <c r="D5" s="613" t="s">
        <v>97</v>
      </c>
      <c r="E5" s="176" t="s">
        <v>109</v>
      </c>
      <c r="G5" s="612">
        <f>G4+1</f>
        <v>2</v>
      </c>
      <c r="H5" s="222">
        <v>1</v>
      </c>
      <c r="I5" s="613">
        <v>6</v>
      </c>
      <c r="J5" s="613">
        <v>6</v>
      </c>
      <c r="K5" s="176">
        <v>5</v>
      </c>
      <c r="L5" s="12">
        <f>AVERAGE(H5:K5)</f>
        <v>4.5</v>
      </c>
      <c r="N5" t="s">
        <v>1394</v>
      </c>
      <c r="O5">
        <f>DEVSQ(H11:K11)*(P5+1)</f>
        <v>60.1875</v>
      </c>
      <c r="P5">
        <f>COUNT(B8:B11)-1</f>
        <v>3</v>
      </c>
      <c r="Q5">
        <f>O5/P5</f>
        <v>20.0625</v>
      </c>
      <c r="R5">
        <f>Q5/Q8</f>
        <v>5.7664670658682633</v>
      </c>
      <c r="S5">
        <f>FDIST(R5,P5,P8)</f>
        <v>3.3540115586941324E-2</v>
      </c>
      <c r="T5" s="612" t="str">
        <f>IF(S5&lt;S3,"yes","no")</f>
        <v>yes</v>
      </c>
      <c r="W5">
        <f>W4+1</f>
        <v>2</v>
      </c>
      <c r="X5" s="183">
        <f t="array" ref="X5">AVERAGE(IF($A$4:$A$7=W5,$B$8:$E$11,""))</f>
        <v>4.5</v>
      </c>
      <c r="Y5" s="7">
        <f>AVERAGE(C8:C11)</f>
        <v>5</v>
      </c>
      <c r="Z5" s="43">
        <f t="array" ref="Z5">AVERAGE(IF($B$4:$E$7=CHAR(64+W5),$B$8:$E$11,""))</f>
        <v>3.25</v>
      </c>
      <c r="AB5" t="s">
        <v>596</v>
      </c>
      <c r="AC5">
        <f>DEVSQ(Z4:Z7)*(AD5+1)</f>
        <v>60.1875</v>
      </c>
      <c r="AD5">
        <f>COUNT(Z4:Z7)-1</f>
        <v>3</v>
      </c>
      <c r="AE5">
        <f>AC5/AD5</f>
        <v>20.0625</v>
      </c>
      <c r="AF5">
        <f>AE5/AE8</f>
        <v>5.7664670658682633</v>
      </c>
      <c r="AG5">
        <f>FDIST(AF5,AD5,AD8)</f>
        <v>3.3540115586941324E-2</v>
      </c>
      <c r="AH5" s="612" t="str">
        <f>IF(AG5&lt;AG3,"yes","no")</f>
        <v>yes</v>
      </c>
      <c r="AJ5" s="613" t="s">
        <v>96</v>
      </c>
      <c r="AK5" s="539"/>
      <c r="AL5" s="7">
        <v>6.75</v>
      </c>
      <c r="AU5" s="613" t="s">
        <v>96</v>
      </c>
      <c r="AV5" s="539"/>
      <c r="AW5" s="7">
        <v>6.75</v>
      </c>
    </row>
    <row r="6" spans="1:56" x14ac:dyDescent="0.25">
      <c r="A6" s="612">
        <f>A5+1</f>
        <v>3</v>
      </c>
      <c r="B6" s="222" t="s">
        <v>96</v>
      </c>
      <c r="C6" s="613" t="s">
        <v>97</v>
      </c>
      <c r="D6" s="613" t="s">
        <v>109</v>
      </c>
      <c r="E6" s="176" t="s">
        <v>95</v>
      </c>
      <c r="G6" s="612">
        <f>G5+1</f>
        <v>3</v>
      </c>
      <c r="H6" s="222">
        <v>8</v>
      </c>
      <c r="I6" s="613">
        <v>9</v>
      </c>
      <c r="J6" s="613">
        <v>6</v>
      </c>
      <c r="K6" s="176">
        <v>3</v>
      </c>
      <c r="L6" s="12">
        <f>AVERAGE(H6:K6)</f>
        <v>6.5</v>
      </c>
      <c r="N6" t="s">
        <v>99</v>
      </c>
      <c r="O6">
        <f>DEVSQ(L4:L7)*(P6+1)</f>
        <v>23.6875</v>
      </c>
      <c r="P6">
        <f>P5</f>
        <v>3</v>
      </c>
      <c r="Q6">
        <f>O6/P6</f>
        <v>7.895833333333333</v>
      </c>
      <c r="R6">
        <f>Q6/Q8</f>
        <v>2.2694610778443112</v>
      </c>
      <c r="S6">
        <f>FDIST(R6,P6,P8)</f>
        <v>0.18068159246384277</v>
      </c>
      <c r="T6" s="612" t="str">
        <f>IF(S6&lt;S3,"yes","no")</f>
        <v>no</v>
      </c>
      <c r="W6">
        <f>W5+1</f>
        <v>3</v>
      </c>
      <c r="X6" s="183">
        <f t="array" ref="X6">AVERAGE(IF($A$4:$A$7=W6,$B$8:$E$11,""))</f>
        <v>6.5</v>
      </c>
      <c r="Y6" s="7">
        <f>AVERAGE(D8:D11)</f>
        <v>6</v>
      </c>
      <c r="Z6" s="43">
        <f t="array" ref="Z6">AVERAGE(IF($B$4:$E$7=CHAR(64+W6),$B$8:$E$11,""))</f>
        <v>6.75</v>
      </c>
      <c r="AB6" t="s">
        <v>99</v>
      </c>
      <c r="AC6">
        <f>DEVSQ(X4:X7)*(AD6+1)</f>
        <v>23.6875</v>
      </c>
      <c r="AD6">
        <f>AD5</f>
        <v>3</v>
      </c>
      <c r="AE6">
        <f>AC6/AD6</f>
        <v>7.895833333333333</v>
      </c>
      <c r="AF6">
        <f>AE6/AE8</f>
        <v>2.2694610778443112</v>
      </c>
      <c r="AG6">
        <f>FDIST(AF6,AD6,AD8)</f>
        <v>0.18068159246384277</v>
      </c>
      <c r="AH6" s="612" t="str">
        <f>IF(AG6&lt;AG3,"yes","no")</f>
        <v>no</v>
      </c>
      <c r="AJ6" s="614" t="s">
        <v>97</v>
      </c>
      <c r="AK6" s="540"/>
      <c r="AL6" s="354">
        <v>8.25</v>
      </c>
      <c r="AU6" s="614" t="s">
        <v>97</v>
      </c>
      <c r="AV6" s="540"/>
      <c r="AW6" s="354">
        <v>8.25</v>
      </c>
    </row>
    <row r="7" spans="1:56" x14ac:dyDescent="0.25">
      <c r="A7" s="612">
        <f>A6+1</f>
        <v>4</v>
      </c>
      <c r="B7" s="139" t="s">
        <v>97</v>
      </c>
      <c r="C7" s="614" t="s">
        <v>109</v>
      </c>
      <c r="D7" s="614" t="s">
        <v>95</v>
      </c>
      <c r="E7" s="115" t="s">
        <v>96</v>
      </c>
      <c r="G7" s="612">
        <f>G6+1</f>
        <v>4</v>
      </c>
      <c r="H7" s="139">
        <v>11</v>
      </c>
      <c r="I7" s="614">
        <v>3</v>
      </c>
      <c r="J7" s="614">
        <v>7</v>
      </c>
      <c r="K7" s="115">
        <v>8</v>
      </c>
      <c r="L7" s="12">
        <f>AVERAGE(H7:K7)</f>
        <v>7.25</v>
      </c>
      <c r="N7" t="s">
        <v>100</v>
      </c>
      <c r="O7">
        <f>DEVSQ(H8:K8)*(P7+1)</f>
        <v>2.6875</v>
      </c>
      <c r="P7">
        <f>P6</f>
        <v>3</v>
      </c>
      <c r="Q7">
        <f>O7/P7</f>
        <v>0.89583333333333337</v>
      </c>
      <c r="R7">
        <f>Q7/Q8</f>
        <v>0.25748502994011979</v>
      </c>
      <c r="S7">
        <f>FDIST(R7,P7,P8)</f>
        <v>0.85359994756545676</v>
      </c>
      <c r="T7" s="612" t="str">
        <f>IF(S7&lt;S3,"yes","no")</f>
        <v>no</v>
      </c>
      <c r="W7">
        <f>W6+1</f>
        <v>4</v>
      </c>
      <c r="X7" s="351">
        <f t="array" ref="X7">AVERAGE(IF($A$4:$A$7=W7,$B$8:$E$11,""))</f>
        <v>7.25</v>
      </c>
      <c r="Y7" s="352">
        <f>AVERAGE(E8:E11)</f>
        <v>5.75</v>
      </c>
      <c r="Z7" s="353">
        <f t="array" ref="Z7">AVERAGE(IF($B$4:$E$7=CHAR(64+W7),$B$8:$E$11,""))</f>
        <v>8.25</v>
      </c>
      <c r="AB7" t="s">
        <v>177</v>
      </c>
      <c r="AC7">
        <f>DEVSQ(Y4:Y7)*(AD7+1)</f>
        <v>2.6875</v>
      </c>
      <c r="AD7">
        <f>AD5</f>
        <v>3</v>
      </c>
      <c r="AE7">
        <f>AC7/AD7</f>
        <v>0.89583333333333337</v>
      </c>
      <c r="AF7">
        <f>AE7/AE8</f>
        <v>0.25748502994011979</v>
      </c>
      <c r="AG7">
        <f>FDIST(AF7,AD7,AD8)</f>
        <v>0.85359994756545676</v>
      </c>
      <c r="AH7" s="612" t="str">
        <f>IF(AG7&lt;AG3,"yes","no")</f>
        <v>no</v>
      </c>
      <c r="AK7">
        <f>SUM(AK3:AK6)</f>
        <v>0</v>
      </c>
      <c r="AL7">
        <f>SUMPRODUCT(AK3:AK6,AL3:AL6)</f>
        <v>0</v>
      </c>
      <c r="AV7">
        <f>SUM(AV3:AV6)</f>
        <v>0</v>
      </c>
      <c r="AW7">
        <f>SUMPRODUCT(AV3:AV6,AW3:AW6)</f>
        <v>0</v>
      </c>
    </row>
    <row r="8" spans="1:56" ht="15.75" thickBot="1" x14ac:dyDescent="0.3">
      <c r="A8" s="49">
        <v>1</v>
      </c>
      <c r="B8" s="575">
        <v>4</v>
      </c>
      <c r="C8" s="552">
        <v>2</v>
      </c>
      <c r="D8" s="552">
        <v>5</v>
      </c>
      <c r="E8" s="576">
        <v>7</v>
      </c>
      <c r="G8" s="613"/>
      <c r="H8" s="613">
        <f>AVERAGE(H4:H7)</f>
        <v>6</v>
      </c>
      <c r="I8" s="613">
        <f>AVERAGE(I4:I7)</f>
        <v>5</v>
      </c>
      <c r="J8" s="613">
        <f>AVERAGE(J4:J7)</f>
        <v>6</v>
      </c>
      <c r="K8" s="613">
        <f>AVERAGE(K4:K7)</f>
        <v>5.75</v>
      </c>
      <c r="L8" s="20">
        <f>AVERAGE(L4:L7)</f>
        <v>5.6875</v>
      </c>
      <c r="N8" t="s">
        <v>176</v>
      </c>
      <c r="O8">
        <f>O9-SUM(O5:O7)</f>
        <v>20.875</v>
      </c>
      <c r="P8">
        <f>P5*(P5-1)</f>
        <v>6</v>
      </c>
      <c r="Q8">
        <f>O8/P8</f>
        <v>3.4791666666666665</v>
      </c>
      <c r="AB8" t="s">
        <v>176</v>
      </c>
      <c r="AC8">
        <f>AC9-SUM(AC5:AC7)</f>
        <v>20.875</v>
      </c>
      <c r="AD8">
        <f>AD9-SUM(AD5:AD7)</f>
        <v>6</v>
      </c>
      <c r="AE8">
        <f>AC8/AD8</f>
        <v>3.4791666666666665</v>
      </c>
      <c r="AU8" t="s">
        <v>801</v>
      </c>
      <c r="AY8" s="612" t="s">
        <v>18</v>
      </c>
      <c r="AZ8" s="612">
        <v>0.05</v>
      </c>
    </row>
    <row r="9" spans="1:56" ht="16.5" thickTop="1" thickBot="1" x14ac:dyDescent="0.3">
      <c r="A9" s="612">
        <f>A8+1</f>
        <v>2</v>
      </c>
      <c r="B9" s="222">
        <v>1</v>
      </c>
      <c r="C9" s="613">
        <v>6</v>
      </c>
      <c r="D9" s="613">
        <v>6</v>
      </c>
      <c r="E9" s="176">
        <v>5</v>
      </c>
      <c r="N9" s="354" t="s">
        <v>1</v>
      </c>
      <c r="O9" s="354">
        <f>DEVSQ(H4:K7)</f>
        <v>107.4375</v>
      </c>
      <c r="P9" s="354">
        <f>(P5+1)^2-1</f>
        <v>15</v>
      </c>
      <c r="Q9" s="354">
        <f>O9/P9</f>
        <v>7.1624999999999996</v>
      </c>
      <c r="R9" s="354"/>
      <c r="S9" s="354"/>
      <c r="T9" s="354"/>
      <c r="AB9" s="354" t="s">
        <v>1</v>
      </c>
      <c r="AC9" s="354">
        <f>DEVSQ(B8:E11)</f>
        <v>107.4375</v>
      </c>
      <c r="AD9" s="354">
        <f>COUNT(B8:E11)-1</f>
        <v>15</v>
      </c>
      <c r="AE9" s="354">
        <f>AC9/AD9</f>
        <v>7.1624999999999996</v>
      </c>
      <c r="AF9" s="354"/>
      <c r="AG9" s="354"/>
      <c r="AH9" s="354"/>
      <c r="AJ9" t="s">
        <v>46</v>
      </c>
      <c r="AO9" t="s">
        <v>18</v>
      </c>
      <c r="AP9">
        <v>0.05</v>
      </c>
      <c r="AU9" s="386" t="s">
        <v>390</v>
      </c>
      <c r="AV9" s="386" t="s">
        <v>800</v>
      </c>
      <c r="AW9" s="386" t="s">
        <v>41</v>
      </c>
      <c r="AX9" s="386" t="s">
        <v>166</v>
      </c>
      <c r="AY9" s="386" t="s">
        <v>15</v>
      </c>
      <c r="AZ9" s="386" t="s">
        <v>16</v>
      </c>
      <c r="BA9" s="386" t="s">
        <v>48</v>
      </c>
      <c r="BB9" s="386" t="s">
        <v>75</v>
      </c>
      <c r="BC9" s="386" t="s">
        <v>45</v>
      </c>
      <c r="BD9" s="386" t="s">
        <v>399</v>
      </c>
    </row>
    <row r="10" spans="1:56" ht="15.75" thickTop="1" x14ac:dyDescent="0.25">
      <c r="A10" s="612">
        <f>A9+1</f>
        <v>3</v>
      </c>
      <c r="B10" s="222">
        <v>8</v>
      </c>
      <c r="C10" s="613">
        <v>9</v>
      </c>
      <c r="D10" s="613">
        <v>6</v>
      </c>
      <c r="E10" s="176">
        <v>3</v>
      </c>
      <c r="H10" s="49" t="s">
        <v>109</v>
      </c>
      <c r="I10" s="49" t="s">
        <v>95</v>
      </c>
      <c r="J10" s="49" t="s">
        <v>96</v>
      </c>
      <c r="K10" s="49" t="s">
        <v>97</v>
      </c>
      <c r="AJ10" s="386" t="s">
        <v>390</v>
      </c>
      <c r="AK10" s="386" t="s">
        <v>60</v>
      </c>
      <c r="AL10" s="386" t="s">
        <v>41</v>
      </c>
      <c r="AM10" s="386" t="s">
        <v>48</v>
      </c>
      <c r="AN10" s="386" t="s">
        <v>49</v>
      </c>
      <c r="AO10" s="386" t="s">
        <v>15</v>
      </c>
      <c r="AP10" s="386" t="s">
        <v>16</v>
      </c>
      <c r="AQ10" s="386" t="s">
        <v>164</v>
      </c>
      <c r="AR10" s="386" t="s">
        <v>45</v>
      </c>
      <c r="AS10" s="386" t="s">
        <v>399</v>
      </c>
      <c r="AU10" s="651">
        <f>SQRT(AE9/(AD3+1))</f>
        <v>2.6762847382145272</v>
      </c>
      <c r="AV10" s="651">
        <f>AW7/AU10</f>
        <v>0</v>
      </c>
      <c r="AW10" s="651">
        <f>AD9</f>
        <v>15</v>
      </c>
      <c r="AX10" s="651" t="e">
        <f ca="1">QCRIT(COUNTA(AU3:AU6),AW10,AZ8,2)</f>
        <v>#NAME?</v>
      </c>
      <c r="AY10" s="651" t="e">
        <f ca="1">AW7-AU10*AX10</f>
        <v>#NAME?</v>
      </c>
      <c r="AZ10" s="651" t="e">
        <f ca="1">AW7+AU10*AX10</f>
        <v>#NAME?</v>
      </c>
      <c r="BA10" s="651" t="e">
        <f ca="1">QDIST(ABS(AV10),COUNTA(AU3:AU6),AW10)</f>
        <v>#NAME?</v>
      </c>
      <c r="BB10" s="651" t="e">
        <f ca="1">AU10*AX10</f>
        <v>#NAME?</v>
      </c>
      <c r="BC10" s="651">
        <f>ABS(AW7)/SQRT(AE9)</f>
        <v>0</v>
      </c>
      <c r="BD10" s="651">
        <f>SQRT(AV10^2/(AV10^2+AW10))</f>
        <v>0</v>
      </c>
    </row>
    <row r="11" spans="1:56" x14ac:dyDescent="0.25">
      <c r="A11" s="612">
        <f>A10+1</f>
        <v>4</v>
      </c>
      <c r="B11" s="139">
        <v>11</v>
      </c>
      <c r="C11" s="614">
        <v>3</v>
      </c>
      <c r="D11" s="614">
        <v>7</v>
      </c>
      <c r="E11" s="115">
        <v>8</v>
      </c>
      <c r="H11" s="608">
        <f>AVERAGEIF($B$4:$E$7,H10,$B$8:$E$11)</f>
        <v>4.5</v>
      </c>
      <c r="I11" s="609">
        <f>AVERAGEIF($B$4:$E$7,I10,$B$8:$E$11)</f>
        <v>3.25</v>
      </c>
      <c r="J11" s="609">
        <f>AVERAGEIF($B$4:$E$7,J10,$B$8:$E$11)</f>
        <v>6.75</v>
      </c>
      <c r="K11" s="610">
        <f>AVERAGEIF($B$4:$E$7,K10,$B$8:$E$11)</f>
        <v>8.25</v>
      </c>
      <c r="AJ11" s="651">
        <f>SQRT(AE9*SUMSQ(AK3:AK6)/(AD3+1))</f>
        <v>0</v>
      </c>
      <c r="AK11" s="651" t="e">
        <f>AL7/AJ11</f>
        <v>#DIV/0!</v>
      </c>
      <c r="AL11" s="651">
        <f>AD9</f>
        <v>15</v>
      </c>
      <c r="AM11" s="651" t="e">
        <f>TDIST(ABS(AK11),AL11,2)</f>
        <v>#DIV/0!</v>
      </c>
      <c r="AN11" s="651">
        <f>TINV(AP9,AL11)</f>
        <v>2.1314495455597742</v>
      </c>
      <c r="AO11" s="651">
        <f>AL7-AJ11*AN11</f>
        <v>0</v>
      </c>
      <c r="AP11" s="651">
        <f>AL7+AJ11*AN11</f>
        <v>0</v>
      </c>
      <c r="AQ11" s="652" t="e">
        <f>IF(AM11&lt;AP9,"yes","no")</f>
        <v>#DIV/0!</v>
      </c>
      <c r="AR11" s="651">
        <f>ABS(AL7)/SQRT(AE9)</f>
        <v>0</v>
      </c>
      <c r="AS11" s="651" t="e">
        <f>SQRT(AK11^2/(AK11^2+AL11))</f>
        <v>#DIV/0!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T22"/>
  <sheetViews>
    <sheetView workbookViewId="0"/>
  </sheetViews>
  <sheetFormatPr defaultRowHeight="15" x14ac:dyDescent="0.25"/>
  <cols>
    <col min="1" max="1" width="4.140625" customWidth="1"/>
    <col min="2" max="5" width="5.85546875" customWidth="1"/>
    <col min="6" max="7" width="4.28515625" customWidth="1"/>
    <col min="8" max="11" width="5.7109375" customWidth="1"/>
    <col min="12" max="12" width="7" customWidth="1"/>
    <col min="13" max="13" width="4" customWidth="1"/>
    <col min="14" max="14" width="7" customWidth="1"/>
    <col min="16" max="16" width="5.140625" customWidth="1"/>
    <col min="20" max="20" width="6" customWidth="1"/>
  </cols>
  <sheetData>
    <row r="1" spans="1:20" x14ac:dyDescent="0.25">
      <c r="A1" s="1" t="s">
        <v>1395</v>
      </c>
    </row>
    <row r="3" spans="1:20" x14ac:dyDescent="0.25">
      <c r="B3" s="612">
        <v>1</v>
      </c>
      <c r="C3" s="612">
        <f>B3+1</f>
        <v>2</v>
      </c>
      <c r="D3" s="612">
        <f>C3+1</f>
        <v>3</v>
      </c>
      <c r="E3" s="612">
        <f>D3+1</f>
        <v>4</v>
      </c>
      <c r="H3" s="612">
        <v>1</v>
      </c>
      <c r="I3" s="612">
        <f>H3+1</f>
        <v>2</v>
      </c>
      <c r="J3" s="612">
        <f>I3+1</f>
        <v>3</v>
      </c>
      <c r="K3" s="612">
        <f>J3+1</f>
        <v>4</v>
      </c>
    </row>
    <row r="4" spans="1:20" x14ac:dyDescent="0.25">
      <c r="A4" s="49">
        <v>1</v>
      </c>
      <c r="B4" s="575" t="s">
        <v>109</v>
      </c>
      <c r="C4" s="552" t="s">
        <v>95</v>
      </c>
      <c r="D4" s="552" t="s">
        <v>96</v>
      </c>
      <c r="E4" s="576" t="s">
        <v>97</v>
      </c>
      <c r="G4" s="49">
        <v>1</v>
      </c>
      <c r="H4" s="575">
        <v>4</v>
      </c>
      <c r="I4" s="552">
        <v>2</v>
      </c>
      <c r="J4" s="552">
        <v>5</v>
      </c>
      <c r="K4" s="576">
        <v>7</v>
      </c>
      <c r="L4" s="12">
        <f>AVERAGE(H4:K4)</f>
        <v>4.5</v>
      </c>
    </row>
    <row r="5" spans="1:20" x14ac:dyDescent="0.25">
      <c r="A5" s="612">
        <f>A4+1</f>
        <v>2</v>
      </c>
      <c r="B5" s="222" t="s">
        <v>95</v>
      </c>
      <c r="C5" s="613" t="s">
        <v>96</v>
      </c>
      <c r="D5" s="613" t="s">
        <v>97</v>
      </c>
      <c r="E5" s="176" t="s">
        <v>109</v>
      </c>
      <c r="G5" s="612">
        <f>G4+1</f>
        <v>2</v>
      </c>
      <c r="H5" s="222">
        <v>1</v>
      </c>
      <c r="I5" s="613">
        <v>6</v>
      </c>
      <c r="J5" s="613">
        <v>6</v>
      </c>
      <c r="K5" s="176">
        <v>5</v>
      </c>
      <c r="L5" s="12">
        <f>AVERAGE(H5:K5)</f>
        <v>4.5</v>
      </c>
    </row>
    <row r="6" spans="1:20" x14ac:dyDescent="0.25">
      <c r="A6" s="612">
        <f>A5+1</f>
        <v>3</v>
      </c>
      <c r="B6" s="222" t="s">
        <v>96</v>
      </c>
      <c r="C6" s="613" t="s">
        <v>97</v>
      </c>
      <c r="D6" s="613" t="s">
        <v>109</v>
      </c>
      <c r="E6" s="176" t="s">
        <v>95</v>
      </c>
      <c r="G6" s="612">
        <f>G5+1</f>
        <v>3</v>
      </c>
      <c r="H6" s="222"/>
      <c r="I6" s="613">
        <v>9</v>
      </c>
      <c r="J6" s="613">
        <v>6</v>
      </c>
      <c r="K6" s="176">
        <v>3</v>
      </c>
      <c r="L6" s="12">
        <f>AVERAGE(H6:K6)</f>
        <v>6</v>
      </c>
    </row>
    <row r="7" spans="1:20" x14ac:dyDescent="0.25">
      <c r="A7" s="612">
        <f>A6+1</f>
        <v>4</v>
      </c>
      <c r="B7" s="139" t="s">
        <v>97</v>
      </c>
      <c r="C7" s="614" t="s">
        <v>109</v>
      </c>
      <c r="D7" s="614" t="s">
        <v>95</v>
      </c>
      <c r="E7" s="115" t="s">
        <v>96</v>
      </c>
      <c r="G7" s="612">
        <f>G6+1</f>
        <v>4</v>
      </c>
      <c r="H7" s="139">
        <v>11</v>
      </c>
      <c r="I7" s="614">
        <v>3</v>
      </c>
      <c r="J7" s="614">
        <v>7</v>
      </c>
      <c r="K7" s="115">
        <v>8</v>
      </c>
      <c r="L7" s="12">
        <f>AVERAGE(H7:K7)</f>
        <v>7.25</v>
      </c>
    </row>
    <row r="8" spans="1:20" x14ac:dyDescent="0.25">
      <c r="A8" s="49">
        <v>1</v>
      </c>
      <c r="B8" s="575">
        <v>4</v>
      </c>
      <c r="C8" s="552">
        <v>2</v>
      </c>
      <c r="D8" s="552">
        <v>5</v>
      </c>
      <c r="E8" s="576">
        <v>7</v>
      </c>
      <c r="G8" s="613"/>
      <c r="H8" s="613">
        <f>AVERAGE(H4:H7)</f>
        <v>5.333333333333333</v>
      </c>
      <c r="I8" s="613">
        <f>AVERAGE(I4:I7)</f>
        <v>5</v>
      </c>
      <c r="J8" s="613">
        <f>AVERAGE(J4:J7)</f>
        <v>6</v>
      </c>
      <c r="K8" s="613">
        <f>AVERAGE(K4:K7)</f>
        <v>5.75</v>
      </c>
      <c r="L8" s="20">
        <f>AVERAGE(L4:L7)</f>
        <v>5.5625</v>
      </c>
    </row>
    <row r="9" spans="1:20" x14ac:dyDescent="0.25">
      <c r="A9" s="612">
        <f>A8+1</f>
        <v>2</v>
      </c>
      <c r="B9" s="222">
        <v>1</v>
      </c>
      <c r="C9" s="613">
        <v>6</v>
      </c>
      <c r="D9" s="613">
        <v>6</v>
      </c>
      <c r="E9" s="176">
        <v>5</v>
      </c>
    </row>
    <row r="10" spans="1:20" x14ac:dyDescent="0.25">
      <c r="A10" s="612">
        <f>A9+1</f>
        <v>3</v>
      </c>
      <c r="B10" s="222"/>
      <c r="C10" s="613">
        <v>9</v>
      </c>
      <c r="D10" s="613">
        <v>6</v>
      </c>
      <c r="E10" s="176">
        <v>3</v>
      </c>
      <c r="H10" s="49" t="s">
        <v>109</v>
      </c>
      <c r="I10" s="49" t="s">
        <v>95</v>
      </c>
      <c r="J10" s="49" t="s">
        <v>96</v>
      </c>
      <c r="K10" s="49" t="s">
        <v>97</v>
      </c>
    </row>
    <row r="11" spans="1:20" x14ac:dyDescent="0.25">
      <c r="A11" s="612">
        <f>A10+1</f>
        <v>4</v>
      </c>
      <c r="B11" s="139">
        <v>11</v>
      </c>
      <c r="C11" s="614">
        <v>3</v>
      </c>
      <c r="D11" s="614">
        <v>7</v>
      </c>
      <c r="E11" s="115">
        <v>8</v>
      </c>
      <c r="H11" s="608">
        <f>AVERAGEIF($B$4:$E$7,H10,$B$8:$E$11)</f>
        <v>4.5</v>
      </c>
      <c r="I11" s="609">
        <f>AVERAGEIF($B$4:$E$7,I10,$B$8:$E$11)</f>
        <v>3.25</v>
      </c>
      <c r="J11" s="609">
        <f>AVERAGEIF($B$4:$E$7,J10,$B$8:$E$11)</f>
        <v>6.333333333333333</v>
      </c>
      <c r="K11" s="610">
        <f>AVERAGEIF($B$4:$E$7,K10,$B$8:$E$11)</f>
        <v>8.25</v>
      </c>
    </row>
    <row r="14" spans="1:20" ht="15.75" thickBot="1" x14ac:dyDescent="0.3">
      <c r="B14" s="612">
        <v>1</v>
      </c>
      <c r="C14" s="612">
        <f>B14+1</f>
        <v>2</v>
      </c>
      <c r="D14" s="612">
        <f>C14+1</f>
        <v>3</v>
      </c>
      <c r="E14" s="612">
        <f>D14+1</f>
        <v>4</v>
      </c>
      <c r="H14" s="612">
        <v>1</v>
      </c>
      <c r="I14" s="612">
        <f>H14+1</f>
        <v>2</v>
      </c>
      <c r="J14" s="612">
        <f>I14+1</f>
        <v>3</v>
      </c>
      <c r="K14" s="612">
        <f>J14+1</f>
        <v>4</v>
      </c>
      <c r="N14" t="s">
        <v>125</v>
      </c>
      <c r="R14" s="612" t="s">
        <v>18</v>
      </c>
      <c r="S14" s="612">
        <v>0.05</v>
      </c>
    </row>
    <row r="15" spans="1:20" ht="15.75" thickTop="1" x14ac:dyDescent="0.25">
      <c r="A15" s="49">
        <v>1</v>
      </c>
      <c r="B15" s="575" t="s">
        <v>109</v>
      </c>
      <c r="C15" s="552" t="s">
        <v>95</v>
      </c>
      <c r="D15" s="552" t="s">
        <v>96</v>
      </c>
      <c r="E15" s="576" t="s">
        <v>97</v>
      </c>
      <c r="G15" s="49">
        <v>1</v>
      </c>
      <c r="H15" s="575">
        <v>4</v>
      </c>
      <c r="I15" s="552">
        <v>2</v>
      </c>
      <c r="J15" s="552">
        <v>5</v>
      </c>
      <c r="K15" s="576">
        <v>7</v>
      </c>
      <c r="L15" s="12">
        <f>AVERAGE(H15:K15)</f>
        <v>4.5</v>
      </c>
      <c r="N15" s="386"/>
      <c r="O15" s="386" t="s">
        <v>111</v>
      </c>
      <c r="P15" s="386" t="s">
        <v>41</v>
      </c>
      <c r="Q15" s="386" t="s">
        <v>115</v>
      </c>
      <c r="R15" s="386" t="s">
        <v>98</v>
      </c>
      <c r="S15" s="386" t="s">
        <v>48</v>
      </c>
      <c r="T15" s="386" t="s">
        <v>164</v>
      </c>
    </row>
    <row r="16" spans="1:20" x14ac:dyDescent="0.25">
      <c r="A16" s="612">
        <f>A15+1</f>
        <v>2</v>
      </c>
      <c r="B16" s="222" t="s">
        <v>95</v>
      </c>
      <c r="C16" s="613" t="s">
        <v>96</v>
      </c>
      <c r="D16" s="613" t="s">
        <v>97</v>
      </c>
      <c r="E16" s="176" t="s">
        <v>109</v>
      </c>
      <c r="G16" s="612">
        <f>G15+1</f>
        <v>2</v>
      </c>
      <c r="H16" s="222">
        <v>1</v>
      </c>
      <c r="I16" s="613">
        <v>6</v>
      </c>
      <c r="J16" s="613">
        <v>6</v>
      </c>
      <c r="K16" s="176">
        <v>5</v>
      </c>
      <c r="L16" s="12">
        <f>AVERAGE(H16:K16)</f>
        <v>4.5</v>
      </c>
      <c r="N16" t="s">
        <v>1394</v>
      </c>
      <c r="O16">
        <f>DEVSQ(H22:K22)*(P16+1)</f>
        <v>64.968976056134238</v>
      </c>
      <c r="P16">
        <f>COUNT(B19:B22)-1</f>
        <v>3</v>
      </c>
      <c r="Q16">
        <f>O16/P16</f>
        <v>21.656325352044746</v>
      </c>
      <c r="R16">
        <f>Q16/Q19</f>
        <v>5.713188748633331</v>
      </c>
      <c r="S16">
        <f>FDIST(R16,P16,P19)</f>
        <v>3.4211365122377532E-2</v>
      </c>
      <c r="T16" s="612" t="str">
        <f>IF(S16&lt;S14,"yes","no")</f>
        <v>yes</v>
      </c>
    </row>
    <row r="17" spans="1:20" x14ac:dyDescent="0.25">
      <c r="A17" s="612">
        <f>A16+1</f>
        <v>3</v>
      </c>
      <c r="B17" s="222" t="s">
        <v>96</v>
      </c>
      <c r="C17" s="613" t="s">
        <v>97</v>
      </c>
      <c r="D17" s="613" t="s">
        <v>109</v>
      </c>
      <c r="E17" s="176" t="s">
        <v>95</v>
      </c>
      <c r="G17" s="612">
        <f>G16+1</f>
        <v>3</v>
      </c>
      <c r="H17" s="222">
        <f>B21</f>
        <v>9.9236111111111089</v>
      </c>
      <c r="I17" s="613">
        <v>9</v>
      </c>
      <c r="J17" s="613">
        <v>6</v>
      </c>
      <c r="K17" s="176">
        <v>3</v>
      </c>
      <c r="L17" s="12">
        <f>AVERAGE(H17:K17)</f>
        <v>6.9809027777777768</v>
      </c>
      <c r="N17" t="s">
        <v>99</v>
      </c>
      <c r="O17">
        <f>DEVSQ(L15:L18)*(P17+1)</f>
        <v>27.507170500578695</v>
      </c>
      <c r="P17">
        <f>P16</f>
        <v>3</v>
      </c>
      <c r="Q17">
        <f>O17/P17</f>
        <v>9.1690568335262324</v>
      </c>
      <c r="R17">
        <f>Q17/Q19</f>
        <v>2.4189030911440192</v>
      </c>
      <c r="S17">
        <f>FDIST(R17,P17,P19)</f>
        <v>0.16448682790046601</v>
      </c>
      <c r="T17" s="612" t="str">
        <f>IF(S17&lt;S14,"yes","no")</f>
        <v>no</v>
      </c>
    </row>
    <row r="18" spans="1:20" x14ac:dyDescent="0.25">
      <c r="A18" s="612">
        <f>A17+1</f>
        <v>4</v>
      </c>
      <c r="B18" s="139" t="s">
        <v>97</v>
      </c>
      <c r="C18" s="614" t="s">
        <v>109</v>
      </c>
      <c r="D18" s="614" t="s">
        <v>95</v>
      </c>
      <c r="E18" s="115" t="s">
        <v>96</v>
      </c>
      <c r="G18" s="612">
        <f>G17+1</f>
        <v>4</v>
      </c>
      <c r="H18" s="139">
        <v>11</v>
      </c>
      <c r="I18" s="614">
        <v>3</v>
      </c>
      <c r="J18" s="614">
        <v>7</v>
      </c>
      <c r="K18" s="115">
        <v>8</v>
      </c>
      <c r="L18" s="12">
        <f>AVERAGE(H18:K18)</f>
        <v>7.25</v>
      </c>
      <c r="N18" t="s">
        <v>100</v>
      </c>
      <c r="O18">
        <f>DEVSQ(H19:K19)*(P18+1)</f>
        <v>4.5835593894675863</v>
      </c>
      <c r="P18">
        <f>P17</f>
        <v>3</v>
      </c>
      <c r="Q18">
        <f>O18/P18</f>
        <v>1.5278531298225289</v>
      </c>
      <c r="R18">
        <f>Q18/Q19</f>
        <v>0.40306530165987398</v>
      </c>
      <c r="S18">
        <f>FDIST(R18,P18,P19)</f>
        <v>0.7563330316898299</v>
      </c>
      <c r="T18" s="612" t="str">
        <f>IF(S18&lt;S14,"yes","no")</f>
        <v>no</v>
      </c>
    </row>
    <row r="19" spans="1:20" x14ac:dyDescent="0.25">
      <c r="A19" s="49">
        <v>1</v>
      </c>
      <c r="B19" s="575">
        <v>4</v>
      </c>
      <c r="C19" s="552">
        <v>2</v>
      </c>
      <c r="D19" s="552">
        <v>5</v>
      </c>
      <c r="E19" s="576">
        <v>7</v>
      </c>
      <c r="G19" s="613"/>
      <c r="H19" s="613">
        <f>AVERAGE(H15:H18)</f>
        <v>6.4809027777777768</v>
      </c>
      <c r="I19" s="613">
        <f>AVERAGE(I15:I18)</f>
        <v>5</v>
      </c>
      <c r="J19" s="613">
        <f>AVERAGE(J15:J18)</f>
        <v>6</v>
      </c>
      <c r="K19" s="613">
        <f>AVERAGE(K15:K18)</f>
        <v>5.75</v>
      </c>
      <c r="L19" s="20">
        <f>AVERAGE(L15:L18)</f>
        <v>5.8077256944444446</v>
      </c>
      <c r="N19" t="s">
        <v>176</v>
      </c>
      <c r="O19">
        <f>O20-SUM(O16:O18)</f>
        <v>22.74350766782409</v>
      </c>
      <c r="P19">
        <f>P16*(P16-1)</f>
        <v>6</v>
      </c>
      <c r="Q19">
        <f>O19/P19</f>
        <v>3.7905846113040149</v>
      </c>
    </row>
    <row r="20" spans="1:20" x14ac:dyDescent="0.25">
      <c r="A20" s="612">
        <f>A19+1</f>
        <v>2</v>
      </c>
      <c r="B20" s="222">
        <v>1</v>
      </c>
      <c r="C20" s="613">
        <v>6</v>
      </c>
      <c r="D20" s="613">
        <v>6</v>
      </c>
      <c r="E20" s="176">
        <v>5</v>
      </c>
      <c r="N20" s="354" t="s">
        <v>1</v>
      </c>
      <c r="O20" s="354">
        <f>DEVSQ(H15:K18)</f>
        <v>119.8032136140046</v>
      </c>
      <c r="P20" s="354">
        <f>(P16+1)^2-1</f>
        <v>15</v>
      </c>
      <c r="Q20" s="354">
        <f>O20/P20</f>
        <v>7.9868809076003071</v>
      </c>
      <c r="R20" s="354"/>
      <c r="S20" s="354"/>
      <c r="T20" s="354"/>
    </row>
    <row r="21" spans="1:20" x14ac:dyDescent="0.25">
      <c r="A21" s="612">
        <f>A20+1</f>
        <v>3</v>
      </c>
      <c r="B21" s="214">
        <f>(4*(L6+H8+J11)-2*L8)/((4-1)*(4-2))</f>
        <v>9.9236111111111089</v>
      </c>
      <c r="C21" s="613">
        <v>9</v>
      </c>
      <c r="D21" s="613">
        <v>6</v>
      </c>
      <c r="E21" s="176">
        <v>3</v>
      </c>
      <c r="H21" s="49" t="s">
        <v>109</v>
      </c>
      <c r="I21" s="49" t="s">
        <v>95</v>
      </c>
      <c r="J21" s="49" t="s">
        <v>96</v>
      </c>
      <c r="K21" s="49" t="s">
        <v>97</v>
      </c>
    </row>
    <row r="22" spans="1:20" x14ac:dyDescent="0.25">
      <c r="A22" s="612">
        <f>A21+1</f>
        <v>4</v>
      </c>
      <c r="B22" s="139">
        <v>11</v>
      </c>
      <c r="C22" s="614">
        <v>3</v>
      </c>
      <c r="D22" s="614">
        <v>7</v>
      </c>
      <c r="E22" s="115">
        <v>8</v>
      </c>
      <c r="H22" s="608">
        <f>AVERAGEIF($B$15:$E$18,H21,$B$19:$E$22)</f>
        <v>4.5</v>
      </c>
      <c r="I22" s="609">
        <f>AVERAGEIF($B$15:$E$18,I21,$B$19:$E$22)</f>
        <v>3.25</v>
      </c>
      <c r="J22" s="609">
        <f>AVERAGEIF($B$15:$E$18,J21,$B$19:$E$22)</f>
        <v>7.2309027777777768</v>
      </c>
      <c r="K22" s="610">
        <f>AVERAGEIF($B$15:$E$18,K21,$B$19:$E$22)</f>
        <v>8.25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M22"/>
  <sheetViews>
    <sheetView workbookViewId="0"/>
  </sheetViews>
  <sheetFormatPr defaultRowHeight="15" x14ac:dyDescent="0.25"/>
  <cols>
    <col min="1" max="4" width="6.7109375" customWidth="1"/>
    <col min="5" max="5" width="4.140625" customWidth="1"/>
    <col min="6" max="6" width="4" customWidth="1"/>
    <col min="7" max="9" width="6.42578125" customWidth="1"/>
    <col min="10" max="10" width="4.5703125" customWidth="1"/>
    <col min="11" max="11" width="11.5703125" customWidth="1"/>
    <col min="13" max="13" width="5.28515625" customWidth="1"/>
    <col min="17" max="17" width="6.85546875" customWidth="1"/>
  </cols>
  <sheetData>
    <row r="1" spans="1:32" x14ac:dyDescent="0.25">
      <c r="A1" s="1" t="s">
        <v>1396</v>
      </c>
      <c r="G1" t="s">
        <v>13</v>
      </c>
      <c r="K1" t="s">
        <v>1397</v>
      </c>
    </row>
    <row r="3" spans="1:32" ht="15.75" thickBot="1" x14ac:dyDescent="0.3">
      <c r="A3" s="609" t="s">
        <v>29</v>
      </c>
      <c r="B3" s="609" t="s">
        <v>1376</v>
      </c>
      <c r="C3" s="609" t="s">
        <v>1377</v>
      </c>
      <c r="D3" s="609" t="s">
        <v>1111</v>
      </c>
      <c r="F3" s="612"/>
      <c r="G3" s="612" t="s">
        <v>29</v>
      </c>
      <c r="H3" s="612" t="s">
        <v>1376</v>
      </c>
      <c r="I3" s="612" t="s">
        <v>1377</v>
      </c>
      <c r="K3" t="s">
        <v>125</v>
      </c>
      <c r="O3" s="612" t="s">
        <v>18</v>
      </c>
      <c r="P3" s="612">
        <v>0.05</v>
      </c>
    </row>
    <row r="4" spans="1:32" ht="15.75" thickTop="1" x14ac:dyDescent="0.25">
      <c r="A4" s="612">
        <v>1</v>
      </c>
      <c r="B4" s="49">
        <v>1</v>
      </c>
      <c r="C4" s="612" t="s">
        <v>109</v>
      </c>
      <c r="D4" s="612">
        <v>4</v>
      </c>
      <c r="F4">
        <v>1</v>
      </c>
      <c r="G4" s="550">
        <f>AVERAGEIF(A$4:A$19,F4,D$4:D$19)</f>
        <v>4.5</v>
      </c>
      <c r="H4" s="556">
        <f>AVERAGEIF(B$4:B$19,F4,D$4:D$19)</f>
        <v>6</v>
      </c>
      <c r="I4" s="557">
        <f>AVERAGEIF(C$4:C$19,CHAR(F4+64),D$4:D$19)</f>
        <v>4.5</v>
      </c>
      <c r="K4" s="386"/>
      <c r="L4" s="386" t="s">
        <v>111</v>
      </c>
      <c r="M4" s="386" t="s">
        <v>41</v>
      </c>
      <c r="N4" s="386" t="s">
        <v>115</v>
      </c>
      <c r="O4" s="386" t="s">
        <v>98</v>
      </c>
      <c r="P4" s="386" t="s">
        <v>48</v>
      </c>
      <c r="Q4" s="386" t="s">
        <v>164</v>
      </c>
    </row>
    <row r="5" spans="1:32" x14ac:dyDescent="0.25">
      <c r="A5" s="612">
        <v>1</v>
      </c>
      <c r="B5" s="612">
        <f>B4+1</f>
        <v>2</v>
      </c>
      <c r="C5" s="612" t="s">
        <v>95</v>
      </c>
      <c r="D5" s="612">
        <v>2</v>
      </c>
      <c r="F5">
        <f>F4+1</f>
        <v>2</v>
      </c>
      <c r="G5" s="183">
        <f>AVERAGEIF(A$4:A$19,F5,D$4:D$19)</f>
        <v>4.5</v>
      </c>
      <c r="H5" s="7">
        <f>AVERAGEIF(B$4:B$19,F5,D$4:D$19)</f>
        <v>5</v>
      </c>
      <c r="I5" s="43">
        <f>AVERAGEIF(C$4:C$19,CHAR(F5+64),D$4:D$19)</f>
        <v>3.25</v>
      </c>
      <c r="K5" t="s">
        <v>596</v>
      </c>
      <c r="L5">
        <f>DEVSQ(I4:I7)*(M5+1)</f>
        <v>60.1875</v>
      </c>
      <c r="M5">
        <f>COUNT(I4:I7)-1</f>
        <v>3</v>
      </c>
      <c r="N5">
        <f>L5/M5</f>
        <v>20.0625</v>
      </c>
      <c r="O5">
        <f>N5/N8</f>
        <v>5.7664670658682633</v>
      </c>
      <c r="P5">
        <f>FDIST(O5,M5,M8)</f>
        <v>3.3540115586941324E-2</v>
      </c>
      <c r="Q5" s="612" t="str">
        <f>IF(P5&lt;P3,"yes","no")</f>
        <v>yes</v>
      </c>
    </row>
    <row r="6" spans="1:32" x14ac:dyDescent="0.25">
      <c r="A6" s="612">
        <v>1</v>
      </c>
      <c r="B6" s="612">
        <f>B5+1</f>
        <v>3</v>
      </c>
      <c r="C6" s="612" t="s">
        <v>96</v>
      </c>
      <c r="D6" s="612">
        <v>5</v>
      </c>
      <c r="F6">
        <f>F5+1</f>
        <v>3</v>
      </c>
      <c r="G6" s="183">
        <f>AVERAGEIF(A$4:A$19,F6,D$4:D$19)</f>
        <v>6.5</v>
      </c>
      <c r="H6" s="7">
        <f>AVERAGEIF(B$4:B$19,F6,D$4:D$19)</f>
        <v>6</v>
      </c>
      <c r="I6" s="43">
        <f>AVERAGEIF(C$4:C$19,CHAR(F6+64),D$4:D$19)</f>
        <v>6.75</v>
      </c>
      <c r="K6" t="s">
        <v>99</v>
      </c>
      <c r="L6">
        <f>DEVSQ(G4:G7)*(M6+1)</f>
        <v>23.6875</v>
      </c>
      <c r="M6">
        <f>M5</f>
        <v>3</v>
      </c>
      <c r="N6">
        <f>L6/M6</f>
        <v>7.895833333333333</v>
      </c>
      <c r="O6">
        <f>N6/N8</f>
        <v>2.2694610778443112</v>
      </c>
      <c r="P6">
        <f>FDIST(O6,M6,M8)</f>
        <v>0.18068159246384277</v>
      </c>
      <c r="Q6" s="612" t="str">
        <f>IF(P6&lt;P3,"yes","no")</f>
        <v>no</v>
      </c>
    </row>
    <row r="7" spans="1:32" x14ac:dyDescent="0.25">
      <c r="A7" s="612">
        <v>1</v>
      </c>
      <c r="B7" s="612">
        <f>B6+1</f>
        <v>4</v>
      </c>
      <c r="C7" s="612" t="s">
        <v>97</v>
      </c>
      <c r="D7" s="612">
        <v>7</v>
      </c>
      <c r="F7">
        <f>F6+1</f>
        <v>4</v>
      </c>
      <c r="G7" s="351">
        <f>AVERAGEIF(A$4:A$19,F7,D$4:D$19)</f>
        <v>7.25</v>
      </c>
      <c r="H7" s="352">
        <f>AVERAGEIF(B$4:B$19,F7,D$4:D$19)</f>
        <v>5.75</v>
      </c>
      <c r="I7" s="353">
        <f>AVERAGEIF(C$4:C$19,CHAR(F7+64),D$4:D$19)</f>
        <v>8.25</v>
      </c>
      <c r="K7" t="s">
        <v>177</v>
      </c>
      <c r="L7">
        <f>DEVSQ(H4:H7)*(M7+1)</f>
        <v>2.6875</v>
      </c>
      <c r="M7">
        <f>M5</f>
        <v>3</v>
      </c>
      <c r="N7">
        <f>L7/M7</f>
        <v>0.89583333333333337</v>
      </c>
      <c r="O7">
        <f>N7/N8</f>
        <v>0.25748502994011979</v>
      </c>
      <c r="P7">
        <f>FDIST(O7,M7,M8)</f>
        <v>0.85359994756545676</v>
      </c>
      <c r="Q7" s="612" t="str">
        <f>IF(P7&lt;P3,"yes","no")</f>
        <v>no</v>
      </c>
    </row>
    <row r="8" spans="1:32" x14ac:dyDescent="0.25">
      <c r="A8" s="612">
        <v>2</v>
      </c>
      <c r="B8" s="49">
        <v>1</v>
      </c>
      <c r="C8" s="612" t="s">
        <v>95</v>
      </c>
      <c r="D8" s="612">
        <v>1</v>
      </c>
      <c r="K8" t="s">
        <v>176</v>
      </c>
      <c r="L8">
        <f>L9-SUM(L5:L7)</f>
        <v>20.875</v>
      </c>
      <c r="M8">
        <f>M9-SUM(M5:M7)</f>
        <v>6</v>
      </c>
      <c r="N8">
        <f>L8/M8</f>
        <v>3.4791666666666665</v>
      </c>
    </row>
    <row r="9" spans="1:32" x14ac:dyDescent="0.25">
      <c r="A9" s="612">
        <v>2</v>
      </c>
      <c r="B9" s="612">
        <f>B8+1</f>
        <v>2</v>
      </c>
      <c r="C9" s="612" t="s">
        <v>96</v>
      </c>
      <c r="D9" s="612">
        <v>6</v>
      </c>
      <c r="K9" s="354" t="s">
        <v>1</v>
      </c>
      <c r="L9" s="354">
        <f>DEVSQ(D4:D19)</f>
        <v>107.4375</v>
      </c>
      <c r="M9" s="354">
        <f>COUNT(D4:D19)-1</f>
        <v>15</v>
      </c>
      <c r="N9" s="354">
        <f>L9/M9</f>
        <v>7.1624999999999996</v>
      </c>
      <c r="O9" s="354"/>
      <c r="P9" s="354"/>
      <c r="Q9" s="354"/>
    </row>
    <row r="10" spans="1:32" x14ac:dyDescent="0.25">
      <c r="A10" s="612">
        <v>2</v>
      </c>
      <c r="B10" s="612">
        <f>B9+1</f>
        <v>3</v>
      </c>
      <c r="C10" s="612" t="s">
        <v>97</v>
      </c>
      <c r="D10" s="612">
        <v>6</v>
      </c>
    </row>
    <row r="11" spans="1:32" x14ac:dyDescent="0.25">
      <c r="A11" s="612">
        <v>2</v>
      </c>
      <c r="B11" s="612">
        <f>B10+1</f>
        <v>4</v>
      </c>
      <c r="C11" s="612" t="s">
        <v>109</v>
      </c>
      <c r="D11" s="612">
        <v>5</v>
      </c>
    </row>
    <row r="12" spans="1:32" ht="15.75" thickBot="1" x14ac:dyDescent="0.3">
      <c r="A12" s="612">
        <v>3</v>
      </c>
      <c r="B12" s="49">
        <v>1</v>
      </c>
      <c r="C12" s="612" t="s">
        <v>96</v>
      </c>
      <c r="D12" s="612">
        <v>8</v>
      </c>
      <c r="G12" t="s">
        <v>13</v>
      </c>
      <c r="K12" t="s">
        <v>1373</v>
      </c>
      <c r="S12" t="s">
        <v>1399</v>
      </c>
      <c r="AD12" t="s">
        <v>1400</v>
      </c>
    </row>
    <row r="13" spans="1:32" ht="15.75" thickTop="1" x14ac:dyDescent="0.25">
      <c r="A13" s="612">
        <v>3</v>
      </c>
      <c r="B13" s="612">
        <f>B12+1</f>
        <v>2</v>
      </c>
      <c r="C13" s="612" t="s">
        <v>97</v>
      </c>
      <c r="D13" s="612">
        <v>9</v>
      </c>
      <c r="S13" s="386" t="s">
        <v>53</v>
      </c>
      <c r="T13" s="386" t="s">
        <v>27</v>
      </c>
      <c r="U13" s="386" t="s">
        <v>6</v>
      </c>
      <c r="AD13" s="386" t="s">
        <v>53</v>
      </c>
      <c r="AE13" s="386" t="s">
        <v>27</v>
      </c>
      <c r="AF13" s="386" t="s">
        <v>6</v>
      </c>
    </row>
    <row r="14" spans="1:32" ht="15.75" thickBot="1" x14ac:dyDescent="0.3">
      <c r="A14" s="612">
        <v>3</v>
      </c>
      <c r="B14" s="612">
        <f>B13+1</f>
        <v>3</v>
      </c>
      <c r="C14" s="612" t="s">
        <v>109</v>
      </c>
      <c r="D14" s="612">
        <v>6</v>
      </c>
      <c r="F14" s="612"/>
      <c r="G14" s="612" t="s">
        <v>29</v>
      </c>
      <c r="H14" s="612" t="s">
        <v>1376</v>
      </c>
      <c r="I14" s="612" t="s">
        <v>1377</v>
      </c>
      <c r="K14" t="s">
        <v>125</v>
      </c>
      <c r="O14" s="612" t="s">
        <v>18</v>
      </c>
      <c r="P14" s="612">
        <v>0.05</v>
      </c>
      <c r="S14" s="413" t="s">
        <v>109</v>
      </c>
      <c r="T14" s="549"/>
      <c r="U14" s="387">
        <f t="array" ref="U14:U17">I15:I18</f>
        <v>4.5</v>
      </c>
      <c r="AD14" s="413" t="s">
        <v>109</v>
      </c>
      <c r="AE14" s="549"/>
      <c r="AF14" s="387">
        <f t="array" ref="AF14:AF17">I15:I18</f>
        <v>4.5</v>
      </c>
    </row>
    <row r="15" spans="1:32" ht="15.75" thickTop="1" x14ac:dyDescent="0.25">
      <c r="A15" s="612">
        <v>3</v>
      </c>
      <c r="B15" s="612">
        <f>B14+1</f>
        <v>4</v>
      </c>
      <c r="C15" s="612" t="s">
        <v>95</v>
      </c>
      <c r="D15" s="612">
        <v>3</v>
      </c>
      <c r="F15" s="612">
        <v>1</v>
      </c>
      <c r="G15" s="648">
        <f>AVERAGEIF(A$4:A$19,F15,D$4:D$19)</f>
        <v>4.5</v>
      </c>
      <c r="H15" s="649">
        <f>AVERAGEIF(B$4:B$19,F15,D$4:D$19)</f>
        <v>6</v>
      </c>
      <c r="I15" s="650">
        <f>AVERAGEIF(C$4:C$19,CHAR(F15+64),D$4:D$19)</f>
        <v>4.5</v>
      </c>
      <c r="K15" s="386"/>
      <c r="L15" s="386" t="s">
        <v>111</v>
      </c>
      <c r="M15" s="386" t="s">
        <v>41</v>
      </c>
      <c r="N15" s="386" t="s">
        <v>115</v>
      </c>
      <c r="O15" s="386" t="s">
        <v>98</v>
      </c>
      <c r="P15" s="386" t="s">
        <v>48</v>
      </c>
      <c r="Q15" s="386" t="s">
        <v>164</v>
      </c>
      <c r="S15" s="613" t="s">
        <v>95</v>
      </c>
      <c r="T15" s="539">
        <v>-1</v>
      </c>
      <c r="U15" s="7">
        <v>3.25</v>
      </c>
      <c r="AD15" s="613" t="s">
        <v>95</v>
      </c>
      <c r="AE15" s="539">
        <v>-1</v>
      </c>
      <c r="AF15" s="7">
        <v>3.25</v>
      </c>
    </row>
    <row r="16" spans="1:32" x14ac:dyDescent="0.25">
      <c r="A16" s="612">
        <v>4</v>
      </c>
      <c r="B16" s="49">
        <v>1</v>
      </c>
      <c r="C16" s="612" t="s">
        <v>97</v>
      </c>
      <c r="D16" s="612">
        <v>11</v>
      </c>
      <c r="F16" s="612">
        <f>F15+1</f>
        <v>2</v>
      </c>
      <c r="G16" s="183">
        <f>AVERAGEIF(A$4:A$19,F16,D$4:D$19)</f>
        <v>4.5</v>
      </c>
      <c r="H16" s="7">
        <f>AVERAGEIF(B$4:B$19,F16,D$4:D$19)</f>
        <v>5</v>
      </c>
      <c r="I16" s="43">
        <f>AVERAGEIF(C$4:C$19,CHAR(F16+64),D$4:D$19)</f>
        <v>3.25</v>
      </c>
      <c r="K16" t="s">
        <v>596</v>
      </c>
      <c r="L16">
        <f>DEVSQ(I15:I18)*(M16+1)</f>
        <v>60.1875</v>
      </c>
      <c r="M16">
        <f>COUNT(I15:I18)-1</f>
        <v>3</v>
      </c>
      <c r="N16">
        <f>L16/M16</f>
        <v>20.0625</v>
      </c>
      <c r="O16">
        <f>N16/N19</f>
        <v>5.7664670658682633</v>
      </c>
      <c r="P16">
        <f>FDIST(O16,M16,M19)</f>
        <v>3.3540115586941324E-2</v>
      </c>
      <c r="Q16" s="612" t="str">
        <f>IF(P16&lt;P14,"yes","no")</f>
        <v>yes</v>
      </c>
      <c r="S16" s="613" t="s">
        <v>96</v>
      </c>
      <c r="T16" s="539">
        <v>1</v>
      </c>
      <c r="U16" s="7">
        <v>6.75</v>
      </c>
      <c r="AD16" s="613" t="s">
        <v>96</v>
      </c>
      <c r="AE16" s="539"/>
      <c r="AF16" s="7">
        <v>6.75</v>
      </c>
    </row>
    <row r="17" spans="1:39" x14ac:dyDescent="0.25">
      <c r="A17" s="612">
        <v>4</v>
      </c>
      <c r="B17" s="612">
        <f>B16+1</f>
        <v>2</v>
      </c>
      <c r="C17" s="612" t="s">
        <v>109</v>
      </c>
      <c r="D17" s="612">
        <v>3</v>
      </c>
      <c r="F17" s="612">
        <f>F16+1</f>
        <v>3</v>
      </c>
      <c r="G17" s="183">
        <f>AVERAGEIF(A$4:A$19,F17,D$4:D$19)</f>
        <v>6.5</v>
      </c>
      <c r="H17" s="7">
        <f>AVERAGEIF(B$4:B$19,F17,D$4:D$19)</f>
        <v>6</v>
      </c>
      <c r="I17" s="43">
        <f>AVERAGEIF(C$4:C$19,CHAR(F17+64),D$4:D$19)</f>
        <v>6.75</v>
      </c>
      <c r="K17" t="s">
        <v>99</v>
      </c>
      <c r="L17">
        <f>DEVSQ(G15:G18)*(M17+1)</f>
        <v>23.6875</v>
      </c>
      <c r="M17">
        <f>M16</f>
        <v>3</v>
      </c>
      <c r="N17">
        <f>L17/M17</f>
        <v>7.895833333333333</v>
      </c>
      <c r="O17">
        <f>N17/N19</f>
        <v>2.2694610778443112</v>
      </c>
      <c r="P17">
        <f>FDIST(O17,M17,M19)</f>
        <v>0.18068159246384277</v>
      </c>
      <c r="Q17" s="612" t="str">
        <f>IF(P17&lt;P14,"yes","no")</f>
        <v>no</v>
      </c>
      <c r="S17" s="614" t="s">
        <v>97</v>
      </c>
      <c r="T17" s="540"/>
      <c r="U17" s="354">
        <v>8.25</v>
      </c>
      <c r="AD17" s="614" t="s">
        <v>97</v>
      </c>
      <c r="AE17" s="540">
        <v>1</v>
      </c>
      <c r="AF17" s="354">
        <v>8.25</v>
      </c>
    </row>
    <row r="18" spans="1:39" x14ac:dyDescent="0.25">
      <c r="A18" s="612">
        <v>4</v>
      </c>
      <c r="B18" s="612">
        <f>B17+1</f>
        <v>3</v>
      </c>
      <c r="C18" s="612" t="s">
        <v>95</v>
      </c>
      <c r="D18" s="612">
        <v>7</v>
      </c>
      <c r="F18" s="612">
        <f>F17+1</f>
        <v>4</v>
      </c>
      <c r="G18" s="351">
        <f>AVERAGEIF(A$4:A$19,F18,D$4:D$19)</f>
        <v>7.25</v>
      </c>
      <c r="H18" s="352">
        <f>AVERAGEIF(B$4:B$19,F18,D$4:D$19)</f>
        <v>5.75</v>
      </c>
      <c r="I18" s="353">
        <f>AVERAGEIF(C$4:C$19,CHAR(F18+64),D$4:D$19)</f>
        <v>8.25</v>
      </c>
      <c r="K18" t="s">
        <v>177</v>
      </c>
      <c r="L18">
        <f>DEVSQ(H15:H18)*(M18+1)</f>
        <v>2.6875</v>
      </c>
      <c r="M18">
        <f>M16</f>
        <v>3</v>
      </c>
      <c r="N18">
        <f>L18/M18</f>
        <v>0.89583333333333337</v>
      </c>
      <c r="O18">
        <f>N18/N19</f>
        <v>0.25748502994011979</v>
      </c>
      <c r="P18">
        <f>FDIST(O18,M18,M19)</f>
        <v>0.85359994756545676</v>
      </c>
      <c r="Q18" s="612" t="str">
        <f>IF(P18&lt;P14,"yes","no")</f>
        <v>no</v>
      </c>
      <c r="T18">
        <f>SUM(T14:T17)</f>
        <v>0</v>
      </c>
      <c r="U18">
        <f>SUMPRODUCT(T14:T17,U14:U17)</f>
        <v>3.5</v>
      </c>
      <c r="AE18">
        <f>SUM(AE14:AE17)</f>
        <v>0</v>
      </c>
      <c r="AF18">
        <f>SUMPRODUCT(AE14:AE17,AF14:AF17)</f>
        <v>5</v>
      </c>
    </row>
    <row r="19" spans="1:39" ht="15.75" thickBot="1" x14ac:dyDescent="0.3">
      <c r="A19" s="614">
        <v>4</v>
      </c>
      <c r="B19" s="614">
        <f>B18+1</f>
        <v>4</v>
      </c>
      <c r="C19" s="614" t="s">
        <v>96</v>
      </c>
      <c r="D19" s="614">
        <v>8</v>
      </c>
      <c r="K19" t="s">
        <v>176</v>
      </c>
      <c r="L19">
        <f>L20-SUM(L16:L18)</f>
        <v>20.875</v>
      </c>
      <c r="M19">
        <f>M20-SUM(M16:M18)</f>
        <v>6</v>
      </c>
      <c r="N19">
        <f>L19/M19</f>
        <v>3.4791666666666665</v>
      </c>
      <c r="AD19" t="s">
        <v>801</v>
      </c>
      <c r="AH19" s="612" t="s">
        <v>18</v>
      </c>
      <c r="AI19" s="612">
        <v>0.05</v>
      </c>
    </row>
    <row r="20" spans="1:39" ht="16.5" thickTop="1" thickBot="1" x14ac:dyDescent="0.3">
      <c r="K20" s="354" t="s">
        <v>1</v>
      </c>
      <c r="L20" s="354">
        <f>DEVSQ(D4:D19)</f>
        <v>107.4375</v>
      </c>
      <c r="M20" s="354">
        <f>COUNT(D4:D19)-1</f>
        <v>15</v>
      </c>
      <c r="N20" s="354">
        <f>L20/M20</f>
        <v>7.1624999999999996</v>
      </c>
      <c r="O20" s="354"/>
      <c r="P20" s="354"/>
      <c r="Q20" s="354"/>
      <c r="S20" t="s">
        <v>46</v>
      </c>
      <c r="X20" t="s">
        <v>18</v>
      </c>
      <c r="Y20">
        <v>0.05</v>
      </c>
      <c r="AD20" s="386" t="s">
        <v>390</v>
      </c>
      <c r="AE20" s="386" t="s">
        <v>800</v>
      </c>
      <c r="AF20" s="386" t="s">
        <v>41</v>
      </c>
      <c r="AG20" s="386" t="s">
        <v>166</v>
      </c>
      <c r="AH20" s="386" t="s">
        <v>15</v>
      </c>
      <c r="AI20" s="386" t="s">
        <v>16</v>
      </c>
      <c r="AJ20" s="386" t="s">
        <v>48</v>
      </c>
      <c r="AK20" s="386" t="s">
        <v>75</v>
      </c>
      <c r="AL20" s="386" t="s">
        <v>45</v>
      </c>
      <c r="AM20" s="386" t="s">
        <v>399</v>
      </c>
    </row>
    <row r="21" spans="1:39" ht="15.75" thickTop="1" x14ac:dyDescent="0.25">
      <c r="S21" s="386" t="s">
        <v>390</v>
      </c>
      <c r="T21" s="386" t="s">
        <v>60</v>
      </c>
      <c r="U21" s="386" t="s">
        <v>41</v>
      </c>
      <c r="V21" s="386" t="s">
        <v>48</v>
      </c>
      <c r="W21" s="386" t="s">
        <v>49</v>
      </c>
      <c r="X21" s="386" t="s">
        <v>15</v>
      </c>
      <c r="Y21" s="386" t="s">
        <v>16</v>
      </c>
      <c r="Z21" s="386" t="s">
        <v>164</v>
      </c>
      <c r="AA21" s="386" t="s">
        <v>45</v>
      </c>
      <c r="AB21" s="386" t="s">
        <v>399</v>
      </c>
      <c r="AD21" s="651">
        <f>SQRT(N19/(M16+1))</f>
        <v>0.93262622023330799</v>
      </c>
      <c r="AE21" s="651">
        <f>AF18/AD21</f>
        <v>5.3612046193052434</v>
      </c>
      <c r="AF21" s="651">
        <f>M19</f>
        <v>6</v>
      </c>
      <c r="AG21" s="651" t="e">
        <f ca="1">QCRIT(COUNTA(AD14:AD17),AF21,AI19,2)</f>
        <v>#NAME?</v>
      </c>
      <c r="AH21" s="651" t="e">
        <f ca="1">AF18-AD21*AG21</f>
        <v>#NAME?</v>
      </c>
      <c r="AI21" s="651" t="e">
        <f ca="1">AF18+AD21*AG21</f>
        <v>#NAME?</v>
      </c>
      <c r="AJ21" s="651" t="e">
        <f ca="1">QDIST(ABS(AE21),COUNTA(AD14:AD17),AF21)</f>
        <v>#NAME?</v>
      </c>
      <c r="AK21" s="651" t="e">
        <f ca="1">AD21*AG21</f>
        <v>#NAME?</v>
      </c>
      <c r="AL21" s="651">
        <f>ABS(AF18)/SQRT(N19)</f>
        <v>2.6806023096526217</v>
      </c>
      <c r="AM21" s="651">
        <f>SQRT(AE21^2/(AE21^2+AF21))</f>
        <v>0.9095608449760505</v>
      </c>
    </row>
    <row r="22" spans="1:39" x14ac:dyDescent="0.25">
      <c r="S22" s="651">
        <f>SQRT(N19*SUMSQ(T14:T17)/(M16+1))</f>
        <v>1.3189326492787012</v>
      </c>
      <c r="T22" s="651">
        <f>U18/S22</f>
        <v>2.6536608991475661</v>
      </c>
      <c r="U22" s="651">
        <f>M19</f>
        <v>6</v>
      </c>
      <c r="V22" s="651">
        <f>TDIST(ABS(T22),U22,2)</f>
        <v>3.7843057255718161E-2</v>
      </c>
      <c r="W22" s="651">
        <f>TINV(Y20,U22)</f>
        <v>2.4469118511449697</v>
      </c>
      <c r="X22" s="651">
        <f>U18-S22*W22</f>
        <v>0.27268806961791414</v>
      </c>
      <c r="Y22" s="651">
        <f>U18+S22*W22</f>
        <v>6.7273119303820863</v>
      </c>
      <c r="Z22" s="652" t="str">
        <f>IF(V22&lt;Y20,"yes","no")</f>
        <v>yes</v>
      </c>
      <c r="AA22" s="651">
        <f>ABS(U18)/SQRT(N19)</f>
        <v>1.8764216167568353</v>
      </c>
      <c r="AB22" s="651">
        <f>SQRT(T22^2/(T22^2+U22))</f>
        <v>0.73480943351406913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O30"/>
  <sheetViews>
    <sheetView zoomScaleNormal="100" workbookViewId="0"/>
  </sheetViews>
  <sheetFormatPr defaultRowHeight="15" x14ac:dyDescent="0.25"/>
  <cols>
    <col min="1" max="1" width="6.7109375" style="615" customWidth="1"/>
    <col min="2" max="5" width="6.7109375" style="612" customWidth="1"/>
    <col min="6" max="6" width="5.140625" customWidth="1"/>
    <col min="7" max="7" width="4.28515625" customWidth="1"/>
    <col min="12" max="12" width="4.85546875" customWidth="1"/>
    <col min="13" max="13" width="12.42578125" customWidth="1"/>
    <col min="15" max="15" width="4.5703125" customWidth="1"/>
    <col min="19" max="19" width="6.42578125" customWidth="1"/>
  </cols>
  <sheetData>
    <row r="1" spans="1:41" ht="15.75" thickBot="1" x14ac:dyDescent="0.3">
      <c r="A1" s="1" t="s">
        <v>1398</v>
      </c>
      <c r="H1" t="s">
        <v>13</v>
      </c>
      <c r="M1" t="s">
        <v>1373</v>
      </c>
      <c r="U1" t="s">
        <v>1399</v>
      </c>
      <c r="AF1" t="s">
        <v>1400</v>
      </c>
    </row>
    <row r="2" spans="1:41" ht="15.75" thickTop="1" x14ac:dyDescent="0.25">
      <c r="U2" s="386" t="s">
        <v>53</v>
      </c>
      <c r="V2" s="386" t="s">
        <v>27</v>
      </c>
      <c r="W2" s="386" t="s">
        <v>6</v>
      </c>
      <c r="AF2" s="386" t="s">
        <v>53</v>
      </c>
      <c r="AG2" s="386" t="s">
        <v>27</v>
      </c>
      <c r="AH2" s="386" t="s">
        <v>6</v>
      </c>
    </row>
    <row r="3" spans="1:41" ht="15.75" thickBot="1" x14ac:dyDescent="0.3">
      <c r="A3" s="615" t="s">
        <v>1401</v>
      </c>
      <c r="B3" s="612" t="s">
        <v>29</v>
      </c>
      <c r="C3" s="612" t="s">
        <v>1376</v>
      </c>
      <c r="D3" s="612" t="s">
        <v>1377</v>
      </c>
      <c r="E3" s="612" t="s">
        <v>1111</v>
      </c>
      <c r="G3" s="612"/>
      <c r="H3" s="612" t="s">
        <v>1401</v>
      </c>
      <c r="I3" s="612" t="s">
        <v>29</v>
      </c>
      <c r="J3" s="612" t="s">
        <v>1376</v>
      </c>
      <c r="K3" s="612" t="s">
        <v>1377</v>
      </c>
      <c r="M3" t="s">
        <v>125</v>
      </c>
      <c r="Q3" s="612" t="s">
        <v>18</v>
      </c>
      <c r="R3" s="612">
        <v>0.05</v>
      </c>
      <c r="U3" s="413" t="s">
        <v>109</v>
      </c>
      <c r="V3" s="620">
        <v>-0.5</v>
      </c>
      <c r="W3" s="387">
        <f t="array" ref="W3:W5">K4:K6</f>
        <v>7.4444444444444446</v>
      </c>
      <c r="AF3" s="413" t="s">
        <v>109</v>
      </c>
      <c r="AG3" s="549"/>
      <c r="AH3" s="387">
        <f t="array" ref="AH3:AH5">K4:K6</f>
        <v>7.4444444444444446</v>
      </c>
    </row>
    <row r="4" spans="1:41" ht="15.75" thickTop="1" x14ac:dyDescent="0.25">
      <c r="A4" s="621">
        <v>1</v>
      </c>
      <c r="B4" s="552">
        <v>1</v>
      </c>
      <c r="C4" s="552">
        <v>1</v>
      </c>
      <c r="D4" s="552" t="s">
        <v>109</v>
      </c>
      <c r="E4" s="576">
        <v>11</v>
      </c>
      <c r="G4">
        <v>1</v>
      </c>
      <c r="H4" s="648">
        <f>AVERAGEIF(A$4:A$30,G4,E$4:E$30)</f>
        <v>8.4444444444444446</v>
      </c>
      <c r="I4" s="649">
        <f>AVERAGEIF(B$4:B$30,G4,E$4:E$30)</f>
        <v>11.444444444444445</v>
      </c>
      <c r="J4" s="649">
        <f>AVERAGEIF(C$4:C$30,G4,E$4:E$30)</f>
        <v>10.111111111111111</v>
      </c>
      <c r="K4" s="650">
        <f>AVERAGEIF(D$4:D$30,CHAR(G4+64),E$4:E$30)</f>
        <v>7.4444444444444446</v>
      </c>
      <c r="M4" s="386"/>
      <c r="N4" s="386" t="s">
        <v>111</v>
      </c>
      <c r="O4" s="386" t="s">
        <v>41</v>
      </c>
      <c r="P4" s="386" t="s">
        <v>115</v>
      </c>
      <c r="Q4" s="386" t="s">
        <v>98</v>
      </c>
      <c r="R4" s="386" t="s">
        <v>48</v>
      </c>
      <c r="S4" s="386" t="s">
        <v>164</v>
      </c>
      <c r="U4" s="613" t="s">
        <v>95</v>
      </c>
      <c r="V4" s="539">
        <v>-0.5</v>
      </c>
      <c r="W4" s="7">
        <v>8.6666666666666661</v>
      </c>
      <c r="AF4" s="613" t="s">
        <v>95</v>
      </c>
      <c r="AG4" s="539">
        <v>-1</v>
      </c>
      <c r="AH4" s="7">
        <v>8.6666666666666661</v>
      </c>
    </row>
    <row r="5" spans="1:41" x14ac:dyDescent="0.25">
      <c r="A5" s="622">
        <v>1</v>
      </c>
      <c r="B5" s="613">
        <v>1</v>
      </c>
      <c r="C5" s="613">
        <v>2</v>
      </c>
      <c r="D5" s="613" t="s">
        <v>95</v>
      </c>
      <c r="E5" s="176">
        <v>12</v>
      </c>
      <c r="G5">
        <f>G4+1</f>
        <v>2</v>
      </c>
      <c r="H5" s="183">
        <f>AVERAGEIF(A$4:A$30,G5,E$4:E$30)</f>
        <v>9.1111111111111107</v>
      </c>
      <c r="I5" s="7">
        <f>AVERAGEIF(B$4:B$30,G5,E$4:E$30)</f>
        <v>7.666666666666667</v>
      </c>
      <c r="J5" s="7">
        <f>AVERAGEIF(C$4:C$30,G5,E$4:E$30)</f>
        <v>7.5555555555555554</v>
      </c>
      <c r="K5" s="43">
        <f>AVERAGEIF(D$4:D$30,CHAR(G5+64),E$4:E$30)</f>
        <v>8.6666666666666661</v>
      </c>
      <c r="M5" t="s">
        <v>596</v>
      </c>
      <c r="N5">
        <f>DEVSQ(K4:K6)*(O5+1)*(O8+1)</f>
        <v>75.629629629629648</v>
      </c>
      <c r="O5">
        <f>COUNT(K4:K6)-1</f>
        <v>2</v>
      </c>
      <c r="P5">
        <f t="shared" ref="P5:P10" si="0">N5/O5</f>
        <v>37.814814814814824</v>
      </c>
      <c r="Q5">
        <f>P5/P9</f>
        <v>5.6827458256029706</v>
      </c>
      <c r="R5">
        <f>FDIST(Q5,O5,O9)</f>
        <v>1.2215663426526935E-2</v>
      </c>
      <c r="S5" s="612" t="str">
        <f>IF(R5&lt;R3,"yes","no")</f>
        <v>yes</v>
      </c>
      <c r="U5" s="614" t="s">
        <v>96</v>
      </c>
      <c r="V5" s="540">
        <v>1</v>
      </c>
      <c r="W5" s="354">
        <v>11.444444444444445</v>
      </c>
      <c r="AF5" s="614" t="s">
        <v>96</v>
      </c>
      <c r="AG5" s="540">
        <v>1</v>
      </c>
      <c r="AH5" s="354">
        <v>11.444444444444445</v>
      </c>
    </row>
    <row r="6" spans="1:41" x14ac:dyDescent="0.25">
      <c r="A6" s="623">
        <v>1</v>
      </c>
      <c r="B6" s="614">
        <v>1</v>
      </c>
      <c r="C6" s="614">
        <v>3</v>
      </c>
      <c r="D6" s="614" t="s">
        <v>96</v>
      </c>
      <c r="E6" s="115">
        <v>15</v>
      </c>
      <c r="G6">
        <f>G5+1</f>
        <v>3</v>
      </c>
      <c r="H6" s="351">
        <f>AVERAGEIF(A$4:A$30,G6,E$4:E$30)</f>
        <v>10</v>
      </c>
      <c r="I6" s="352">
        <f>AVERAGEIF(B$4:B$30,G6,E$4:E$30)</f>
        <v>8.4444444444444446</v>
      </c>
      <c r="J6" s="352">
        <f>AVERAGEIF(C$4:C$30,G6,E$4:E$30)</f>
        <v>9.8888888888888893</v>
      </c>
      <c r="K6" s="353">
        <f>AVERAGEIF(D$4:D$30,CHAR(G6+64),E$4:E$30)</f>
        <v>11.444444444444445</v>
      </c>
      <c r="M6" t="s">
        <v>99</v>
      </c>
      <c r="N6">
        <f>DEVSQ(I4:I6)*(O6+1)*(O8+1)</f>
        <v>71.629629629629619</v>
      </c>
      <c r="O6">
        <f>O5</f>
        <v>2</v>
      </c>
      <c r="P6">
        <f t="shared" si="0"/>
        <v>35.81481481481481</v>
      </c>
      <c r="Q6">
        <f>P6/P9</f>
        <v>5.3821892393320958</v>
      </c>
      <c r="R6">
        <f>FDIST(Q6,O6,O9)</f>
        <v>1.4714909493731844E-2</v>
      </c>
      <c r="S6" s="612" t="str">
        <f>IF(R6&lt;R3,"yes","no")</f>
        <v>yes</v>
      </c>
      <c r="V6">
        <f>SUM(V3:V5)</f>
        <v>0</v>
      </c>
      <c r="W6">
        <f>SUMPRODUCT(V3:V5,W3:W5)</f>
        <v>3.3888888888888893</v>
      </c>
      <c r="AG6">
        <f>SUM(AG3:AG5)</f>
        <v>0</v>
      </c>
      <c r="AH6">
        <f>SUMPRODUCT(AG3:AG5,AH3:AH5)</f>
        <v>2.7777777777777786</v>
      </c>
    </row>
    <row r="7" spans="1:41" ht="15.75" thickBot="1" x14ac:dyDescent="0.3">
      <c r="A7" s="621">
        <v>1</v>
      </c>
      <c r="B7" s="552">
        <v>2</v>
      </c>
      <c r="C7" s="552">
        <v>1</v>
      </c>
      <c r="D7" s="552" t="s">
        <v>95</v>
      </c>
      <c r="E7" s="576">
        <v>8</v>
      </c>
      <c r="M7" t="s">
        <v>177</v>
      </c>
      <c r="N7">
        <f>DEVSQ(J4:J6)*(O7+1)*(O8+1)</f>
        <v>36.074074074074076</v>
      </c>
      <c r="O7">
        <f>O5</f>
        <v>2</v>
      </c>
      <c r="P7">
        <f t="shared" si="0"/>
        <v>18.037037037037038</v>
      </c>
      <c r="Q7">
        <f>P7/P9</f>
        <v>2.710575139146568</v>
      </c>
      <c r="R7">
        <f>FDIST(Q7,O7,O9)</f>
        <v>9.3535949633576865E-2</v>
      </c>
      <c r="S7" s="612" t="str">
        <f>IF(R7&lt;R3,"yes","no")</f>
        <v>no</v>
      </c>
      <c r="AF7" t="s">
        <v>801</v>
      </c>
      <c r="AJ7" s="612" t="s">
        <v>18</v>
      </c>
      <c r="AK7" s="612">
        <v>0.05</v>
      </c>
    </row>
    <row r="8" spans="1:41" ht="16.5" thickTop="1" thickBot="1" x14ac:dyDescent="0.3">
      <c r="A8" s="622">
        <v>1</v>
      </c>
      <c r="B8" s="613">
        <v>2</v>
      </c>
      <c r="C8" s="613">
        <v>2</v>
      </c>
      <c r="D8" s="613" t="s">
        <v>96</v>
      </c>
      <c r="E8" s="176">
        <v>7</v>
      </c>
      <c r="M8" t="s">
        <v>1402</v>
      </c>
      <c r="N8">
        <f>DEVSQ(H4:H6)*(O8+1)^2</f>
        <v>10.962962962962962</v>
      </c>
      <c r="O8">
        <f>COUNT(H4:H6)-1</f>
        <v>2</v>
      </c>
      <c r="P8">
        <f t="shared" si="0"/>
        <v>5.481481481481481</v>
      </c>
      <c r="Q8">
        <f>P8/P9</f>
        <v>0.82374768089053807</v>
      </c>
      <c r="R8">
        <f>FDIST(Q8,O8,O9)</f>
        <v>0.4546610930031918</v>
      </c>
      <c r="S8" s="612" t="str">
        <f>IF(R8&lt;R3,"yes","no")</f>
        <v>no</v>
      </c>
      <c r="U8" t="s">
        <v>46</v>
      </c>
      <c r="Z8" t="s">
        <v>18</v>
      </c>
      <c r="AA8">
        <v>0.05</v>
      </c>
      <c r="AF8" s="386" t="s">
        <v>390</v>
      </c>
      <c r="AG8" s="386" t="s">
        <v>800</v>
      </c>
      <c r="AH8" s="386" t="s">
        <v>41</v>
      </c>
      <c r="AI8" s="386" t="s">
        <v>166</v>
      </c>
      <c r="AJ8" s="386" t="s">
        <v>15</v>
      </c>
      <c r="AK8" s="386" t="s">
        <v>16</v>
      </c>
      <c r="AL8" s="386" t="s">
        <v>48</v>
      </c>
      <c r="AM8" s="386" t="s">
        <v>75</v>
      </c>
      <c r="AN8" s="386" t="s">
        <v>45</v>
      </c>
      <c r="AO8" s="386" t="s">
        <v>399</v>
      </c>
    </row>
    <row r="9" spans="1:41" ht="15.75" thickTop="1" x14ac:dyDescent="0.25">
      <c r="A9" s="623">
        <v>1</v>
      </c>
      <c r="B9" s="614">
        <v>2</v>
      </c>
      <c r="C9" s="614">
        <v>3</v>
      </c>
      <c r="D9" s="614" t="s">
        <v>109</v>
      </c>
      <c r="E9" s="115">
        <v>5</v>
      </c>
      <c r="M9" t="s">
        <v>176</v>
      </c>
      <c r="N9">
        <f>N10-SUM(N5:N8)</f>
        <v>119.77777777777777</v>
      </c>
      <c r="O9">
        <f>O10-SUM(O5:O8)</f>
        <v>18</v>
      </c>
      <c r="P9">
        <f t="shared" si="0"/>
        <v>6.6543209876543203</v>
      </c>
      <c r="U9" s="386" t="s">
        <v>390</v>
      </c>
      <c r="V9" s="386" t="s">
        <v>60</v>
      </c>
      <c r="W9" s="386" t="s">
        <v>41</v>
      </c>
      <c r="X9" s="386" t="s">
        <v>48</v>
      </c>
      <c r="Y9" s="386" t="s">
        <v>49</v>
      </c>
      <c r="Z9" s="386" t="s">
        <v>15</v>
      </c>
      <c r="AA9" s="386" t="s">
        <v>16</v>
      </c>
      <c r="AB9" s="386" t="s">
        <v>164</v>
      </c>
      <c r="AC9" s="386" t="s">
        <v>45</v>
      </c>
      <c r="AD9" s="386" t="s">
        <v>399</v>
      </c>
      <c r="AF9" s="651">
        <f>SQRT(P9/((O5+1)*(O6+1)))</f>
        <v>0.85986568638843697</v>
      </c>
      <c r="AG9" s="651">
        <f>AH6/AF9</f>
        <v>3.2304786919046111</v>
      </c>
      <c r="AH9" s="651">
        <f>O9</f>
        <v>18</v>
      </c>
      <c r="AI9" s="651" t="e">
        <f ca="1">QCRIT(COUNTA(AF3:AF5),AH9,AK7,2)</f>
        <v>#NAME?</v>
      </c>
      <c r="AJ9" s="651" t="e">
        <f ca="1">AH6-AF9*AI9</f>
        <v>#NAME?</v>
      </c>
      <c r="AK9" s="651" t="e">
        <f ca="1">AH6+AF9*AI9</f>
        <v>#NAME?</v>
      </c>
      <c r="AL9" s="651" t="e">
        <f ca="1">QDIST(ABS(AG9),COUNTA(AF3:AF5),AH9)</f>
        <v>#NAME?</v>
      </c>
      <c r="AM9" s="651" t="e">
        <f ca="1">AF9*AI9</f>
        <v>#NAME?</v>
      </c>
      <c r="AN9" s="651">
        <f>ABS(AH6)/SQRT(P9)</f>
        <v>1.0768262306348704</v>
      </c>
      <c r="AO9" s="651">
        <f>SQRT(AG9^2/(AG9^2+AH9))</f>
        <v>0.60580476459082067</v>
      </c>
    </row>
    <row r="10" spans="1:41" x14ac:dyDescent="0.25">
      <c r="A10" s="621">
        <v>1</v>
      </c>
      <c r="B10" s="552">
        <v>3</v>
      </c>
      <c r="C10" s="552">
        <v>1</v>
      </c>
      <c r="D10" s="552" t="s">
        <v>96</v>
      </c>
      <c r="E10" s="576">
        <v>9</v>
      </c>
      <c r="M10" s="354" t="s">
        <v>1</v>
      </c>
      <c r="N10" s="354">
        <f>DEVSQ(E4:E30)</f>
        <v>314.07407407407408</v>
      </c>
      <c r="O10" s="354">
        <f>COUNT(E4:E30)-1</f>
        <v>26</v>
      </c>
      <c r="P10" s="354">
        <f t="shared" si="0"/>
        <v>12.079772079772081</v>
      </c>
      <c r="Q10" s="354"/>
      <c r="R10" s="354"/>
      <c r="S10" s="354"/>
      <c r="U10" s="651">
        <f>SQRT(P9*SUMSQ(V3:V5)/((O5+1)*(O6+1)))</f>
        <v>1.0531160894898466</v>
      </c>
      <c r="V10" s="651">
        <f>W6/U10</f>
        <v>3.217963264173985</v>
      </c>
      <c r="W10" s="651">
        <f>O9</f>
        <v>18</v>
      </c>
      <c r="X10" s="651">
        <f>TDIST(ABS(V10),W10,2)</f>
        <v>4.7702713444299659E-3</v>
      </c>
      <c r="Y10" s="651">
        <f>TINV(AA8,W10)</f>
        <v>2.1009220402410378</v>
      </c>
      <c r="Z10" s="651">
        <f>W6-U10*Y10</f>
        <v>1.1763740855472173</v>
      </c>
      <c r="AA10" s="651">
        <f>W6+U10*Y10</f>
        <v>5.6014036922305612</v>
      </c>
      <c r="AB10" s="652" t="str">
        <f>IF(X10&lt;AA8,"yes","no")</f>
        <v>yes</v>
      </c>
      <c r="AC10" s="651">
        <f>ABS(W6)/SQRT(P9)</f>
        <v>1.3137280013745416</v>
      </c>
      <c r="AD10" s="651">
        <f>SQRT(V10^2/(V10^2+W10))</f>
        <v>0.60431594575409697</v>
      </c>
    </row>
    <row r="11" spans="1:41" x14ac:dyDescent="0.25">
      <c r="A11" s="622">
        <v>1</v>
      </c>
      <c r="B11" s="613">
        <v>3</v>
      </c>
      <c r="C11" s="613">
        <v>2</v>
      </c>
      <c r="D11" s="613" t="s">
        <v>109</v>
      </c>
      <c r="E11" s="176">
        <v>3</v>
      </c>
    </row>
    <row r="12" spans="1:41" x14ac:dyDescent="0.25">
      <c r="A12" s="623">
        <v>1</v>
      </c>
      <c r="B12" s="614">
        <v>3</v>
      </c>
      <c r="C12" s="614">
        <v>3</v>
      </c>
      <c r="D12" s="614" t="s">
        <v>95</v>
      </c>
      <c r="E12" s="115">
        <v>6</v>
      </c>
    </row>
    <row r="13" spans="1:41" x14ac:dyDescent="0.25">
      <c r="A13" s="621">
        <v>2</v>
      </c>
      <c r="B13" s="552">
        <v>1</v>
      </c>
      <c r="C13" s="552">
        <v>1</v>
      </c>
      <c r="D13" s="552" t="s">
        <v>96</v>
      </c>
      <c r="E13" s="576">
        <v>13</v>
      </c>
    </row>
    <row r="14" spans="1:41" x14ac:dyDescent="0.25">
      <c r="A14" s="622">
        <v>2</v>
      </c>
      <c r="B14" s="613">
        <v>1</v>
      </c>
      <c r="C14" s="613">
        <v>2</v>
      </c>
      <c r="D14" s="613" t="s">
        <v>95</v>
      </c>
      <c r="E14" s="176">
        <v>5</v>
      </c>
    </row>
    <row r="15" spans="1:41" x14ac:dyDescent="0.25">
      <c r="A15" s="623">
        <v>2</v>
      </c>
      <c r="B15" s="614">
        <v>1</v>
      </c>
      <c r="C15" s="614">
        <v>3</v>
      </c>
      <c r="D15" s="614" t="s">
        <v>109</v>
      </c>
      <c r="E15" s="115">
        <v>10</v>
      </c>
    </row>
    <row r="16" spans="1:41" x14ac:dyDescent="0.25">
      <c r="A16" s="621">
        <v>2</v>
      </c>
      <c r="B16" s="552">
        <v>2</v>
      </c>
      <c r="C16" s="552">
        <v>1</v>
      </c>
      <c r="D16" s="552" t="s">
        <v>95</v>
      </c>
      <c r="E16" s="576">
        <v>9</v>
      </c>
    </row>
    <row r="17" spans="1:5" x14ac:dyDescent="0.25">
      <c r="A17" s="622">
        <v>2</v>
      </c>
      <c r="B17" s="613">
        <v>2</v>
      </c>
      <c r="C17" s="613">
        <v>2</v>
      </c>
      <c r="D17" s="613" t="s">
        <v>109</v>
      </c>
      <c r="E17" s="176">
        <v>4</v>
      </c>
    </row>
    <row r="18" spans="1:5" x14ac:dyDescent="0.25">
      <c r="A18" s="622">
        <v>2</v>
      </c>
      <c r="B18" s="613">
        <v>2</v>
      </c>
      <c r="C18" s="613">
        <v>3</v>
      </c>
      <c r="D18" s="613" t="s">
        <v>96</v>
      </c>
      <c r="E18" s="176">
        <v>9</v>
      </c>
    </row>
    <row r="19" spans="1:5" x14ac:dyDescent="0.25">
      <c r="A19" s="624">
        <v>2</v>
      </c>
      <c r="B19" s="552">
        <v>3</v>
      </c>
      <c r="C19" s="552">
        <v>1</v>
      </c>
      <c r="D19" s="552" t="s">
        <v>109</v>
      </c>
      <c r="E19" s="576">
        <v>7</v>
      </c>
    </row>
    <row r="20" spans="1:5" x14ac:dyDescent="0.25">
      <c r="A20" s="625">
        <v>2</v>
      </c>
      <c r="B20" s="613">
        <v>3</v>
      </c>
      <c r="C20" s="613">
        <v>2</v>
      </c>
      <c r="D20" s="613" t="s">
        <v>96</v>
      </c>
      <c r="E20" s="176">
        <v>14</v>
      </c>
    </row>
    <row r="21" spans="1:5" x14ac:dyDescent="0.25">
      <c r="A21" s="625">
        <v>2</v>
      </c>
      <c r="B21" s="613">
        <v>3</v>
      </c>
      <c r="C21" s="613">
        <v>3</v>
      </c>
      <c r="D21" s="613" t="s">
        <v>95</v>
      </c>
      <c r="E21" s="176">
        <v>11</v>
      </c>
    </row>
    <row r="22" spans="1:5" x14ac:dyDescent="0.25">
      <c r="A22" s="624">
        <v>3</v>
      </c>
      <c r="B22" s="552">
        <v>1</v>
      </c>
      <c r="C22" s="552">
        <v>1</v>
      </c>
      <c r="D22" s="552" t="s">
        <v>95</v>
      </c>
      <c r="E22" s="576">
        <v>15</v>
      </c>
    </row>
    <row r="23" spans="1:5" x14ac:dyDescent="0.25">
      <c r="A23" s="625">
        <v>3</v>
      </c>
      <c r="B23" s="613">
        <v>1</v>
      </c>
      <c r="C23" s="613">
        <v>2</v>
      </c>
      <c r="D23" s="613" t="s">
        <v>109</v>
      </c>
      <c r="E23" s="176">
        <v>9</v>
      </c>
    </row>
    <row r="24" spans="1:5" x14ac:dyDescent="0.25">
      <c r="A24" s="626">
        <v>3</v>
      </c>
      <c r="B24" s="614">
        <v>1</v>
      </c>
      <c r="C24" s="614">
        <v>3</v>
      </c>
      <c r="D24" s="614" t="s">
        <v>96</v>
      </c>
      <c r="E24" s="115">
        <v>13</v>
      </c>
    </row>
    <row r="25" spans="1:5" x14ac:dyDescent="0.25">
      <c r="A25" s="625">
        <v>3</v>
      </c>
      <c r="B25" s="613">
        <v>2</v>
      </c>
      <c r="C25" s="613">
        <v>1</v>
      </c>
      <c r="D25" s="613" t="s">
        <v>109</v>
      </c>
      <c r="E25" s="176">
        <v>7</v>
      </c>
    </row>
    <row r="26" spans="1:5" x14ac:dyDescent="0.25">
      <c r="A26" s="625">
        <v>3</v>
      </c>
      <c r="B26" s="613">
        <v>2</v>
      </c>
      <c r="C26" s="613">
        <v>2</v>
      </c>
      <c r="D26" s="613" t="s">
        <v>96</v>
      </c>
      <c r="E26" s="176">
        <v>11</v>
      </c>
    </row>
    <row r="27" spans="1:5" x14ac:dyDescent="0.25">
      <c r="A27" s="626">
        <v>3</v>
      </c>
      <c r="B27" s="614">
        <v>2</v>
      </c>
      <c r="C27" s="614">
        <v>3</v>
      </c>
      <c r="D27" s="614" t="s">
        <v>95</v>
      </c>
      <c r="E27" s="115">
        <v>9</v>
      </c>
    </row>
    <row r="28" spans="1:5" x14ac:dyDescent="0.25">
      <c r="A28" s="625">
        <v>3</v>
      </c>
      <c r="B28" s="613">
        <v>3</v>
      </c>
      <c r="C28" s="613">
        <v>1</v>
      </c>
      <c r="D28" s="613" t="s">
        <v>96</v>
      </c>
      <c r="E28" s="176">
        <v>12</v>
      </c>
    </row>
    <row r="29" spans="1:5" x14ac:dyDescent="0.25">
      <c r="A29" s="625">
        <v>3</v>
      </c>
      <c r="B29" s="613">
        <v>3</v>
      </c>
      <c r="C29" s="613">
        <v>2</v>
      </c>
      <c r="D29" s="613" t="s">
        <v>95</v>
      </c>
      <c r="E29" s="176">
        <v>3</v>
      </c>
    </row>
    <row r="30" spans="1:5" x14ac:dyDescent="0.25">
      <c r="A30" s="626">
        <v>3</v>
      </c>
      <c r="B30" s="614">
        <v>3</v>
      </c>
      <c r="C30" s="614">
        <v>3</v>
      </c>
      <c r="D30" s="614" t="s">
        <v>109</v>
      </c>
      <c r="E30" s="115">
        <v>11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S23"/>
  <sheetViews>
    <sheetView workbookViewId="0"/>
  </sheetViews>
  <sheetFormatPr defaultRowHeight="15" x14ac:dyDescent="0.25"/>
  <cols>
    <col min="1" max="7" width="4.7109375" customWidth="1"/>
    <col min="8" max="8" width="4" customWidth="1"/>
    <col min="9" max="9" width="4.42578125" customWidth="1"/>
    <col min="14" max="14" width="3.5703125" customWidth="1"/>
    <col min="17" max="17" width="5.85546875" customWidth="1"/>
    <col min="21" max="21" width="7.140625" customWidth="1"/>
  </cols>
  <sheetData>
    <row r="1" spans="1:45" ht="15.75" thickBot="1" x14ac:dyDescent="0.3">
      <c r="A1" s="1" t="s">
        <v>1398</v>
      </c>
      <c r="J1" t="s">
        <v>13</v>
      </c>
      <c r="O1" t="s">
        <v>1373</v>
      </c>
      <c r="W1" t="s">
        <v>1399</v>
      </c>
      <c r="AH1" t="s">
        <v>1400</v>
      </c>
    </row>
    <row r="2" spans="1:45" ht="15.75" thickTop="1" x14ac:dyDescent="0.25">
      <c r="W2" s="386" t="s">
        <v>53</v>
      </c>
      <c r="X2" s="386" t="s">
        <v>27</v>
      </c>
      <c r="Y2" s="386" t="s">
        <v>6</v>
      </c>
      <c r="AH2" s="386" t="s">
        <v>53</v>
      </c>
      <c r="AI2" s="386" t="s">
        <v>27</v>
      </c>
      <c r="AJ2" s="386" t="s">
        <v>6</v>
      </c>
    </row>
    <row r="3" spans="1:45" s="628" customFormat="1" ht="15" customHeight="1" thickBot="1" x14ac:dyDescent="0.3">
      <c r="A3" s="627"/>
      <c r="B3" s="538">
        <v>1</v>
      </c>
      <c r="C3" s="538">
        <v>2</v>
      </c>
      <c r="D3" s="538">
        <v>3</v>
      </c>
      <c r="E3" s="538">
        <v>1</v>
      </c>
      <c r="F3" s="538">
        <v>2</v>
      </c>
      <c r="G3" s="538">
        <v>3</v>
      </c>
      <c r="I3" s="538"/>
      <c r="J3" s="538" t="s">
        <v>1401</v>
      </c>
      <c r="K3" s="538" t="s">
        <v>29</v>
      </c>
      <c r="L3" s="538" t="s">
        <v>1376</v>
      </c>
      <c r="M3" s="538" t="s">
        <v>1377</v>
      </c>
      <c r="O3" s="628" t="s">
        <v>125</v>
      </c>
      <c r="S3" s="538" t="s">
        <v>18</v>
      </c>
      <c r="T3" s="538">
        <v>0.05</v>
      </c>
      <c r="W3" s="658" t="s">
        <v>109</v>
      </c>
      <c r="X3" s="620">
        <v>-0.5</v>
      </c>
      <c r="Y3" s="660">
        <f t="array" ref="Y3:Y5">M4:M6</f>
        <v>7.4444444444444446</v>
      </c>
      <c r="AH3" s="658" t="s">
        <v>109</v>
      </c>
      <c r="AI3" s="659"/>
      <c r="AJ3" s="660">
        <f t="array" ref="AJ3:AJ5">M4:M6</f>
        <v>7.4444444444444446</v>
      </c>
    </row>
    <row r="4" spans="1:45" s="628" customFormat="1" ht="15.75" thickTop="1" x14ac:dyDescent="0.25">
      <c r="A4" s="632">
        <v>1</v>
      </c>
      <c r="B4" s="633" t="s">
        <v>109</v>
      </c>
      <c r="C4" s="629" t="s">
        <v>95</v>
      </c>
      <c r="D4" s="629" t="s">
        <v>96</v>
      </c>
      <c r="E4" s="633">
        <v>11</v>
      </c>
      <c r="F4" s="629">
        <v>12</v>
      </c>
      <c r="G4" s="634">
        <v>15</v>
      </c>
      <c r="I4" s="628">
        <v>1</v>
      </c>
      <c r="J4" s="653">
        <f>AVERAGE(E4:G6)</f>
        <v>8.4444444444444446</v>
      </c>
      <c r="K4" s="654">
        <f t="array" ref="K4">AVERAGE(IF($A$4:$A$12=I4,$E$4:$G$12,""))</f>
        <v>11.444444444444445</v>
      </c>
      <c r="L4" s="654">
        <f>AVERAGE(E4:E12)</f>
        <v>10.111111111111111</v>
      </c>
      <c r="M4" s="655">
        <f t="array" ref="M4">AVERAGE(IF($B$4:$D$12=CHAR(64+I4),$E$4:$G$12,""))</f>
        <v>7.4444444444444446</v>
      </c>
      <c r="O4" s="635"/>
      <c r="P4" s="635" t="s">
        <v>111</v>
      </c>
      <c r="Q4" s="635" t="s">
        <v>41</v>
      </c>
      <c r="R4" s="635" t="s">
        <v>115</v>
      </c>
      <c r="S4" s="635" t="s">
        <v>98</v>
      </c>
      <c r="T4" s="635" t="s">
        <v>48</v>
      </c>
      <c r="U4" s="635" t="s">
        <v>164</v>
      </c>
      <c r="W4" s="51" t="s">
        <v>95</v>
      </c>
      <c r="X4" s="539">
        <v>-0.5</v>
      </c>
      <c r="Y4" s="630">
        <v>8.6666666666666661</v>
      </c>
      <c r="AH4" s="51" t="s">
        <v>95</v>
      </c>
      <c r="AI4" s="636">
        <v>-1</v>
      </c>
      <c r="AJ4" s="630">
        <v>8.6666666666666661</v>
      </c>
    </row>
    <row r="5" spans="1:45" s="628" customFormat="1" x14ac:dyDescent="0.25">
      <c r="A5" s="632">
        <v>2</v>
      </c>
      <c r="B5" s="637" t="s">
        <v>95</v>
      </c>
      <c r="C5" s="51" t="s">
        <v>96</v>
      </c>
      <c r="D5" s="51" t="s">
        <v>109</v>
      </c>
      <c r="E5" s="637">
        <v>8</v>
      </c>
      <c r="F5" s="51">
        <v>7</v>
      </c>
      <c r="G5" s="638">
        <v>5</v>
      </c>
      <c r="I5" s="628">
        <f>I4+1</f>
        <v>2</v>
      </c>
      <c r="J5" s="639">
        <f>AVERAGE(E7:G9)</f>
        <v>9.1111111111111107</v>
      </c>
      <c r="K5" s="654">
        <f t="array" ref="K5">AVERAGE(IF($A$4:$A$12=I5,$E$4:$G$12,""))</f>
        <v>7.666666666666667</v>
      </c>
      <c r="L5" s="630">
        <f>AVERAGE(F4:F12)</f>
        <v>7.5555555555555554</v>
      </c>
      <c r="M5" s="655">
        <f t="array" ref="M5">AVERAGE(IF($B$4:$D$12=CHAR(64+I5),$E$4:$G$12,""))</f>
        <v>8.6666666666666661</v>
      </c>
      <c r="O5" s="628" t="s">
        <v>596</v>
      </c>
      <c r="P5" s="628">
        <f>DEVSQ(M4:M6)*(Q5+1)*(Q8+1)</f>
        <v>75.629629629629648</v>
      </c>
      <c r="Q5" s="628">
        <f>COUNT(M4:M6)-1</f>
        <v>2</v>
      </c>
      <c r="R5" s="628">
        <f t="shared" ref="R5:R10" si="0">P5/Q5</f>
        <v>37.814814814814824</v>
      </c>
      <c r="S5" s="628">
        <f>R5/R9</f>
        <v>5.6827458256029706</v>
      </c>
      <c r="T5" s="628">
        <f>FDIST(S5,Q5,Q9)</f>
        <v>1.2215663426526935E-2</v>
      </c>
      <c r="U5" s="538" t="str">
        <f>IF(T5&lt;T3,"yes","no")</f>
        <v>yes</v>
      </c>
      <c r="W5" s="640" t="s">
        <v>96</v>
      </c>
      <c r="X5" s="540">
        <v>1</v>
      </c>
      <c r="Y5" s="631">
        <v>11.444444444444445</v>
      </c>
      <c r="AH5" s="640" t="s">
        <v>96</v>
      </c>
      <c r="AI5" s="641">
        <v>1</v>
      </c>
      <c r="AJ5" s="631">
        <v>11.444444444444445</v>
      </c>
    </row>
    <row r="6" spans="1:45" s="628" customFormat="1" x14ac:dyDescent="0.25">
      <c r="A6" s="632">
        <v>3</v>
      </c>
      <c r="B6" s="637" t="s">
        <v>96</v>
      </c>
      <c r="C6" s="51" t="s">
        <v>109</v>
      </c>
      <c r="D6" s="51" t="s">
        <v>95</v>
      </c>
      <c r="E6" s="637">
        <v>9</v>
      </c>
      <c r="F6" s="51">
        <v>3</v>
      </c>
      <c r="G6" s="638">
        <v>6</v>
      </c>
      <c r="I6" s="628">
        <f>I5+1</f>
        <v>3</v>
      </c>
      <c r="J6" s="642">
        <f>AVERAGE(E10:G12)</f>
        <v>10</v>
      </c>
      <c r="K6" s="656">
        <f t="array" ref="K6">AVERAGE(IF($A$4:$A$12=I6,$E$4:$G$12,""))</f>
        <v>8.4444444444444446</v>
      </c>
      <c r="L6" s="643">
        <f>AVERAGE(G4:G12)</f>
        <v>9.8888888888888893</v>
      </c>
      <c r="M6" s="657">
        <f t="array" ref="M6">AVERAGE(IF($B$4:$D$12=CHAR(64+I6),$E$4:$G$12,""))</f>
        <v>11.444444444444445</v>
      </c>
      <c r="O6" s="628" t="s">
        <v>99</v>
      </c>
      <c r="P6" s="628">
        <f>DEVSQ(K4:K6)*(Q6+1)*(Q8+1)</f>
        <v>71.629629629629619</v>
      </c>
      <c r="Q6" s="628">
        <f>Q5</f>
        <v>2</v>
      </c>
      <c r="R6" s="628">
        <f t="shared" si="0"/>
        <v>35.81481481481481</v>
      </c>
      <c r="S6" s="628">
        <f>R6/R9</f>
        <v>5.3821892393320958</v>
      </c>
      <c r="T6" s="628">
        <f>FDIST(S6,Q6,Q9)</f>
        <v>1.4714909493731844E-2</v>
      </c>
      <c r="U6" s="538" t="str">
        <f>IF(T6&lt;T3,"yes","no")</f>
        <v>yes</v>
      </c>
      <c r="X6" s="628">
        <f>SUM(X3:X5)</f>
        <v>0</v>
      </c>
      <c r="Y6" s="628">
        <f>SUMPRODUCT(X3:X5,Y3:Y5)</f>
        <v>3.3888888888888893</v>
      </c>
      <c r="AI6" s="628">
        <f>SUM(AI3:AI5)</f>
        <v>0</v>
      </c>
      <c r="AJ6" s="628">
        <f>SUMPRODUCT(AI3:AI5,AJ3:AJ5)</f>
        <v>2.7777777777777786</v>
      </c>
    </row>
    <row r="7" spans="1:45" s="628" customFormat="1" ht="15.75" thickBot="1" x14ac:dyDescent="0.3">
      <c r="A7" s="632">
        <v>1</v>
      </c>
      <c r="B7" s="633" t="s">
        <v>96</v>
      </c>
      <c r="C7" s="629" t="s">
        <v>95</v>
      </c>
      <c r="D7" s="629" t="s">
        <v>109</v>
      </c>
      <c r="E7" s="633">
        <v>13</v>
      </c>
      <c r="F7" s="629">
        <v>5</v>
      </c>
      <c r="G7" s="634">
        <v>10</v>
      </c>
      <c r="O7" s="628" t="s">
        <v>177</v>
      </c>
      <c r="P7" s="628">
        <f>DEVSQ(L4:L6)*(Q7+1)*(Q8+1)</f>
        <v>36.074074074074076</v>
      </c>
      <c r="Q7" s="628">
        <f>Q5</f>
        <v>2</v>
      </c>
      <c r="R7" s="628">
        <f t="shared" si="0"/>
        <v>18.037037037037038</v>
      </c>
      <c r="S7" s="628">
        <f>R7/R9</f>
        <v>2.710575139146568</v>
      </c>
      <c r="T7" s="628">
        <f>FDIST(S7,Q7,Q9)</f>
        <v>9.3535949633576865E-2</v>
      </c>
      <c r="U7" s="538" t="str">
        <f>IF(T7&lt;T3,"yes","no")</f>
        <v>no</v>
      </c>
      <c r="AH7" s="628" t="s">
        <v>801</v>
      </c>
      <c r="AL7" s="538" t="s">
        <v>18</v>
      </c>
      <c r="AM7" s="538">
        <v>0.05</v>
      </c>
    </row>
    <row r="8" spans="1:45" s="628" customFormat="1" ht="16.5" thickTop="1" thickBot="1" x14ac:dyDescent="0.3">
      <c r="A8" s="632">
        <v>2</v>
      </c>
      <c r="B8" s="637" t="s">
        <v>95</v>
      </c>
      <c r="C8" s="51" t="s">
        <v>109</v>
      </c>
      <c r="D8" s="51" t="s">
        <v>96</v>
      </c>
      <c r="E8" s="637">
        <v>9</v>
      </c>
      <c r="F8" s="51">
        <v>4</v>
      </c>
      <c r="G8" s="638">
        <v>9</v>
      </c>
      <c r="O8" s="628" t="s">
        <v>1402</v>
      </c>
      <c r="P8" s="628">
        <f>DEVSQ(J4:J6)*(Q8+1)^2</f>
        <v>10.962962962962962</v>
      </c>
      <c r="Q8" s="628">
        <f>COUNT(J4:J6)-1</f>
        <v>2</v>
      </c>
      <c r="R8" s="628">
        <f t="shared" si="0"/>
        <v>5.481481481481481</v>
      </c>
      <c r="S8" s="628">
        <f>R8/R9</f>
        <v>0.82374768089053807</v>
      </c>
      <c r="T8" s="628">
        <f>FDIST(S8,Q8,Q9)</f>
        <v>0.4546610930031918</v>
      </c>
      <c r="U8" s="538" t="str">
        <f>IF(T8&lt;T3,"yes","no")</f>
        <v>no</v>
      </c>
      <c r="W8" s="628" t="s">
        <v>46</v>
      </c>
      <c r="AB8" s="628" t="s">
        <v>18</v>
      </c>
      <c r="AC8" s="628">
        <v>0.05</v>
      </c>
      <c r="AH8" s="635" t="s">
        <v>390</v>
      </c>
      <c r="AI8" s="635" t="s">
        <v>800</v>
      </c>
      <c r="AJ8" s="635" t="s">
        <v>41</v>
      </c>
      <c r="AK8" s="635" t="s">
        <v>166</v>
      </c>
      <c r="AL8" s="635" t="s">
        <v>15</v>
      </c>
      <c r="AM8" s="635" t="s">
        <v>16</v>
      </c>
      <c r="AN8" s="386" t="s">
        <v>48</v>
      </c>
      <c r="AO8" s="635" t="s">
        <v>75</v>
      </c>
      <c r="AP8" s="635" t="s">
        <v>45</v>
      </c>
    </row>
    <row r="9" spans="1:45" s="628" customFormat="1" ht="15.75" thickTop="1" x14ac:dyDescent="0.25">
      <c r="A9" s="632">
        <v>3</v>
      </c>
      <c r="B9" s="644" t="s">
        <v>109</v>
      </c>
      <c r="C9" s="640" t="s">
        <v>96</v>
      </c>
      <c r="D9" s="640" t="s">
        <v>95</v>
      </c>
      <c r="E9" s="644">
        <v>7</v>
      </c>
      <c r="F9" s="640">
        <v>14</v>
      </c>
      <c r="G9" s="645">
        <v>11</v>
      </c>
      <c r="O9" s="628" t="s">
        <v>176</v>
      </c>
      <c r="P9" s="628">
        <f>P10-SUM(P5:P8)</f>
        <v>119.77777777777777</v>
      </c>
      <c r="Q9" s="628">
        <f>Q10-SUM(Q5:Q8)</f>
        <v>18</v>
      </c>
      <c r="R9" s="628">
        <f t="shared" si="0"/>
        <v>6.6543209876543203</v>
      </c>
      <c r="W9" s="635" t="s">
        <v>390</v>
      </c>
      <c r="X9" s="635" t="s">
        <v>60</v>
      </c>
      <c r="Y9" s="635" t="s">
        <v>41</v>
      </c>
      <c r="Z9" s="635" t="s">
        <v>48</v>
      </c>
      <c r="AA9" s="635" t="s">
        <v>49</v>
      </c>
      <c r="AB9" s="635" t="s">
        <v>15</v>
      </c>
      <c r="AC9" s="635" t="s">
        <v>16</v>
      </c>
      <c r="AD9" s="635" t="s">
        <v>164</v>
      </c>
      <c r="AE9" s="635" t="s">
        <v>45</v>
      </c>
      <c r="AF9" s="635" t="s">
        <v>399</v>
      </c>
      <c r="AH9" s="663">
        <f>SQRT(R9/((Q5+1)*(Q6+1)))</f>
        <v>0.85986568638843697</v>
      </c>
      <c r="AI9" s="661">
        <f>AJ6/AH9</f>
        <v>3.2304786919046111</v>
      </c>
      <c r="AJ9" s="661">
        <f>Q9</f>
        <v>18</v>
      </c>
      <c r="AK9" s="661" t="e">
        <f ca="1">QCRIT(COUNTA(AH3:AH5),AJ9,AM7,2)</f>
        <v>#NAME?</v>
      </c>
      <c r="AL9" s="661" t="e">
        <f ca="1">AJ6-AH9*AK9</f>
        <v>#NAME?</v>
      </c>
      <c r="AM9" s="661" t="e">
        <f ca="1">AJ6+AH9*AK9</f>
        <v>#NAME?</v>
      </c>
      <c r="AN9" s="663" t="e">
        <f ca="1">QDIST(ABS(AI9),COUNTA(AH3:AH5),AJ9)</f>
        <v>#NAME?</v>
      </c>
      <c r="AO9" s="661" t="e">
        <f ca="1">AH9*AK9</f>
        <v>#NAME?</v>
      </c>
      <c r="AP9" s="663">
        <f>ABS(AJ6)/SQRT(R9)</f>
        <v>1.0768262306348704</v>
      </c>
    </row>
    <row r="10" spans="1:45" s="628" customFormat="1" x14ac:dyDescent="0.25">
      <c r="A10" s="632">
        <v>1</v>
      </c>
      <c r="B10" s="637" t="s">
        <v>95</v>
      </c>
      <c r="C10" s="51" t="s">
        <v>109</v>
      </c>
      <c r="D10" s="51" t="s">
        <v>96</v>
      </c>
      <c r="E10" s="637">
        <v>15</v>
      </c>
      <c r="F10" s="51">
        <v>9</v>
      </c>
      <c r="G10" s="638">
        <v>13</v>
      </c>
      <c r="O10" s="631" t="s">
        <v>1</v>
      </c>
      <c r="P10" s="631">
        <f>DEVSQ(E4:G12)</f>
        <v>314.07407407407408</v>
      </c>
      <c r="Q10" s="631">
        <f>COUNT(E4:G12)-1</f>
        <v>26</v>
      </c>
      <c r="R10" s="631">
        <f t="shared" si="0"/>
        <v>12.079772079772081</v>
      </c>
      <c r="S10" s="631"/>
      <c r="T10" s="631"/>
      <c r="U10" s="631"/>
      <c r="W10" s="661">
        <f>SQRT(R9*SUMSQ(X3:X5)/((Q5+1)*(Q6+1)))</f>
        <v>1.0531160894898466</v>
      </c>
      <c r="X10" s="661">
        <f>Y6/W10</f>
        <v>3.217963264173985</v>
      </c>
      <c r="Y10" s="661">
        <f>Q9</f>
        <v>18</v>
      </c>
      <c r="Z10" s="661">
        <f>TDIST(ABS(X10),Y10,2)</f>
        <v>4.7702713444299659E-3</v>
      </c>
      <c r="AA10" s="661">
        <f>TINV(AC8,Y10)</f>
        <v>2.1009220402410378</v>
      </c>
      <c r="AB10" s="661">
        <f>Y6-W10*AA10</f>
        <v>1.1763740855472173</v>
      </c>
      <c r="AC10" s="661">
        <f>Y6+W10*AA10</f>
        <v>5.6014036922305612</v>
      </c>
      <c r="AD10" s="662" t="str">
        <f>IF(Z10&lt;AC8,"yes","no")</f>
        <v>yes</v>
      </c>
      <c r="AE10" s="663">
        <f>ABS(Y6)/SQRT(R9)</f>
        <v>1.3137280013745416</v>
      </c>
      <c r="AF10" s="661">
        <f>SQRT(X10^2/(X10^2+Y10))</f>
        <v>0.60431594575409697</v>
      </c>
    </row>
    <row r="11" spans="1:45" s="628" customFormat="1" x14ac:dyDescent="0.25">
      <c r="A11" s="632">
        <v>2</v>
      </c>
      <c r="B11" s="637" t="s">
        <v>109</v>
      </c>
      <c r="C11" s="51" t="s">
        <v>96</v>
      </c>
      <c r="D11" s="51" t="s">
        <v>95</v>
      </c>
      <c r="E11" s="637">
        <v>7</v>
      </c>
      <c r="F11" s="51">
        <v>11</v>
      </c>
      <c r="G11" s="638">
        <v>9</v>
      </c>
    </row>
    <row r="12" spans="1:45" s="628" customFormat="1" x14ac:dyDescent="0.25">
      <c r="A12" s="632">
        <v>3</v>
      </c>
      <c r="B12" s="644" t="s">
        <v>96</v>
      </c>
      <c r="C12" s="640" t="s">
        <v>95</v>
      </c>
      <c r="D12" s="640" t="s">
        <v>109</v>
      </c>
      <c r="E12" s="644">
        <v>12</v>
      </c>
      <c r="F12" s="640">
        <v>3</v>
      </c>
      <c r="G12" s="645">
        <v>11</v>
      </c>
    </row>
    <row r="13" spans="1:45" s="628" customFormat="1" x14ac:dyDescent="0.25"/>
    <row r="14" spans="1:45" x14ac:dyDescent="0.25">
      <c r="J14" s="628"/>
      <c r="K14" s="628"/>
      <c r="L14" s="628"/>
      <c r="M14" s="628"/>
      <c r="N14" s="628"/>
      <c r="O14" s="628"/>
      <c r="P14" s="628"/>
      <c r="Q14" s="628"/>
      <c r="R14" s="628"/>
      <c r="S14" s="628"/>
      <c r="T14" s="628"/>
      <c r="U14" s="628"/>
      <c r="V14" s="628"/>
      <c r="W14" s="628"/>
      <c r="X14" s="628"/>
      <c r="Y14" s="628"/>
      <c r="Z14" s="628"/>
      <c r="AA14" s="628"/>
      <c r="AB14" s="628"/>
      <c r="AC14" s="628"/>
      <c r="AD14" s="628"/>
      <c r="AE14" s="628"/>
      <c r="AF14" s="628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</row>
    <row r="15" spans="1:45" x14ac:dyDescent="0.25">
      <c r="J15" s="628"/>
      <c r="K15" s="628"/>
      <c r="L15" s="628"/>
      <c r="M15" s="628"/>
      <c r="N15" s="628"/>
      <c r="O15" s="628"/>
      <c r="P15" s="628"/>
      <c r="Q15" s="628"/>
      <c r="R15" s="628"/>
      <c r="S15" s="628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</row>
    <row r="16" spans="1:45" x14ac:dyDescent="0.25">
      <c r="J16" s="628"/>
      <c r="K16" s="628"/>
      <c r="L16" s="628"/>
      <c r="M16" s="628"/>
      <c r="N16" s="628"/>
      <c r="O16" s="628"/>
      <c r="P16" s="628"/>
      <c r="Q16" s="628"/>
      <c r="R16" s="628"/>
      <c r="S16" s="628"/>
      <c r="T16" s="628"/>
      <c r="U16" s="628"/>
      <c r="V16" s="628"/>
      <c r="W16" s="628"/>
      <c r="X16" s="628"/>
      <c r="Y16" s="628"/>
      <c r="Z16" s="628"/>
      <c r="AA16" s="628"/>
      <c r="AB16" s="628"/>
      <c r="AC16" s="628"/>
      <c r="AD16" s="628"/>
      <c r="AE16" s="628"/>
      <c r="AF16" s="628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</row>
    <row r="17" spans="10:45" x14ac:dyDescent="0.25">
      <c r="J17" s="628"/>
      <c r="K17" s="628"/>
      <c r="L17" s="628"/>
      <c r="M17" s="628"/>
      <c r="N17" s="628"/>
      <c r="O17" s="628"/>
      <c r="P17" s="628"/>
      <c r="Q17" s="628"/>
      <c r="R17" s="628"/>
      <c r="S17" s="628"/>
      <c r="T17" s="628"/>
      <c r="U17" s="628"/>
      <c r="V17" s="628"/>
      <c r="W17" s="628"/>
      <c r="X17" s="628"/>
      <c r="Y17" s="628"/>
      <c r="Z17" s="628"/>
      <c r="AA17" s="628"/>
      <c r="AB17" s="628"/>
      <c r="AC17" s="628"/>
      <c r="AD17" s="628"/>
      <c r="AE17" s="628"/>
      <c r="AF17" s="628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</row>
    <row r="18" spans="10:45" x14ac:dyDescent="0.25"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8"/>
      <c r="U18" s="628"/>
      <c r="V18" s="628"/>
      <c r="W18" s="628"/>
      <c r="X18" s="628"/>
      <c r="Y18" s="628"/>
      <c r="Z18" s="628"/>
      <c r="AA18" s="628"/>
      <c r="AB18" s="628"/>
      <c r="AC18" s="628"/>
      <c r="AD18" s="628"/>
      <c r="AE18" s="628"/>
      <c r="AF18" s="628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</row>
    <row r="19" spans="10:45" x14ac:dyDescent="0.25">
      <c r="J19" s="628"/>
      <c r="K19" s="628"/>
      <c r="L19" s="628"/>
      <c r="M19" s="628"/>
      <c r="N19" s="628"/>
      <c r="O19" s="628"/>
      <c r="P19" s="628"/>
      <c r="Q19" s="628"/>
      <c r="R19" s="628"/>
      <c r="S19" s="628"/>
      <c r="T19" s="628"/>
      <c r="U19" s="628"/>
      <c r="V19" s="628"/>
      <c r="W19" s="628"/>
      <c r="X19" s="628"/>
      <c r="Y19" s="628"/>
      <c r="Z19" s="628"/>
      <c r="AA19" s="628"/>
      <c r="AB19" s="628"/>
      <c r="AC19" s="628"/>
      <c r="AD19" s="628"/>
      <c r="AE19" s="628"/>
      <c r="AF19" s="628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</row>
    <row r="20" spans="10:45" x14ac:dyDescent="0.25"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628"/>
      <c r="X20" s="628"/>
      <c r="Y20" s="628"/>
      <c r="Z20" s="628"/>
      <c r="AA20" s="628"/>
      <c r="AB20" s="628"/>
      <c r="AC20" s="628"/>
      <c r="AD20" s="628"/>
      <c r="AE20" s="628"/>
      <c r="AF20" s="628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</row>
    <row r="21" spans="10:45" x14ac:dyDescent="0.25">
      <c r="J21" s="628"/>
      <c r="K21" s="628"/>
      <c r="L21" s="628"/>
      <c r="M21" s="628"/>
      <c r="N21" s="628"/>
      <c r="O21" s="628"/>
      <c r="P21" s="628"/>
      <c r="Q21" s="628"/>
      <c r="R21" s="628"/>
      <c r="S21" s="628"/>
      <c r="T21" s="628"/>
      <c r="U21" s="628"/>
      <c r="V21" s="628"/>
      <c r="W21" s="628"/>
      <c r="X21" s="628"/>
      <c r="Y21" s="628"/>
      <c r="Z21" s="628"/>
      <c r="AA21" s="628"/>
      <c r="AB21" s="628"/>
      <c r="AC21" s="628"/>
      <c r="AD21" s="628"/>
      <c r="AE21" s="628"/>
      <c r="AF21" s="628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</row>
    <row r="22" spans="10:45" x14ac:dyDescent="0.25">
      <c r="J22" s="628"/>
      <c r="K22" s="628"/>
      <c r="L22" s="628"/>
      <c r="M22" s="628"/>
      <c r="N22" s="628"/>
      <c r="O22" s="628"/>
      <c r="P22" s="628"/>
      <c r="Q22" s="628"/>
      <c r="R22" s="628"/>
      <c r="S22" s="628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</row>
    <row r="23" spans="10:45" x14ac:dyDescent="0.25"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M34"/>
  <sheetViews>
    <sheetView workbookViewId="0"/>
  </sheetViews>
  <sheetFormatPr defaultRowHeight="15" x14ac:dyDescent="0.25"/>
  <cols>
    <col min="7" max="7" width="18" customWidth="1"/>
  </cols>
  <sheetData>
    <row r="1" spans="1:11" x14ac:dyDescent="0.25">
      <c r="A1" s="1" t="s">
        <v>496</v>
      </c>
    </row>
    <row r="3" spans="1:11" x14ac:dyDescent="0.25">
      <c r="A3" s="128" t="s">
        <v>39</v>
      </c>
      <c r="B3" s="128" t="s">
        <v>59</v>
      </c>
      <c r="C3" s="128" t="s">
        <v>372</v>
      </c>
      <c r="D3" s="128" t="s">
        <v>373</v>
      </c>
      <c r="E3" s="128" t="s">
        <v>374</v>
      </c>
      <c r="G3" t="s">
        <v>175</v>
      </c>
    </row>
    <row r="4" spans="1:11" ht="15.75" thickBot="1" x14ac:dyDescent="0.3">
      <c r="A4" s="128">
        <v>1</v>
      </c>
      <c r="B4" s="180">
        <v>16</v>
      </c>
      <c r="C4" s="181">
        <v>22</v>
      </c>
      <c r="D4" s="181">
        <v>23</v>
      </c>
      <c r="E4" s="184">
        <v>25</v>
      </c>
    </row>
    <row r="5" spans="1:11" x14ac:dyDescent="0.25">
      <c r="A5" s="128">
        <f>A4+1</f>
        <v>2</v>
      </c>
      <c r="B5" s="182">
        <v>12</v>
      </c>
      <c r="C5" s="38">
        <v>18</v>
      </c>
      <c r="D5" s="38">
        <v>24</v>
      </c>
      <c r="E5" s="30">
        <v>29</v>
      </c>
      <c r="G5" s="167" t="s">
        <v>43</v>
      </c>
      <c r="H5" s="167" t="s">
        <v>12</v>
      </c>
      <c r="I5" s="167" t="s">
        <v>11</v>
      </c>
      <c r="J5" s="167" t="s">
        <v>159</v>
      </c>
      <c r="K5" s="167" t="s">
        <v>54</v>
      </c>
    </row>
    <row r="6" spans="1:11" x14ac:dyDescent="0.25">
      <c r="A6" s="128">
        <f t="shared" ref="A6:A18" si="0">A5+1</f>
        <v>3</v>
      </c>
      <c r="B6" s="182">
        <v>23</v>
      </c>
      <c r="C6" s="38">
        <v>24</v>
      </c>
      <c r="D6" s="38">
        <v>26</v>
      </c>
      <c r="E6" s="30">
        <v>27</v>
      </c>
      <c r="G6" s="16">
        <v>1</v>
      </c>
      <c r="H6" s="16">
        <v>4</v>
      </c>
      <c r="I6" s="16">
        <v>86</v>
      </c>
      <c r="J6" s="16">
        <v>21.5</v>
      </c>
      <c r="K6" s="16">
        <v>15</v>
      </c>
    </row>
    <row r="7" spans="1:11" x14ac:dyDescent="0.25">
      <c r="A7" s="128">
        <f t="shared" si="0"/>
        <v>4</v>
      </c>
      <c r="B7" s="182">
        <v>8</v>
      </c>
      <c r="C7" s="38">
        <v>20</v>
      </c>
      <c r="D7" s="38">
        <v>28</v>
      </c>
      <c r="E7" s="30">
        <v>30</v>
      </c>
      <c r="G7" s="16">
        <v>2</v>
      </c>
      <c r="H7" s="16">
        <v>4</v>
      </c>
      <c r="I7" s="16">
        <v>83</v>
      </c>
      <c r="J7" s="16">
        <v>20.75</v>
      </c>
      <c r="K7" s="16">
        <v>54.25</v>
      </c>
    </row>
    <row r="8" spans="1:11" x14ac:dyDescent="0.25">
      <c r="A8" s="128">
        <f t="shared" si="0"/>
        <v>5</v>
      </c>
      <c r="B8" s="182">
        <v>3</v>
      </c>
      <c r="C8" s="38">
        <v>12</v>
      </c>
      <c r="D8" s="38">
        <v>13</v>
      </c>
      <c r="E8" s="30">
        <v>17</v>
      </c>
      <c r="G8" s="16">
        <v>3</v>
      </c>
      <c r="H8" s="16">
        <v>4</v>
      </c>
      <c r="I8" s="16">
        <v>100</v>
      </c>
      <c r="J8" s="16">
        <v>25</v>
      </c>
      <c r="K8" s="16">
        <v>3.3333333333333335</v>
      </c>
    </row>
    <row r="9" spans="1:11" x14ac:dyDescent="0.25">
      <c r="A9" s="128">
        <f t="shared" si="0"/>
        <v>6</v>
      </c>
      <c r="B9" s="182">
        <v>5</v>
      </c>
      <c r="C9" s="38">
        <v>13</v>
      </c>
      <c r="D9" s="38">
        <v>11</v>
      </c>
      <c r="E9" s="30">
        <v>15</v>
      </c>
      <c r="G9" s="16">
        <v>4</v>
      </c>
      <c r="H9" s="16">
        <v>4</v>
      </c>
      <c r="I9" s="16">
        <v>86</v>
      </c>
      <c r="J9" s="16">
        <v>21.5</v>
      </c>
      <c r="K9" s="16">
        <v>99.666666666666671</v>
      </c>
    </row>
    <row r="10" spans="1:11" x14ac:dyDescent="0.25">
      <c r="A10" s="128">
        <f t="shared" si="0"/>
        <v>7</v>
      </c>
      <c r="B10" s="182">
        <v>19</v>
      </c>
      <c r="C10" s="38">
        <v>22</v>
      </c>
      <c r="D10" s="38">
        <v>25</v>
      </c>
      <c r="E10" s="30">
        <v>26</v>
      </c>
      <c r="G10" s="16">
        <v>5</v>
      </c>
      <c r="H10" s="16">
        <v>4</v>
      </c>
      <c r="I10" s="16">
        <v>45</v>
      </c>
      <c r="J10" s="16">
        <v>11.25</v>
      </c>
      <c r="K10" s="16">
        <v>34.916666666666664</v>
      </c>
    </row>
    <row r="11" spans="1:11" x14ac:dyDescent="0.25">
      <c r="A11" s="128">
        <f t="shared" si="0"/>
        <v>8</v>
      </c>
      <c r="B11" s="182">
        <v>22</v>
      </c>
      <c r="C11" s="38">
        <v>22</v>
      </c>
      <c r="D11" s="38">
        <v>23</v>
      </c>
      <c r="E11" s="30">
        <v>26</v>
      </c>
      <c r="G11" s="16">
        <v>6</v>
      </c>
      <c r="H11" s="16">
        <v>4</v>
      </c>
      <c r="I11" s="16">
        <v>44</v>
      </c>
      <c r="J11" s="16">
        <v>11</v>
      </c>
      <c r="K11" s="16">
        <v>18.666666666666668</v>
      </c>
    </row>
    <row r="12" spans="1:11" x14ac:dyDescent="0.25">
      <c r="A12" s="128">
        <f t="shared" si="0"/>
        <v>9</v>
      </c>
      <c r="B12" s="182">
        <v>12</v>
      </c>
      <c r="C12" s="38">
        <v>20</v>
      </c>
      <c r="D12" s="38">
        <v>22</v>
      </c>
      <c r="E12" s="30">
        <v>24</v>
      </c>
      <c r="G12" s="16">
        <v>7</v>
      </c>
      <c r="H12" s="16">
        <v>4</v>
      </c>
      <c r="I12" s="16">
        <v>92</v>
      </c>
      <c r="J12" s="16">
        <v>23</v>
      </c>
      <c r="K12" s="16">
        <v>10</v>
      </c>
    </row>
    <row r="13" spans="1:11" x14ac:dyDescent="0.25">
      <c r="A13" s="128">
        <f t="shared" si="0"/>
        <v>10</v>
      </c>
      <c r="B13" s="182">
        <v>16</v>
      </c>
      <c r="C13" s="38">
        <v>22</v>
      </c>
      <c r="D13" s="38">
        <v>26</v>
      </c>
      <c r="E13" s="30">
        <v>29</v>
      </c>
      <c r="G13" s="16">
        <v>8</v>
      </c>
      <c r="H13" s="16">
        <v>4</v>
      </c>
      <c r="I13" s="16">
        <v>93</v>
      </c>
      <c r="J13" s="16">
        <v>23.25</v>
      </c>
      <c r="K13" s="16">
        <v>3.5833333333333335</v>
      </c>
    </row>
    <row r="14" spans="1:11" x14ac:dyDescent="0.25">
      <c r="A14" s="128">
        <f t="shared" si="0"/>
        <v>11</v>
      </c>
      <c r="B14" s="182">
        <v>14</v>
      </c>
      <c r="C14" s="38">
        <v>25</v>
      </c>
      <c r="D14" s="38">
        <v>18</v>
      </c>
      <c r="E14" s="30">
        <v>21</v>
      </c>
      <c r="G14" s="16">
        <v>9</v>
      </c>
      <c r="H14" s="16">
        <v>4</v>
      </c>
      <c r="I14" s="16">
        <v>78</v>
      </c>
      <c r="J14" s="16">
        <v>19.5</v>
      </c>
      <c r="K14" s="16">
        <v>27.666666666666668</v>
      </c>
    </row>
    <row r="15" spans="1:11" x14ac:dyDescent="0.25">
      <c r="A15" s="128">
        <f t="shared" si="0"/>
        <v>12</v>
      </c>
      <c r="B15" s="182">
        <v>24</v>
      </c>
      <c r="C15" s="38">
        <v>26</v>
      </c>
      <c r="D15" s="38">
        <v>21</v>
      </c>
      <c r="E15" s="30">
        <v>23</v>
      </c>
      <c r="G15" s="16">
        <v>10</v>
      </c>
      <c r="H15" s="16">
        <v>4</v>
      </c>
      <c r="I15" s="16">
        <v>93</v>
      </c>
      <c r="J15" s="16">
        <v>23.25</v>
      </c>
      <c r="K15" s="16">
        <v>31.583333333333332</v>
      </c>
    </row>
    <row r="16" spans="1:11" x14ac:dyDescent="0.25">
      <c r="A16" s="128">
        <f t="shared" si="0"/>
        <v>13</v>
      </c>
      <c r="B16" s="182">
        <v>9</v>
      </c>
      <c r="C16" s="38">
        <v>12</v>
      </c>
      <c r="D16" s="38">
        <v>20</v>
      </c>
      <c r="E16" s="30">
        <v>23</v>
      </c>
      <c r="G16" s="16">
        <v>11</v>
      </c>
      <c r="H16" s="16">
        <v>4</v>
      </c>
      <c r="I16" s="16">
        <v>78</v>
      </c>
      <c r="J16" s="16">
        <v>19.5</v>
      </c>
      <c r="K16" s="16">
        <v>21.666666666666668</v>
      </c>
    </row>
    <row r="17" spans="1:13" x14ac:dyDescent="0.25">
      <c r="A17" s="128">
        <f t="shared" si="0"/>
        <v>14</v>
      </c>
      <c r="B17" s="182">
        <v>3</v>
      </c>
      <c r="C17" s="38">
        <v>9</v>
      </c>
      <c r="D17" s="38">
        <v>13</v>
      </c>
      <c r="E17" s="30">
        <v>16</v>
      </c>
      <c r="G17" s="16">
        <v>12</v>
      </c>
      <c r="H17" s="16">
        <v>4</v>
      </c>
      <c r="I17" s="16">
        <v>94</v>
      </c>
      <c r="J17" s="16">
        <v>23.5</v>
      </c>
      <c r="K17" s="16">
        <v>4.333333333333333</v>
      </c>
    </row>
    <row r="18" spans="1:13" x14ac:dyDescent="0.25">
      <c r="A18" s="128">
        <f t="shared" si="0"/>
        <v>15</v>
      </c>
      <c r="B18" s="170">
        <v>2</v>
      </c>
      <c r="C18" s="171">
        <v>8</v>
      </c>
      <c r="D18" s="171">
        <v>6</v>
      </c>
      <c r="E18" s="32">
        <v>10</v>
      </c>
      <c r="G18" s="16">
        <v>13</v>
      </c>
      <c r="H18" s="16">
        <v>4</v>
      </c>
      <c r="I18" s="16">
        <v>64</v>
      </c>
      <c r="J18" s="16">
        <v>16</v>
      </c>
      <c r="K18" s="16">
        <v>43.333333333333336</v>
      </c>
    </row>
    <row r="19" spans="1:13" x14ac:dyDescent="0.25">
      <c r="G19" s="16">
        <v>14</v>
      </c>
      <c r="H19" s="16">
        <v>4</v>
      </c>
      <c r="I19" s="16">
        <v>41</v>
      </c>
      <c r="J19" s="16">
        <v>10.25</v>
      </c>
      <c r="K19" s="16">
        <v>31.583333333333332</v>
      </c>
    </row>
    <row r="20" spans="1:13" x14ac:dyDescent="0.25">
      <c r="G20" s="16">
        <v>15</v>
      </c>
      <c r="H20" s="16">
        <v>4</v>
      </c>
      <c r="I20" s="16">
        <v>26</v>
      </c>
      <c r="J20" s="16">
        <v>6.5</v>
      </c>
      <c r="K20" s="16">
        <v>11.666666666666666</v>
      </c>
    </row>
    <row r="21" spans="1:13" x14ac:dyDescent="0.25">
      <c r="G21" s="16"/>
      <c r="H21" s="16"/>
      <c r="I21" s="16"/>
      <c r="J21" s="16"/>
      <c r="K21" s="16"/>
    </row>
    <row r="22" spans="1:13" x14ac:dyDescent="0.25">
      <c r="G22" s="16" t="s">
        <v>59</v>
      </c>
      <c r="H22" s="16">
        <v>15</v>
      </c>
      <c r="I22" s="16">
        <v>188</v>
      </c>
      <c r="J22" s="16">
        <v>12.533333333333333</v>
      </c>
      <c r="K22" s="16">
        <v>55.838095238095221</v>
      </c>
    </row>
    <row r="23" spans="1:13" x14ac:dyDescent="0.25">
      <c r="G23" s="16" t="s">
        <v>372</v>
      </c>
      <c r="H23" s="16">
        <v>15</v>
      </c>
      <c r="I23" s="16">
        <v>275</v>
      </c>
      <c r="J23" s="16">
        <v>18.333333333333332</v>
      </c>
      <c r="K23" s="16">
        <v>35.523809523809504</v>
      </c>
    </row>
    <row r="24" spans="1:13" x14ac:dyDescent="0.25">
      <c r="G24" s="16" t="s">
        <v>373</v>
      </c>
      <c r="H24" s="16">
        <v>15</v>
      </c>
      <c r="I24" s="16">
        <v>299</v>
      </c>
      <c r="J24" s="16">
        <v>19.933333333333334</v>
      </c>
      <c r="K24" s="16">
        <v>41.352380952380955</v>
      </c>
    </row>
    <row r="25" spans="1:13" ht="15.75" thickBot="1" x14ac:dyDescent="0.3">
      <c r="G25" s="17" t="s">
        <v>374</v>
      </c>
      <c r="H25" s="17">
        <v>15</v>
      </c>
      <c r="I25" s="17">
        <v>341</v>
      </c>
      <c r="J25" s="17">
        <v>22.733333333333334</v>
      </c>
      <c r="K25" s="17">
        <v>34.352380952380955</v>
      </c>
    </row>
    <row r="28" spans="1:13" ht="15.75" thickBot="1" x14ac:dyDescent="0.3">
      <c r="G28" t="s">
        <v>125</v>
      </c>
    </row>
    <row r="29" spans="1:13" x14ac:dyDescent="0.25">
      <c r="G29" s="167" t="s">
        <v>160</v>
      </c>
      <c r="H29" s="167" t="s">
        <v>111</v>
      </c>
      <c r="I29" s="167" t="s">
        <v>41</v>
      </c>
      <c r="J29" s="167" t="s">
        <v>115</v>
      </c>
      <c r="K29" s="167" t="s">
        <v>98</v>
      </c>
      <c r="L29" s="167" t="s">
        <v>83</v>
      </c>
      <c r="M29" s="167" t="s">
        <v>161</v>
      </c>
    </row>
    <row r="30" spans="1:13" x14ac:dyDescent="0.25">
      <c r="G30" s="16" t="s">
        <v>99</v>
      </c>
      <c r="H30" s="16">
        <v>1938.4333333333334</v>
      </c>
      <c r="I30" s="16">
        <v>14</v>
      </c>
      <c r="J30" s="16">
        <v>138.4595238095238</v>
      </c>
      <c r="K30" s="16">
        <v>14.520099875156053</v>
      </c>
      <c r="L30" s="16">
        <v>8.1670607503920066E-12</v>
      </c>
      <c r="M30" s="16">
        <v>1.9350088132446253</v>
      </c>
    </row>
    <row r="31" spans="1:13" x14ac:dyDescent="0.25">
      <c r="G31" s="16" t="s">
        <v>177</v>
      </c>
      <c r="H31" s="16">
        <v>833.25</v>
      </c>
      <c r="I31" s="16">
        <v>3</v>
      </c>
      <c r="J31" s="16">
        <v>277.75</v>
      </c>
      <c r="K31" s="16">
        <v>29.127340823970034</v>
      </c>
      <c r="L31" s="16">
        <v>2.39621816316698E-10</v>
      </c>
      <c r="M31" s="16">
        <v>2.8270487120861261</v>
      </c>
    </row>
    <row r="32" spans="1:13" x14ac:dyDescent="0.25">
      <c r="G32" s="16" t="s">
        <v>176</v>
      </c>
      <c r="H32" s="16">
        <v>400.5</v>
      </c>
      <c r="I32" s="16">
        <v>42</v>
      </c>
      <c r="J32" s="16">
        <v>9.5357142857142865</v>
      </c>
      <c r="K32" s="16"/>
      <c r="L32" s="16"/>
      <c r="M32" s="16"/>
    </row>
    <row r="33" spans="7:13" x14ac:dyDescent="0.25">
      <c r="G33" s="16"/>
      <c r="H33" s="16"/>
      <c r="I33" s="16"/>
      <c r="J33" s="16"/>
      <c r="K33" s="16"/>
      <c r="L33" s="16"/>
      <c r="M33" s="16"/>
    </row>
    <row r="34" spans="7:13" ht="15.75" thickBot="1" x14ac:dyDescent="0.3">
      <c r="G34" s="17" t="s">
        <v>1</v>
      </c>
      <c r="H34" s="17">
        <v>3172.1833333333334</v>
      </c>
      <c r="I34" s="17">
        <v>59</v>
      </c>
      <c r="J34" s="17"/>
      <c r="K34" s="17"/>
      <c r="L34" s="17"/>
      <c r="M34" s="17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G26"/>
  <sheetViews>
    <sheetView zoomScaleNormal="100" workbookViewId="0"/>
  </sheetViews>
  <sheetFormatPr defaultRowHeight="15" x14ac:dyDescent="0.25"/>
  <cols>
    <col min="1" max="1" width="9.85546875" customWidth="1"/>
    <col min="5" max="5" width="9.140625" customWidth="1"/>
  </cols>
  <sheetData>
    <row r="1" spans="1:6" x14ac:dyDescent="0.25">
      <c r="A1" s="1" t="s">
        <v>388</v>
      </c>
    </row>
    <row r="3" spans="1:6" x14ac:dyDescent="0.25">
      <c r="A3" s="190" t="s">
        <v>39</v>
      </c>
      <c r="B3" s="190" t="s">
        <v>59</v>
      </c>
      <c r="C3" s="190" t="s">
        <v>372</v>
      </c>
      <c r="D3" s="190" t="s">
        <v>373</v>
      </c>
      <c r="E3" s="190" t="s">
        <v>374</v>
      </c>
    </row>
    <row r="4" spans="1:6" x14ac:dyDescent="0.25">
      <c r="A4" s="190" t="s">
        <v>168</v>
      </c>
      <c r="B4" s="195">
        <v>1</v>
      </c>
      <c r="C4" s="196">
        <f>-1/3</f>
        <v>-0.33333333333333331</v>
      </c>
      <c r="D4" s="196">
        <f>-1/3</f>
        <v>-0.33333333333333331</v>
      </c>
      <c r="E4" s="197">
        <f>-1/3</f>
        <v>-0.33333333333333331</v>
      </c>
      <c r="F4" s="198" t="s">
        <v>389</v>
      </c>
    </row>
    <row r="5" spans="1:6" x14ac:dyDescent="0.25">
      <c r="A5" s="190">
        <v>1</v>
      </c>
      <c r="B5" s="199">
        <v>16</v>
      </c>
      <c r="C5" s="200">
        <v>22</v>
      </c>
      <c r="D5" s="200">
        <v>23</v>
      </c>
      <c r="E5" s="201">
        <v>25</v>
      </c>
      <c r="F5" s="185">
        <f>SUMPRODUCT($B$4:$E$4,B5:E5)</f>
        <v>-7.3333333333333304</v>
      </c>
    </row>
    <row r="6" spans="1:6" x14ac:dyDescent="0.25">
      <c r="A6" s="190">
        <f>A5+1</f>
        <v>2</v>
      </c>
      <c r="B6" s="182">
        <v>12</v>
      </c>
      <c r="C6" s="38">
        <v>18</v>
      </c>
      <c r="D6" s="38">
        <v>24</v>
      </c>
      <c r="E6" s="176">
        <v>29</v>
      </c>
      <c r="F6" s="185">
        <f t="shared" ref="F6:F19" si="0">SUMPRODUCT($B$4:$E$4,B6:E6)</f>
        <v>-11.666666666666666</v>
      </c>
    </row>
    <row r="7" spans="1:6" x14ac:dyDescent="0.25">
      <c r="A7" s="190">
        <f t="shared" ref="A7:A19" si="1">A6+1</f>
        <v>3</v>
      </c>
      <c r="B7" s="182">
        <v>23</v>
      </c>
      <c r="C7" s="38">
        <v>24</v>
      </c>
      <c r="D7" s="38">
        <v>26</v>
      </c>
      <c r="E7" s="176">
        <v>27</v>
      </c>
      <c r="F7" s="185">
        <f t="shared" si="0"/>
        <v>-2.6666666666666661</v>
      </c>
    </row>
    <row r="8" spans="1:6" x14ac:dyDescent="0.25">
      <c r="A8" s="190">
        <f t="shared" si="1"/>
        <v>4</v>
      </c>
      <c r="B8" s="182">
        <v>8</v>
      </c>
      <c r="C8" s="38">
        <v>20</v>
      </c>
      <c r="D8" s="38">
        <v>28</v>
      </c>
      <c r="E8" s="176">
        <v>30</v>
      </c>
      <c r="F8" s="185">
        <f t="shared" si="0"/>
        <v>-18</v>
      </c>
    </row>
    <row r="9" spans="1:6" x14ac:dyDescent="0.25">
      <c r="A9" s="190">
        <f t="shared" si="1"/>
        <v>5</v>
      </c>
      <c r="B9" s="182">
        <v>3</v>
      </c>
      <c r="C9" s="38">
        <v>12</v>
      </c>
      <c r="D9" s="38">
        <v>13</v>
      </c>
      <c r="E9" s="176">
        <v>17</v>
      </c>
      <c r="F9" s="185">
        <f t="shared" si="0"/>
        <v>-11</v>
      </c>
    </row>
    <row r="10" spans="1:6" x14ac:dyDescent="0.25">
      <c r="A10" s="190">
        <f t="shared" si="1"/>
        <v>6</v>
      </c>
      <c r="B10" s="182">
        <v>5</v>
      </c>
      <c r="C10" s="38">
        <v>13</v>
      </c>
      <c r="D10" s="38">
        <v>11</v>
      </c>
      <c r="E10" s="176">
        <v>15</v>
      </c>
      <c r="F10" s="185">
        <f t="shared" si="0"/>
        <v>-8</v>
      </c>
    </row>
    <row r="11" spans="1:6" x14ac:dyDescent="0.25">
      <c r="A11" s="190">
        <f t="shared" si="1"/>
        <v>7</v>
      </c>
      <c r="B11" s="182">
        <v>19</v>
      </c>
      <c r="C11" s="38">
        <v>22</v>
      </c>
      <c r="D11" s="38">
        <v>25</v>
      </c>
      <c r="E11" s="176">
        <v>26</v>
      </c>
      <c r="F11" s="185">
        <f t="shared" si="0"/>
        <v>-5.3333333333333304</v>
      </c>
    </row>
    <row r="12" spans="1:6" x14ac:dyDescent="0.25">
      <c r="A12" s="190">
        <f t="shared" si="1"/>
        <v>8</v>
      </c>
      <c r="B12" s="182">
        <v>22</v>
      </c>
      <c r="C12" s="38">
        <v>22</v>
      </c>
      <c r="D12" s="38">
        <v>23</v>
      </c>
      <c r="E12" s="176">
        <v>26</v>
      </c>
      <c r="F12" s="185">
        <f t="shared" si="0"/>
        <v>-1.6666666666666643</v>
      </c>
    </row>
    <row r="13" spans="1:6" x14ac:dyDescent="0.25">
      <c r="A13" s="190">
        <f t="shared" si="1"/>
        <v>9</v>
      </c>
      <c r="B13" s="182">
        <v>12</v>
      </c>
      <c r="C13" s="38">
        <v>20</v>
      </c>
      <c r="D13" s="38">
        <v>22</v>
      </c>
      <c r="E13" s="176">
        <v>24</v>
      </c>
      <c r="F13" s="185">
        <f t="shared" si="0"/>
        <v>-10</v>
      </c>
    </row>
    <row r="14" spans="1:6" x14ac:dyDescent="0.25">
      <c r="A14" s="190">
        <f t="shared" si="1"/>
        <v>10</v>
      </c>
      <c r="B14" s="182">
        <v>16</v>
      </c>
      <c r="C14" s="38">
        <v>22</v>
      </c>
      <c r="D14" s="38">
        <v>26</v>
      </c>
      <c r="E14" s="176">
        <v>29</v>
      </c>
      <c r="F14" s="185">
        <f t="shared" si="0"/>
        <v>-9.6666666666666643</v>
      </c>
    </row>
    <row r="15" spans="1:6" x14ac:dyDescent="0.25">
      <c r="A15" s="190">
        <f t="shared" si="1"/>
        <v>11</v>
      </c>
      <c r="B15" s="182">
        <v>14</v>
      </c>
      <c r="C15" s="38">
        <v>25</v>
      </c>
      <c r="D15" s="38">
        <v>18</v>
      </c>
      <c r="E15" s="176">
        <v>21</v>
      </c>
      <c r="F15" s="185">
        <f t="shared" si="0"/>
        <v>-7.3333333333333321</v>
      </c>
    </row>
    <row r="16" spans="1:6" x14ac:dyDescent="0.25">
      <c r="A16" s="190">
        <f t="shared" si="1"/>
        <v>12</v>
      </c>
      <c r="B16" s="182">
        <v>24</v>
      </c>
      <c r="C16" s="38">
        <v>26</v>
      </c>
      <c r="D16" s="38">
        <v>21</v>
      </c>
      <c r="E16" s="176">
        <v>23</v>
      </c>
      <c r="F16" s="185">
        <f t="shared" si="0"/>
        <v>0.66666666666666785</v>
      </c>
    </row>
    <row r="17" spans="1:7" x14ac:dyDescent="0.25">
      <c r="A17" s="190">
        <f t="shared" si="1"/>
        <v>13</v>
      </c>
      <c r="B17" s="182">
        <v>9</v>
      </c>
      <c r="C17" s="38">
        <v>12</v>
      </c>
      <c r="D17" s="38">
        <v>20</v>
      </c>
      <c r="E17" s="176">
        <v>23</v>
      </c>
      <c r="F17" s="185">
        <f t="shared" si="0"/>
        <v>-9.3333333333333321</v>
      </c>
    </row>
    <row r="18" spans="1:7" x14ac:dyDescent="0.25">
      <c r="A18" s="190">
        <f t="shared" si="1"/>
        <v>14</v>
      </c>
      <c r="B18" s="182">
        <v>3</v>
      </c>
      <c r="C18" s="38">
        <v>9</v>
      </c>
      <c r="D18" s="38">
        <v>13</v>
      </c>
      <c r="E18" s="176">
        <v>16</v>
      </c>
      <c r="F18" s="185">
        <f t="shared" si="0"/>
        <v>-9.6666666666666661</v>
      </c>
    </row>
    <row r="19" spans="1:7" x14ac:dyDescent="0.25">
      <c r="A19" s="190">
        <f t="shared" si="1"/>
        <v>15</v>
      </c>
      <c r="B19" s="170">
        <v>2</v>
      </c>
      <c r="C19" s="171">
        <v>8</v>
      </c>
      <c r="D19" s="171">
        <v>6</v>
      </c>
      <c r="E19" s="32">
        <v>10</v>
      </c>
      <c r="F19" s="123">
        <f t="shared" si="0"/>
        <v>-6</v>
      </c>
    </row>
    <row r="20" spans="1:7" x14ac:dyDescent="0.25">
      <c r="A20" s="190" t="s">
        <v>6</v>
      </c>
      <c r="F20" s="202">
        <f>AVERAGE(F5:F19)</f>
        <v>-7.799999999999998</v>
      </c>
    </row>
    <row r="21" spans="1:7" x14ac:dyDescent="0.25">
      <c r="A21" s="190" t="s">
        <v>52</v>
      </c>
      <c r="F21" s="185">
        <f>STDEV(F5:F19)</f>
        <v>4.5422181840754901</v>
      </c>
    </row>
    <row r="22" spans="1:7" x14ac:dyDescent="0.25">
      <c r="A22" s="190" t="s">
        <v>390</v>
      </c>
      <c r="F22" s="123">
        <f>F21/SQRT(COUNTA($A$5:$A$19))</f>
        <v>1.1727956921176579</v>
      </c>
    </row>
    <row r="24" spans="1:7" ht="15.75" thickBot="1" x14ac:dyDescent="0.3">
      <c r="A24" t="s">
        <v>163</v>
      </c>
    </row>
    <row r="25" spans="1:7" x14ac:dyDescent="0.25">
      <c r="A25" s="191" t="s">
        <v>6</v>
      </c>
      <c r="B25" s="191" t="s">
        <v>108</v>
      </c>
      <c r="C25" s="191" t="s">
        <v>391</v>
      </c>
      <c r="D25" s="191" t="s">
        <v>41</v>
      </c>
      <c r="E25" s="188" t="s">
        <v>48</v>
      </c>
      <c r="F25" s="188" t="s">
        <v>398</v>
      </c>
      <c r="G25" s="188" t="s">
        <v>399</v>
      </c>
    </row>
    <row r="26" spans="1:7" ht="15.75" thickBot="1" x14ac:dyDescent="0.3">
      <c r="A26" s="19">
        <f>F20</f>
        <v>-7.799999999999998</v>
      </c>
      <c r="B26" s="19">
        <f>F22</f>
        <v>1.1727956921176579</v>
      </c>
      <c r="C26" s="19">
        <f>A26/B26</f>
        <v>-6.6507747704256417</v>
      </c>
      <c r="D26" s="189">
        <f>A19-1</f>
        <v>14</v>
      </c>
      <c r="E26" s="19">
        <f>TDIST(ABS(C26),D26,2)</f>
        <v>1.0947447655714998E-5</v>
      </c>
      <c r="F26" s="19">
        <f>ABS(F20/F21)</f>
        <v>1.7172226616823312</v>
      </c>
      <c r="G26" s="19">
        <f>SQRT(C26^2/(C26^2+D26))</f>
        <v>0.87154212973269984</v>
      </c>
    </row>
  </sheetData>
  <pageMargins left="0.7" right="0.7" top="0.75" bottom="0.75" header="0.3" footer="0.3"/>
  <ignoredErrors>
    <ignoredError sqref="F5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AT48"/>
  <sheetViews>
    <sheetView workbookViewId="0"/>
  </sheetViews>
  <sheetFormatPr defaultRowHeight="15" x14ac:dyDescent="0.25"/>
  <cols>
    <col min="37" max="37" width="9.140625" customWidth="1"/>
    <col min="39" max="40" width="9.140625" customWidth="1"/>
    <col min="42" max="42" width="6.5703125" customWidth="1"/>
    <col min="43" max="43" width="16.85546875" customWidth="1"/>
    <col min="45" max="45" width="3.28515625" customWidth="1"/>
    <col min="46" max="46" width="40" customWidth="1"/>
  </cols>
  <sheetData>
    <row r="1" spans="1:46" x14ac:dyDescent="0.25">
      <c r="A1" s="1" t="s">
        <v>497</v>
      </c>
    </row>
    <row r="3" spans="1:46" ht="15.75" thickBot="1" x14ac:dyDescent="0.3">
      <c r="A3" s="190" t="s">
        <v>39</v>
      </c>
      <c r="B3" s="190" t="s">
        <v>59</v>
      </c>
      <c r="C3" s="190" t="s">
        <v>372</v>
      </c>
      <c r="D3" s="190" t="s">
        <v>373</v>
      </c>
      <c r="E3" s="190" t="s">
        <v>374</v>
      </c>
      <c r="G3" t="s">
        <v>152</v>
      </c>
      <c r="N3" t="s">
        <v>125</v>
      </c>
      <c r="R3" t="s">
        <v>18</v>
      </c>
      <c r="S3">
        <v>0.05</v>
      </c>
      <c r="W3" s="1" t="s">
        <v>397</v>
      </c>
      <c r="AK3" t="s">
        <v>353</v>
      </c>
      <c r="AQ3" t="s">
        <v>354</v>
      </c>
    </row>
    <row r="4" spans="1:46" ht="15.75" thickTop="1" x14ac:dyDescent="0.25">
      <c r="A4" s="190">
        <v>1</v>
      </c>
      <c r="B4" s="199">
        <v>16</v>
      </c>
      <c r="C4" s="200">
        <v>22</v>
      </c>
      <c r="D4" s="200">
        <v>23</v>
      </c>
      <c r="E4" s="201">
        <v>25</v>
      </c>
      <c r="N4" s="26" t="s">
        <v>153</v>
      </c>
      <c r="O4" s="26" t="s">
        <v>111</v>
      </c>
      <c r="P4" s="26" t="s">
        <v>41</v>
      </c>
      <c r="Q4" s="26" t="s">
        <v>115</v>
      </c>
      <c r="R4" s="26" t="s">
        <v>98</v>
      </c>
      <c r="S4" s="26" t="s">
        <v>154</v>
      </c>
      <c r="T4" s="26" t="s">
        <v>155</v>
      </c>
    </row>
    <row r="5" spans="1:46" x14ac:dyDescent="0.25">
      <c r="A5" s="190">
        <f>A4+1</f>
        <v>2</v>
      </c>
      <c r="B5" s="182">
        <v>12</v>
      </c>
      <c r="C5" s="38">
        <v>18</v>
      </c>
      <c r="D5" s="38">
        <v>24</v>
      </c>
      <c r="E5" s="176">
        <v>29</v>
      </c>
      <c r="G5" s="190" t="str">
        <f>A3</f>
        <v>Subject</v>
      </c>
      <c r="H5" s="190" t="str">
        <f t="shared" ref="H5:K20" si="0">B3</f>
        <v>Before</v>
      </c>
      <c r="I5" s="190" t="str">
        <f t="shared" si="0"/>
        <v>1 week</v>
      </c>
      <c r="J5" s="190" t="str">
        <f t="shared" si="0"/>
        <v>2 weeks</v>
      </c>
      <c r="K5" s="190" t="str">
        <f t="shared" si="0"/>
        <v>3 weeks</v>
      </c>
      <c r="L5" s="190" t="s">
        <v>9</v>
      </c>
      <c r="N5" t="s">
        <v>352</v>
      </c>
      <c r="O5">
        <f>H26*DEVSQ(L6:L20)</f>
        <v>1938.4333333333334</v>
      </c>
      <c r="P5">
        <f>H25-1</f>
        <v>14</v>
      </c>
      <c r="Q5">
        <f>O5/P5</f>
        <v>138.4595238095238</v>
      </c>
      <c r="R5">
        <f>Q5/Q7</f>
        <v>14.520099875156061</v>
      </c>
      <c r="S5">
        <f>FDIST(R5,P5,P7)</f>
        <v>8.1670607503918935E-12</v>
      </c>
      <c r="T5">
        <f>FINV(S3,P5,P7)</f>
        <v>1.9350088132446253</v>
      </c>
      <c r="W5" s="190" t="s">
        <v>39</v>
      </c>
      <c r="X5" s="190" t="s">
        <v>59</v>
      </c>
      <c r="Y5" s="190" t="s">
        <v>375</v>
      </c>
      <c r="Z5" s="190" t="s">
        <v>376</v>
      </c>
      <c r="AA5" s="190" t="s">
        <v>377</v>
      </c>
      <c r="AC5" s="190" t="s">
        <v>39</v>
      </c>
      <c r="AD5" s="12" t="s">
        <v>378</v>
      </c>
      <c r="AE5" s="12" t="s">
        <v>379</v>
      </c>
      <c r="AF5" s="12" t="s">
        <v>380</v>
      </c>
      <c r="AG5" s="12" t="s">
        <v>381</v>
      </c>
      <c r="AH5" s="12" t="s">
        <v>382</v>
      </c>
      <c r="AI5" s="12" t="s">
        <v>383</v>
      </c>
      <c r="AL5" s="203" t="e">
        <f t="array" aca="1" ref="AL5:AO8" ca="1">COV(H6:K20)</f>
        <v>#NAME?</v>
      </c>
      <c r="AM5" s="204" t="e">
        <f ca="1"/>
        <v>#NAME?</v>
      </c>
      <c r="AN5" s="204" t="e">
        <f ca="1"/>
        <v>#NAME?</v>
      </c>
      <c r="AO5" s="205" t="e">
        <f ca="1"/>
        <v>#NAME?</v>
      </c>
      <c r="AQ5" t="s">
        <v>356</v>
      </c>
      <c r="AR5" s="202">
        <f>H26</f>
        <v>4</v>
      </c>
      <c r="AT5" s="14" t="s">
        <v>396</v>
      </c>
    </row>
    <row r="6" spans="1:46" x14ac:dyDescent="0.25">
      <c r="A6" s="190">
        <f t="shared" ref="A6:A18" si="1">A5+1</f>
        <v>3</v>
      </c>
      <c r="B6" s="182">
        <v>23</v>
      </c>
      <c r="C6" s="38">
        <v>24</v>
      </c>
      <c r="D6" s="38">
        <v>26</v>
      </c>
      <c r="E6" s="30">
        <v>27</v>
      </c>
      <c r="G6" s="190">
        <f t="shared" ref="G6:G20" si="2">A4</f>
        <v>1</v>
      </c>
      <c r="H6" s="199">
        <f t="shared" si="0"/>
        <v>16</v>
      </c>
      <c r="I6" s="200">
        <f t="shared" si="0"/>
        <v>22</v>
      </c>
      <c r="J6" s="200">
        <f t="shared" si="0"/>
        <v>23</v>
      </c>
      <c r="K6" s="206">
        <f t="shared" si="0"/>
        <v>25</v>
      </c>
      <c r="L6">
        <f>AVERAGE(H6:K6)</f>
        <v>21.5</v>
      </c>
      <c r="N6" t="s">
        <v>53</v>
      </c>
      <c r="O6">
        <f>H25*DEVSQ(H21:K21)</f>
        <v>833.25000000000023</v>
      </c>
      <c r="P6">
        <f>H26-1</f>
        <v>3</v>
      </c>
      <c r="Q6">
        <f>O6/P6</f>
        <v>277.75000000000006</v>
      </c>
      <c r="R6">
        <f>Q6/Q7</f>
        <v>29.127340823970059</v>
      </c>
      <c r="S6">
        <f>FDIST(R6,P6,P7)</f>
        <v>2.3962181631669464E-10</v>
      </c>
      <c r="T6">
        <f>FINV(S3,P6,P7)</f>
        <v>2.8270487120861261</v>
      </c>
      <c r="W6" s="190">
        <v>1</v>
      </c>
      <c r="X6" s="207">
        <f>B4</f>
        <v>16</v>
      </c>
      <c r="Y6" s="208">
        <f t="shared" ref="Y6:AA20" si="3">C4</f>
        <v>22</v>
      </c>
      <c r="Z6" s="208">
        <f t="shared" si="3"/>
        <v>23</v>
      </c>
      <c r="AA6" s="201">
        <f t="shared" si="3"/>
        <v>25</v>
      </c>
      <c r="AC6" s="190">
        <v>1</v>
      </c>
      <c r="AD6" s="209">
        <f>X6-Y6</f>
        <v>-6</v>
      </c>
      <c r="AE6" s="210">
        <f>X6-Z6</f>
        <v>-7</v>
      </c>
      <c r="AF6" s="210">
        <f>X6-AA6</f>
        <v>-9</v>
      </c>
      <c r="AG6" s="210">
        <f>Y6-Z6</f>
        <v>-1</v>
      </c>
      <c r="AH6" s="210">
        <f>Y6-AA6</f>
        <v>-3</v>
      </c>
      <c r="AI6" s="211">
        <f>Z6-AA6</f>
        <v>-2</v>
      </c>
      <c r="AL6" s="183" t="e">
        <f ca="1"/>
        <v>#NAME?</v>
      </c>
      <c r="AM6" s="7" t="e">
        <f ca="1"/>
        <v>#NAME?</v>
      </c>
      <c r="AN6" s="7" t="e">
        <f ca="1"/>
        <v>#NAME?</v>
      </c>
      <c r="AO6" s="43" t="e">
        <f ca="1"/>
        <v>#NAME?</v>
      </c>
      <c r="AQ6" t="s">
        <v>357</v>
      </c>
      <c r="AR6" s="185">
        <f>AVERAGE(H22:K22)</f>
        <v>41.766666666666652</v>
      </c>
      <c r="AT6" s="14" t="s">
        <v>392</v>
      </c>
    </row>
    <row r="7" spans="1:46" x14ac:dyDescent="0.25">
      <c r="A7" s="190">
        <f t="shared" si="1"/>
        <v>4</v>
      </c>
      <c r="B7" s="182">
        <v>8</v>
      </c>
      <c r="C7" s="38">
        <v>20</v>
      </c>
      <c r="D7" s="38">
        <v>28</v>
      </c>
      <c r="E7" s="30">
        <v>30</v>
      </c>
      <c r="G7" s="190">
        <f t="shared" si="2"/>
        <v>2</v>
      </c>
      <c r="H7" s="182">
        <f t="shared" si="0"/>
        <v>12</v>
      </c>
      <c r="I7" s="38">
        <f t="shared" si="0"/>
        <v>18</v>
      </c>
      <c r="J7" s="38">
        <f t="shared" si="0"/>
        <v>24</v>
      </c>
      <c r="K7" s="186">
        <f t="shared" si="0"/>
        <v>29</v>
      </c>
      <c r="L7">
        <f t="shared" ref="L7:L20" si="4">AVERAGE(H7:K7)</f>
        <v>20.75</v>
      </c>
      <c r="N7" t="s">
        <v>176</v>
      </c>
      <c r="O7">
        <f>O8-O5-O6</f>
        <v>400.49999999999977</v>
      </c>
      <c r="P7">
        <f>P8-P5-P6</f>
        <v>42</v>
      </c>
      <c r="Q7">
        <f>O7/P7</f>
        <v>9.5357142857142811</v>
      </c>
      <c r="W7" s="190">
        <f>W6+1</f>
        <v>2</v>
      </c>
      <c r="X7" s="29">
        <f t="shared" ref="X7:X20" si="5">B5</f>
        <v>12</v>
      </c>
      <c r="Y7" s="38">
        <f t="shared" si="3"/>
        <v>18</v>
      </c>
      <c r="Z7" s="38">
        <f t="shared" si="3"/>
        <v>24</v>
      </c>
      <c r="AA7" s="30">
        <f t="shared" si="3"/>
        <v>29</v>
      </c>
      <c r="AC7" s="190">
        <f>AC6+1</f>
        <v>2</v>
      </c>
      <c r="AD7" s="6">
        <f t="shared" ref="AD7:AD20" si="6">X7-Y7</f>
        <v>-6</v>
      </c>
      <c r="AE7" s="7">
        <f t="shared" ref="AE7:AE20" si="7">X7-Z7</f>
        <v>-12</v>
      </c>
      <c r="AF7" s="7">
        <f t="shared" ref="AF7:AF20" si="8">X7-AA7</f>
        <v>-17</v>
      </c>
      <c r="AG7" s="7">
        <f t="shared" ref="AG7:AG20" si="9">Y7-Z7</f>
        <v>-6</v>
      </c>
      <c r="AH7" s="7">
        <f t="shared" ref="AH7:AH20" si="10">Y7-AA7</f>
        <v>-11</v>
      </c>
      <c r="AI7" s="8">
        <f t="shared" ref="AI7:AI20" si="11">Z7-AA7</f>
        <v>-5</v>
      </c>
      <c r="AL7" s="183" t="e">
        <f ca="1"/>
        <v>#NAME?</v>
      </c>
      <c r="AM7" s="7" t="e">
        <f ca="1"/>
        <v>#NAME?</v>
      </c>
      <c r="AN7" s="7" t="e">
        <f ca="1"/>
        <v>#NAME?</v>
      </c>
      <c r="AO7" s="43" t="e">
        <f ca="1"/>
        <v>#NAME?</v>
      </c>
      <c r="AQ7" t="s">
        <v>358</v>
      </c>
      <c r="AR7" s="185" t="e">
        <f ca="1">AVERAGE(H30:K33)</f>
        <v>#NAME?</v>
      </c>
      <c r="AT7" s="14" t="s">
        <v>393</v>
      </c>
    </row>
    <row r="8" spans="1:46" x14ac:dyDescent="0.25">
      <c r="A8" s="190">
        <f t="shared" si="1"/>
        <v>5</v>
      </c>
      <c r="B8" s="182">
        <v>3</v>
      </c>
      <c r="C8" s="38">
        <v>12</v>
      </c>
      <c r="D8" s="38">
        <v>13</v>
      </c>
      <c r="E8" s="30">
        <v>17</v>
      </c>
      <c r="G8" s="190">
        <f t="shared" si="2"/>
        <v>3</v>
      </c>
      <c r="H8" s="182">
        <f t="shared" si="0"/>
        <v>23</v>
      </c>
      <c r="I8" s="38">
        <f t="shared" si="0"/>
        <v>24</v>
      </c>
      <c r="J8" s="38">
        <f t="shared" si="0"/>
        <v>26</v>
      </c>
      <c r="K8" s="186">
        <f t="shared" si="0"/>
        <v>27</v>
      </c>
      <c r="L8">
        <f t="shared" si="4"/>
        <v>25</v>
      </c>
      <c r="N8" t="s">
        <v>1</v>
      </c>
      <c r="O8">
        <f>DEVSQ(H6:K20)</f>
        <v>3172.1833333333334</v>
      </c>
      <c r="P8">
        <f>H25*H26-1</f>
        <v>59</v>
      </c>
      <c r="W8" s="190">
        <f t="shared" ref="W8:W20" si="12">W7+1</f>
        <v>3</v>
      </c>
      <c r="X8" s="29">
        <f t="shared" si="5"/>
        <v>23</v>
      </c>
      <c r="Y8" s="38">
        <f t="shared" si="3"/>
        <v>24</v>
      </c>
      <c r="Z8" s="38">
        <f t="shared" si="3"/>
        <v>26</v>
      </c>
      <c r="AA8" s="30">
        <f t="shared" si="3"/>
        <v>27</v>
      </c>
      <c r="AC8" s="190">
        <f t="shared" ref="AC8:AC20" si="13">AC7+1</f>
        <v>3</v>
      </c>
      <c r="AD8" s="6">
        <f t="shared" si="6"/>
        <v>-1</v>
      </c>
      <c r="AE8" s="7">
        <f t="shared" si="7"/>
        <v>-3</v>
      </c>
      <c r="AF8" s="7">
        <f t="shared" si="8"/>
        <v>-4</v>
      </c>
      <c r="AG8" s="7">
        <f t="shared" si="9"/>
        <v>-2</v>
      </c>
      <c r="AH8" s="7">
        <f t="shared" si="10"/>
        <v>-3</v>
      </c>
      <c r="AI8" s="8">
        <f t="shared" si="11"/>
        <v>-1</v>
      </c>
      <c r="AL8" s="76" t="e">
        <f ca="1"/>
        <v>#NAME?</v>
      </c>
      <c r="AM8" s="173" t="e">
        <f ca="1"/>
        <v>#NAME?</v>
      </c>
      <c r="AN8" s="173" t="e">
        <f ca="1"/>
        <v>#NAME?</v>
      </c>
      <c r="AO8" s="77" t="e">
        <f ca="1"/>
        <v>#NAME?</v>
      </c>
      <c r="AQ8" t="s">
        <v>359</v>
      </c>
      <c r="AR8" s="185" t="e">
        <f ca="1">SUMSQ(AL5:AO8)</f>
        <v>#NAME?</v>
      </c>
      <c r="AT8" s="14" t="s">
        <v>400</v>
      </c>
    </row>
    <row r="9" spans="1:46" x14ac:dyDescent="0.25">
      <c r="A9" s="190">
        <f t="shared" si="1"/>
        <v>6</v>
      </c>
      <c r="B9" s="182">
        <v>5</v>
      </c>
      <c r="C9" s="38">
        <v>13</v>
      </c>
      <c r="D9" s="38">
        <v>11</v>
      </c>
      <c r="E9" s="30">
        <v>15</v>
      </c>
      <c r="G9" s="190">
        <f t="shared" si="2"/>
        <v>4</v>
      </c>
      <c r="H9" s="182">
        <f t="shared" si="0"/>
        <v>8</v>
      </c>
      <c r="I9" s="38">
        <f t="shared" si="0"/>
        <v>20</v>
      </c>
      <c r="J9" s="38">
        <f t="shared" si="0"/>
        <v>28</v>
      </c>
      <c r="K9" s="186">
        <f t="shared" si="0"/>
        <v>30</v>
      </c>
      <c r="L9">
        <f t="shared" si="4"/>
        <v>21.5</v>
      </c>
      <c r="N9" s="210"/>
      <c r="O9" s="210"/>
      <c r="P9" s="210"/>
      <c r="Q9" s="210"/>
      <c r="R9" s="210"/>
      <c r="S9" s="210"/>
      <c r="T9" s="210"/>
      <c r="W9" s="190">
        <f t="shared" si="12"/>
        <v>4</v>
      </c>
      <c r="X9" s="29">
        <f t="shared" si="5"/>
        <v>8</v>
      </c>
      <c r="Y9" s="38">
        <f t="shared" si="3"/>
        <v>20</v>
      </c>
      <c r="Z9" s="38">
        <f t="shared" si="3"/>
        <v>28</v>
      </c>
      <c r="AA9" s="30">
        <f t="shared" si="3"/>
        <v>30</v>
      </c>
      <c r="AC9" s="190">
        <f t="shared" si="13"/>
        <v>4</v>
      </c>
      <c r="AD9" s="6">
        <f t="shared" si="6"/>
        <v>-12</v>
      </c>
      <c r="AE9" s="7">
        <f t="shared" si="7"/>
        <v>-20</v>
      </c>
      <c r="AF9" s="7">
        <f t="shared" si="8"/>
        <v>-22</v>
      </c>
      <c r="AG9" s="7">
        <f t="shared" si="9"/>
        <v>-8</v>
      </c>
      <c r="AH9" s="7">
        <f t="shared" si="10"/>
        <v>-10</v>
      </c>
      <c r="AI9" s="8">
        <f t="shared" si="11"/>
        <v>-2</v>
      </c>
      <c r="AK9" t="s">
        <v>9</v>
      </c>
      <c r="AL9" t="e">
        <f ca="1">AVERAGE(AL5:AL8)</f>
        <v>#NAME?</v>
      </c>
      <c r="AM9" t="e">
        <f ca="1">AVERAGE(AM5:AM8)</f>
        <v>#NAME?</v>
      </c>
      <c r="AN9" t="e">
        <f ca="1">AVERAGE(AN5:AN8)</f>
        <v>#NAME?</v>
      </c>
      <c r="AO9" t="e">
        <f ca="1">AVERAGE(AO5:AO8)</f>
        <v>#NAME?</v>
      </c>
      <c r="AQ9" t="s">
        <v>360</v>
      </c>
      <c r="AR9" s="185" t="e">
        <f ca="1">SUMSQ(AL9:AO9)</f>
        <v>#NAME?</v>
      </c>
      <c r="AT9" s="14" t="s">
        <v>401</v>
      </c>
    </row>
    <row r="10" spans="1:46" ht="15.75" thickBot="1" x14ac:dyDescent="0.3">
      <c r="A10" s="190">
        <f t="shared" si="1"/>
        <v>7</v>
      </c>
      <c r="B10" s="182">
        <v>19</v>
      </c>
      <c r="C10" s="38">
        <v>22</v>
      </c>
      <c r="D10" s="38">
        <v>25</v>
      </c>
      <c r="E10" s="30">
        <v>26</v>
      </c>
      <c r="G10" s="190">
        <f t="shared" si="2"/>
        <v>5</v>
      </c>
      <c r="H10" s="182">
        <f t="shared" si="0"/>
        <v>3</v>
      </c>
      <c r="I10" s="38">
        <f t="shared" si="0"/>
        <v>12</v>
      </c>
      <c r="J10" s="38">
        <f t="shared" si="0"/>
        <v>13</v>
      </c>
      <c r="K10" s="186">
        <f t="shared" si="0"/>
        <v>17</v>
      </c>
      <c r="L10">
        <f t="shared" si="4"/>
        <v>11.25</v>
      </c>
      <c r="N10" t="s">
        <v>367</v>
      </c>
      <c r="R10" t="s">
        <v>18</v>
      </c>
      <c r="S10">
        <v>0.05</v>
      </c>
      <c r="W10" s="190">
        <f t="shared" si="12"/>
        <v>5</v>
      </c>
      <c r="X10" s="29">
        <f t="shared" si="5"/>
        <v>3</v>
      </c>
      <c r="Y10" s="38">
        <f t="shared" si="3"/>
        <v>12</v>
      </c>
      <c r="Z10" s="38">
        <f t="shared" si="3"/>
        <v>13</v>
      </c>
      <c r="AA10" s="30">
        <f t="shared" si="3"/>
        <v>17</v>
      </c>
      <c r="AC10" s="190">
        <f t="shared" si="13"/>
        <v>5</v>
      </c>
      <c r="AD10" s="6">
        <f t="shared" si="6"/>
        <v>-9</v>
      </c>
      <c r="AE10" s="7">
        <f t="shared" si="7"/>
        <v>-10</v>
      </c>
      <c r="AF10" s="7">
        <f t="shared" si="8"/>
        <v>-14</v>
      </c>
      <c r="AG10" s="7">
        <f t="shared" si="9"/>
        <v>-1</v>
      </c>
      <c r="AH10" s="7">
        <f t="shared" si="10"/>
        <v>-5</v>
      </c>
      <c r="AI10" s="8">
        <f t="shared" si="11"/>
        <v>-4</v>
      </c>
      <c r="AQ10" t="s">
        <v>361</v>
      </c>
      <c r="AR10" s="185" t="e">
        <f ca="1">(AR5*(AR6-AR7))^2</f>
        <v>#NAME?</v>
      </c>
      <c r="AT10" s="14" t="s">
        <v>402</v>
      </c>
    </row>
    <row r="11" spans="1:46" ht="15.75" thickTop="1" x14ac:dyDescent="0.25">
      <c r="A11" s="190">
        <f t="shared" si="1"/>
        <v>8</v>
      </c>
      <c r="B11" s="182">
        <v>22</v>
      </c>
      <c r="C11" s="38">
        <v>22</v>
      </c>
      <c r="D11" s="38">
        <v>23</v>
      </c>
      <c r="E11" s="30">
        <v>26</v>
      </c>
      <c r="G11" s="190">
        <f t="shared" si="2"/>
        <v>6</v>
      </c>
      <c r="H11" s="182">
        <f t="shared" si="0"/>
        <v>5</v>
      </c>
      <c r="I11" s="38">
        <f t="shared" si="0"/>
        <v>13</v>
      </c>
      <c r="J11" s="38">
        <f t="shared" si="0"/>
        <v>11</v>
      </c>
      <c r="K11" s="186">
        <f t="shared" si="0"/>
        <v>15</v>
      </c>
      <c r="L11">
        <f t="shared" si="4"/>
        <v>11</v>
      </c>
      <c r="N11" s="26" t="s">
        <v>153</v>
      </c>
      <c r="O11" s="26" t="s">
        <v>111</v>
      </c>
      <c r="P11" s="26" t="s">
        <v>41</v>
      </c>
      <c r="Q11" s="26" t="s">
        <v>115</v>
      </c>
      <c r="R11" s="26" t="s">
        <v>98</v>
      </c>
      <c r="S11" s="26" t="s">
        <v>154</v>
      </c>
      <c r="T11" s="26" t="s">
        <v>155</v>
      </c>
      <c r="W11" s="190">
        <f t="shared" si="12"/>
        <v>6</v>
      </c>
      <c r="X11" s="29">
        <f t="shared" si="5"/>
        <v>5</v>
      </c>
      <c r="Y11" s="38">
        <f t="shared" si="3"/>
        <v>13</v>
      </c>
      <c r="Z11" s="38">
        <f t="shared" si="3"/>
        <v>11</v>
      </c>
      <c r="AA11" s="30">
        <f t="shared" si="3"/>
        <v>15</v>
      </c>
      <c r="AC11" s="190">
        <f t="shared" si="13"/>
        <v>6</v>
      </c>
      <c r="AD11" s="6">
        <f t="shared" si="6"/>
        <v>-8</v>
      </c>
      <c r="AE11" s="7">
        <f t="shared" si="7"/>
        <v>-6</v>
      </c>
      <c r="AF11" s="7">
        <f t="shared" si="8"/>
        <v>-10</v>
      </c>
      <c r="AG11" s="7">
        <f t="shared" si="9"/>
        <v>2</v>
      </c>
      <c r="AH11" s="7">
        <f t="shared" si="10"/>
        <v>-2</v>
      </c>
      <c r="AI11" s="8">
        <f t="shared" si="11"/>
        <v>-4</v>
      </c>
      <c r="AQ11" t="s">
        <v>362</v>
      </c>
      <c r="AR11" s="185" t="e">
        <f ca="1">(AR5-1)*(AR8-2*AR5*AR9+AR5^2*AR7^2)</f>
        <v>#NAME?</v>
      </c>
      <c r="AT11" s="14" t="s">
        <v>403</v>
      </c>
    </row>
    <row r="12" spans="1:46" x14ac:dyDescent="0.25">
      <c r="A12" s="190">
        <f t="shared" si="1"/>
        <v>9</v>
      </c>
      <c r="B12" s="182">
        <v>12</v>
      </c>
      <c r="C12" s="38">
        <v>20</v>
      </c>
      <c r="D12" s="38">
        <v>22</v>
      </c>
      <c r="E12" s="30">
        <v>24</v>
      </c>
      <c r="G12" s="190">
        <f t="shared" si="2"/>
        <v>7</v>
      </c>
      <c r="H12" s="182">
        <f t="shared" si="0"/>
        <v>19</v>
      </c>
      <c r="I12" s="38">
        <f t="shared" si="0"/>
        <v>22</v>
      </c>
      <c r="J12" s="38">
        <f t="shared" si="0"/>
        <v>25</v>
      </c>
      <c r="K12" s="186">
        <f t="shared" si="0"/>
        <v>26</v>
      </c>
      <c r="L12">
        <f t="shared" si="4"/>
        <v>23</v>
      </c>
      <c r="N12" t="s">
        <v>53</v>
      </c>
      <c r="O12">
        <f>O6</f>
        <v>833.25000000000023</v>
      </c>
      <c r="P12" t="e">
        <f ca="1">P6*J45</f>
        <v>#NAME?</v>
      </c>
      <c r="Q12" t="e">
        <f ca="1">O12/P12</f>
        <v>#NAME?</v>
      </c>
      <c r="R12" t="e">
        <f ca="1">Q12/Q13</f>
        <v>#NAME?</v>
      </c>
      <c r="S12" t="e">
        <f ca="1">FDIST(R12,P12,P13)</f>
        <v>#NAME?</v>
      </c>
      <c r="T12" t="e">
        <f ca="1">FINV(S10,P12,P13)</f>
        <v>#NAME?</v>
      </c>
      <c r="W12" s="190">
        <f t="shared" si="12"/>
        <v>7</v>
      </c>
      <c r="X12" s="29">
        <f t="shared" si="5"/>
        <v>19</v>
      </c>
      <c r="Y12" s="38">
        <f t="shared" si="3"/>
        <v>22</v>
      </c>
      <c r="Z12" s="38">
        <f t="shared" si="3"/>
        <v>25</v>
      </c>
      <c r="AA12" s="30">
        <f t="shared" si="3"/>
        <v>26</v>
      </c>
      <c r="AC12" s="190">
        <f t="shared" si="13"/>
        <v>7</v>
      </c>
      <c r="AD12" s="6">
        <f t="shared" si="6"/>
        <v>-3</v>
      </c>
      <c r="AE12" s="7">
        <f t="shared" si="7"/>
        <v>-6</v>
      </c>
      <c r="AF12" s="7">
        <f t="shared" si="8"/>
        <v>-7</v>
      </c>
      <c r="AG12" s="7">
        <f t="shared" si="9"/>
        <v>-3</v>
      </c>
      <c r="AH12" s="7">
        <f t="shared" si="10"/>
        <v>-4</v>
      </c>
      <c r="AI12" s="8">
        <f t="shared" si="11"/>
        <v>-1</v>
      </c>
      <c r="AQ12" t="s">
        <v>363</v>
      </c>
      <c r="AR12" s="54" t="e">
        <f ca="1">AR10/AR11</f>
        <v>#NAME?</v>
      </c>
      <c r="AT12" s="14" t="s">
        <v>404</v>
      </c>
    </row>
    <row r="13" spans="1:46" x14ac:dyDescent="0.25">
      <c r="A13" s="190">
        <f t="shared" si="1"/>
        <v>10</v>
      </c>
      <c r="B13" s="182">
        <v>16</v>
      </c>
      <c r="C13" s="38">
        <v>22</v>
      </c>
      <c r="D13" s="38">
        <v>26</v>
      </c>
      <c r="E13" s="30">
        <v>29</v>
      </c>
      <c r="G13" s="190">
        <f t="shared" si="2"/>
        <v>8</v>
      </c>
      <c r="H13" s="182">
        <f t="shared" si="0"/>
        <v>22</v>
      </c>
      <c r="I13" s="38">
        <f t="shared" si="0"/>
        <v>22</v>
      </c>
      <c r="J13" s="38">
        <f t="shared" si="0"/>
        <v>23</v>
      </c>
      <c r="K13" s="186">
        <f t="shared" si="0"/>
        <v>26</v>
      </c>
      <c r="L13">
        <f t="shared" si="4"/>
        <v>23.25</v>
      </c>
      <c r="N13" t="s">
        <v>176</v>
      </c>
      <c r="O13">
        <f>O7</f>
        <v>400.49999999999977</v>
      </c>
      <c r="P13" t="e">
        <f ca="1">P7*J45</f>
        <v>#NAME?</v>
      </c>
      <c r="Q13" t="e">
        <f ca="1">O13/P13</f>
        <v>#NAME?</v>
      </c>
      <c r="W13" s="190">
        <f t="shared" si="12"/>
        <v>8</v>
      </c>
      <c r="X13" s="29">
        <f t="shared" si="5"/>
        <v>22</v>
      </c>
      <c r="Y13" s="38">
        <f t="shared" si="3"/>
        <v>22</v>
      </c>
      <c r="Z13" s="38">
        <f t="shared" si="3"/>
        <v>23</v>
      </c>
      <c r="AA13" s="30">
        <f t="shared" si="3"/>
        <v>26</v>
      </c>
      <c r="AC13" s="190">
        <f t="shared" si="13"/>
        <v>8</v>
      </c>
      <c r="AD13" s="6">
        <f t="shared" si="6"/>
        <v>0</v>
      </c>
      <c r="AE13" s="7">
        <f t="shared" si="7"/>
        <v>-1</v>
      </c>
      <c r="AF13" s="7">
        <f t="shared" si="8"/>
        <v>-4</v>
      </c>
      <c r="AG13" s="7">
        <f t="shared" si="9"/>
        <v>-1</v>
      </c>
      <c r="AH13" s="7">
        <f t="shared" si="10"/>
        <v>-4</v>
      </c>
      <c r="AI13" s="8">
        <f t="shared" si="11"/>
        <v>-3</v>
      </c>
    </row>
    <row r="14" spans="1:46" x14ac:dyDescent="0.25">
      <c r="A14" s="190">
        <f t="shared" si="1"/>
        <v>11</v>
      </c>
      <c r="B14" s="182">
        <v>14</v>
      </c>
      <c r="C14" s="38">
        <v>25</v>
      </c>
      <c r="D14" s="38">
        <v>18</v>
      </c>
      <c r="E14" s="30">
        <v>21</v>
      </c>
      <c r="G14" s="190">
        <f t="shared" si="2"/>
        <v>9</v>
      </c>
      <c r="H14" s="182">
        <f t="shared" si="0"/>
        <v>12</v>
      </c>
      <c r="I14" s="38">
        <f t="shared" si="0"/>
        <v>20</v>
      </c>
      <c r="J14" s="38">
        <f t="shared" si="0"/>
        <v>22</v>
      </c>
      <c r="K14" s="186">
        <f t="shared" si="0"/>
        <v>24</v>
      </c>
      <c r="L14">
        <f t="shared" si="4"/>
        <v>19.5</v>
      </c>
      <c r="N14" s="210"/>
      <c r="O14" s="210"/>
      <c r="P14" s="210"/>
      <c r="Q14" s="210"/>
      <c r="R14" s="210"/>
      <c r="S14" s="210"/>
      <c r="T14" s="210"/>
      <c r="W14" s="190">
        <f t="shared" si="12"/>
        <v>9</v>
      </c>
      <c r="X14" s="29">
        <f t="shared" si="5"/>
        <v>12</v>
      </c>
      <c r="Y14" s="38">
        <f t="shared" si="3"/>
        <v>20</v>
      </c>
      <c r="Z14" s="38">
        <f t="shared" si="3"/>
        <v>22</v>
      </c>
      <c r="AA14" s="30">
        <f t="shared" si="3"/>
        <v>24</v>
      </c>
      <c r="AC14" s="190">
        <f t="shared" si="13"/>
        <v>9</v>
      </c>
      <c r="AD14" s="6">
        <f t="shared" si="6"/>
        <v>-8</v>
      </c>
      <c r="AE14" s="7">
        <f t="shared" si="7"/>
        <v>-10</v>
      </c>
      <c r="AF14" s="7">
        <f t="shared" si="8"/>
        <v>-12</v>
      </c>
      <c r="AG14" s="7">
        <f t="shared" si="9"/>
        <v>-2</v>
      </c>
      <c r="AH14" s="7">
        <f t="shared" si="10"/>
        <v>-4</v>
      </c>
      <c r="AI14" s="8">
        <f t="shared" si="11"/>
        <v>-2</v>
      </c>
      <c r="AQ14" t="s">
        <v>355</v>
      </c>
      <c r="AR14" s="212">
        <f>H25</f>
        <v>15</v>
      </c>
      <c r="AT14" s="14" t="s">
        <v>395</v>
      </c>
    </row>
    <row r="15" spans="1:46" ht="15.75" thickBot="1" x14ac:dyDescent="0.3">
      <c r="A15" s="190">
        <f t="shared" si="1"/>
        <v>12</v>
      </c>
      <c r="B15" s="182">
        <v>24</v>
      </c>
      <c r="C15" s="38">
        <v>26</v>
      </c>
      <c r="D15" s="38">
        <v>21</v>
      </c>
      <c r="E15" s="30">
        <v>23</v>
      </c>
      <c r="G15" s="190">
        <f t="shared" si="2"/>
        <v>10</v>
      </c>
      <c r="H15" s="182">
        <f t="shared" si="0"/>
        <v>16</v>
      </c>
      <c r="I15" s="38">
        <f t="shared" si="0"/>
        <v>22</v>
      </c>
      <c r="J15" s="38">
        <f t="shared" si="0"/>
        <v>26</v>
      </c>
      <c r="K15" s="186">
        <f t="shared" si="0"/>
        <v>29</v>
      </c>
      <c r="L15">
        <f t="shared" si="4"/>
        <v>23.25</v>
      </c>
      <c r="N15" t="s">
        <v>368</v>
      </c>
      <c r="R15" t="s">
        <v>18</v>
      </c>
      <c r="S15">
        <v>0.05</v>
      </c>
      <c r="W15" s="190">
        <f t="shared" si="12"/>
        <v>10</v>
      </c>
      <c r="X15" s="29">
        <f t="shared" si="5"/>
        <v>16</v>
      </c>
      <c r="Y15" s="38">
        <f t="shared" si="3"/>
        <v>22</v>
      </c>
      <c r="Z15" s="38">
        <f t="shared" si="3"/>
        <v>26</v>
      </c>
      <c r="AA15" s="30">
        <f t="shared" si="3"/>
        <v>29</v>
      </c>
      <c r="AC15" s="190">
        <f t="shared" si="13"/>
        <v>10</v>
      </c>
      <c r="AD15" s="6">
        <f t="shared" si="6"/>
        <v>-6</v>
      </c>
      <c r="AE15" s="7">
        <f t="shared" si="7"/>
        <v>-10</v>
      </c>
      <c r="AF15" s="7">
        <f t="shared" si="8"/>
        <v>-13</v>
      </c>
      <c r="AG15" s="7">
        <f t="shared" si="9"/>
        <v>-4</v>
      </c>
      <c r="AH15" s="7">
        <f t="shared" si="10"/>
        <v>-7</v>
      </c>
      <c r="AI15" s="8">
        <f t="shared" si="11"/>
        <v>-3</v>
      </c>
      <c r="AQ15" t="s">
        <v>356</v>
      </c>
      <c r="AR15" s="185">
        <f>AR5</f>
        <v>4</v>
      </c>
      <c r="AT15" s="14" t="s">
        <v>394</v>
      </c>
    </row>
    <row r="16" spans="1:46" ht="15.75" thickTop="1" x14ac:dyDescent="0.25">
      <c r="A16" s="190">
        <f t="shared" si="1"/>
        <v>13</v>
      </c>
      <c r="B16" s="182">
        <v>9</v>
      </c>
      <c r="C16" s="38">
        <v>12</v>
      </c>
      <c r="D16" s="38">
        <v>20</v>
      </c>
      <c r="E16" s="30">
        <v>23</v>
      </c>
      <c r="G16" s="190">
        <f t="shared" si="2"/>
        <v>11</v>
      </c>
      <c r="H16" s="182">
        <f t="shared" si="0"/>
        <v>14</v>
      </c>
      <c r="I16" s="38">
        <f t="shared" si="0"/>
        <v>25</v>
      </c>
      <c r="J16" s="38">
        <f t="shared" si="0"/>
        <v>18</v>
      </c>
      <c r="K16" s="186">
        <f t="shared" si="0"/>
        <v>21</v>
      </c>
      <c r="L16">
        <f t="shared" si="4"/>
        <v>19.5</v>
      </c>
      <c r="N16" s="26" t="s">
        <v>153</v>
      </c>
      <c r="O16" s="26" t="s">
        <v>111</v>
      </c>
      <c r="P16" s="26" t="s">
        <v>41</v>
      </c>
      <c r="Q16" s="26" t="s">
        <v>115</v>
      </c>
      <c r="R16" s="26" t="s">
        <v>98</v>
      </c>
      <c r="S16" s="26" t="s">
        <v>154</v>
      </c>
      <c r="T16" s="26" t="s">
        <v>155</v>
      </c>
      <c r="W16" s="190">
        <f t="shared" si="12"/>
        <v>11</v>
      </c>
      <c r="X16" s="29">
        <f t="shared" si="5"/>
        <v>14</v>
      </c>
      <c r="Y16" s="38">
        <f t="shared" si="3"/>
        <v>25</v>
      </c>
      <c r="Z16" s="38">
        <f t="shared" si="3"/>
        <v>18</v>
      </c>
      <c r="AA16" s="30">
        <f t="shared" si="3"/>
        <v>21</v>
      </c>
      <c r="AC16" s="190">
        <f t="shared" si="13"/>
        <v>11</v>
      </c>
      <c r="AD16" s="6">
        <f t="shared" si="6"/>
        <v>-11</v>
      </c>
      <c r="AE16" s="7">
        <f t="shared" si="7"/>
        <v>-4</v>
      </c>
      <c r="AF16" s="7">
        <f t="shared" si="8"/>
        <v>-7</v>
      </c>
      <c r="AG16" s="7">
        <f t="shared" si="9"/>
        <v>7</v>
      </c>
      <c r="AH16" s="7">
        <f t="shared" si="10"/>
        <v>4</v>
      </c>
      <c r="AI16" s="8">
        <f t="shared" si="11"/>
        <v>-3</v>
      </c>
      <c r="AQ16" t="s">
        <v>363</v>
      </c>
      <c r="AR16" s="185" t="e">
        <f ca="1">AR12</f>
        <v>#NAME?</v>
      </c>
      <c r="AT16" s="14" t="s">
        <v>405</v>
      </c>
    </row>
    <row r="17" spans="1:46" x14ac:dyDescent="0.25">
      <c r="A17" s="190">
        <f t="shared" si="1"/>
        <v>14</v>
      </c>
      <c r="B17" s="182">
        <v>3</v>
      </c>
      <c r="C17" s="38">
        <v>9</v>
      </c>
      <c r="D17" s="38">
        <v>13</v>
      </c>
      <c r="E17" s="30">
        <v>16</v>
      </c>
      <c r="G17" s="190">
        <f t="shared" si="2"/>
        <v>12</v>
      </c>
      <c r="H17" s="182">
        <f t="shared" si="0"/>
        <v>24</v>
      </c>
      <c r="I17" s="38">
        <f t="shared" si="0"/>
        <v>26</v>
      </c>
      <c r="J17" s="38">
        <f t="shared" si="0"/>
        <v>21</v>
      </c>
      <c r="K17" s="186">
        <f t="shared" si="0"/>
        <v>23</v>
      </c>
      <c r="L17">
        <f t="shared" si="4"/>
        <v>23.5</v>
      </c>
      <c r="N17" t="s">
        <v>53</v>
      </c>
      <c r="O17">
        <f>O6</f>
        <v>833.25000000000023</v>
      </c>
      <c r="P17" t="e">
        <f ca="1">P6*J48</f>
        <v>#NAME?</v>
      </c>
      <c r="Q17" t="e">
        <f ca="1">O17/P17</f>
        <v>#NAME?</v>
      </c>
      <c r="R17" t="e">
        <f ca="1">Q17/Q18</f>
        <v>#NAME?</v>
      </c>
      <c r="S17" t="e">
        <f ca="1">FDIST(R17,P17,P18)</f>
        <v>#NAME?</v>
      </c>
      <c r="T17" t="e">
        <f ca="1">FINV(S15,P17,P18)</f>
        <v>#NAME?</v>
      </c>
      <c r="W17" s="190">
        <f t="shared" si="12"/>
        <v>12</v>
      </c>
      <c r="X17" s="29">
        <f t="shared" si="5"/>
        <v>24</v>
      </c>
      <c r="Y17" s="38">
        <f t="shared" si="3"/>
        <v>26</v>
      </c>
      <c r="Z17" s="38">
        <f t="shared" si="3"/>
        <v>21</v>
      </c>
      <c r="AA17" s="30">
        <f t="shared" si="3"/>
        <v>23</v>
      </c>
      <c r="AC17" s="190">
        <f t="shared" si="13"/>
        <v>12</v>
      </c>
      <c r="AD17" s="6">
        <f t="shared" si="6"/>
        <v>-2</v>
      </c>
      <c r="AE17" s="7">
        <f t="shared" si="7"/>
        <v>3</v>
      </c>
      <c r="AF17" s="7">
        <f t="shared" si="8"/>
        <v>1</v>
      </c>
      <c r="AG17" s="7">
        <f t="shared" si="9"/>
        <v>5</v>
      </c>
      <c r="AH17" s="7">
        <f t="shared" si="10"/>
        <v>3</v>
      </c>
      <c r="AI17" s="8">
        <f t="shared" si="11"/>
        <v>-2</v>
      </c>
      <c r="AQ17" t="s">
        <v>364</v>
      </c>
      <c r="AR17" s="185" t="e">
        <f ca="1">AR14*(AR15-1)*AR16-2</f>
        <v>#NAME?</v>
      </c>
      <c r="AT17" s="14" t="s">
        <v>406</v>
      </c>
    </row>
    <row r="18" spans="1:46" x14ac:dyDescent="0.25">
      <c r="A18" s="190">
        <f t="shared" si="1"/>
        <v>15</v>
      </c>
      <c r="B18" s="170">
        <v>2</v>
      </c>
      <c r="C18" s="171">
        <v>8</v>
      </c>
      <c r="D18" s="171">
        <v>6</v>
      </c>
      <c r="E18" s="32">
        <v>10</v>
      </c>
      <c r="G18" s="190">
        <f t="shared" si="2"/>
        <v>13</v>
      </c>
      <c r="H18" s="182">
        <f t="shared" si="0"/>
        <v>9</v>
      </c>
      <c r="I18" s="38">
        <f t="shared" si="0"/>
        <v>12</v>
      </c>
      <c r="J18" s="38">
        <f t="shared" si="0"/>
        <v>20</v>
      </c>
      <c r="K18" s="186">
        <f t="shared" si="0"/>
        <v>23</v>
      </c>
      <c r="L18">
        <f t="shared" si="4"/>
        <v>16</v>
      </c>
      <c r="N18" t="s">
        <v>176</v>
      </c>
      <c r="O18">
        <f>O7</f>
        <v>400.49999999999977</v>
      </c>
      <c r="P18" t="e">
        <f ca="1">P7*J48</f>
        <v>#NAME?</v>
      </c>
      <c r="Q18" t="e">
        <f ca="1">O18/P18</f>
        <v>#NAME?</v>
      </c>
      <c r="W18" s="190">
        <f t="shared" si="12"/>
        <v>13</v>
      </c>
      <c r="X18" s="29">
        <f t="shared" si="5"/>
        <v>9</v>
      </c>
      <c r="Y18" s="38">
        <f t="shared" si="3"/>
        <v>12</v>
      </c>
      <c r="Z18" s="38">
        <f t="shared" si="3"/>
        <v>20</v>
      </c>
      <c r="AA18" s="30">
        <f t="shared" si="3"/>
        <v>23</v>
      </c>
      <c r="AC18" s="190">
        <f t="shared" si="13"/>
        <v>13</v>
      </c>
      <c r="AD18" s="6">
        <f t="shared" si="6"/>
        <v>-3</v>
      </c>
      <c r="AE18" s="7">
        <f t="shared" si="7"/>
        <v>-11</v>
      </c>
      <c r="AF18" s="7">
        <f t="shared" si="8"/>
        <v>-14</v>
      </c>
      <c r="AG18" s="7">
        <f t="shared" si="9"/>
        <v>-8</v>
      </c>
      <c r="AH18" s="7">
        <f t="shared" si="10"/>
        <v>-11</v>
      </c>
      <c r="AI18" s="8">
        <f t="shared" si="11"/>
        <v>-3</v>
      </c>
      <c r="AQ18" t="s">
        <v>365</v>
      </c>
      <c r="AR18" s="185" t="e">
        <f ca="1">(AR15-1)*(AR14-1-(AR15-1)*AR16)</f>
        <v>#NAME?</v>
      </c>
      <c r="AT18" s="14" t="s">
        <v>407</v>
      </c>
    </row>
    <row r="19" spans="1:46" x14ac:dyDescent="0.25">
      <c r="G19" s="190">
        <f t="shared" si="2"/>
        <v>14</v>
      </c>
      <c r="H19" s="182">
        <f t="shared" si="0"/>
        <v>3</v>
      </c>
      <c r="I19" s="38">
        <f t="shared" si="0"/>
        <v>9</v>
      </c>
      <c r="J19" s="38">
        <f t="shared" si="0"/>
        <v>13</v>
      </c>
      <c r="K19" s="186">
        <f t="shared" si="0"/>
        <v>16</v>
      </c>
      <c r="L19">
        <f t="shared" si="4"/>
        <v>10.25</v>
      </c>
      <c r="N19" s="210"/>
      <c r="O19" s="210"/>
      <c r="P19" s="210"/>
      <c r="Q19" s="210"/>
      <c r="R19" s="210"/>
      <c r="S19" s="210"/>
      <c r="T19" s="210"/>
      <c r="W19" s="190">
        <f t="shared" si="12"/>
        <v>14</v>
      </c>
      <c r="X19" s="29">
        <f t="shared" si="5"/>
        <v>3</v>
      </c>
      <c r="Y19" s="38">
        <f t="shared" si="3"/>
        <v>9</v>
      </c>
      <c r="Z19" s="38">
        <f t="shared" si="3"/>
        <v>13</v>
      </c>
      <c r="AA19" s="30">
        <f t="shared" si="3"/>
        <v>16</v>
      </c>
      <c r="AC19" s="190">
        <f t="shared" si="13"/>
        <v>14</v>
      </c>
      <c r="AD19" s="6">
        <f t="shared" si="6"/>
        <v>-6</v>
      </c>
      <c r="AE19" s="7">
        <f t="shared" si="7"/>
        <v>-10</v>
      </c>
      <c r="AF19" s="7">
        <f t="shared" si="8"/>
        <v>-13</v>
      </c>
      <c r="AG19" s="7">
        <f t="shared" si="9"/>
        <v>-4</v>
      </c>
      <c r="AH19" s="7">
        <f t="shared" si="10"/>
        <v>-7</v>
      </c>
      <c r="AI19" s="8">
        <f t="shared" si="11"/>
        <v>-3</v>
      </c>
      <c r="AQ19" t="s">
        <v>366</v>
      </c>
      <c r="AR19" s="123" t="e">
        <f ca="1">MIN(AR17/AR18,1)</f>
        <v>#NAME?</v>
      </c>
      <c r="AT19" s="14" t="s">
        <v>408</v>
      </c>
    </row>
    <row r="20" spans="1:46" x14ac:dyDescent="0.25">
      <c r="G20" s="190">
        <f t="shared" si="2"/>
        <v>15</v>
      </c>
      <c r="H20" s="170">
        <f t="shared" si="0"/>
        <v>2</v>
      </c>
      <c r="I20" s="171">
        <f t="shared" si="0"/>
        <v>8</v>
      </c>
      <c r="J20" s="171">
        <f t="shared" si="0"/>
        <v>6</v>
      </c>
      <c r="K20" s="187">
        <f t="shared" si="0"/>
        <v>10</v>
      </c>
      <c r="L20">
        <f t="shared" si="4"/>
        <v>6.5</v>
      </c>
      <c r="W20" s="190">
        <f t="shared" si="12"/>
        <v>15</v>
      </c>
      <c r="X20" s="31">
        <f t="shared" si="5"/>
        <v>2</v>
      </c>
      <c r="Y20" s="192">
        <f t="shared" si="3"/>
        <v>8</v>
      </c>
      <c r="Z20" s="192">
        <f t="shared" si="3"/>
        <v>6</v>
      </c>
      <c r="AA20" s="32">
        <f t="shared" si="3"/>
        <v>10</v>
      </c>
      <c r="AC20" s="190">
        <f t="shared" si="13"/>
        <v>15</v>
      </c>
      <c r="AD20" s="9">
        <f t="shared" si="6"/>
        <v>-6</v>
      </c>
      <c r="AE20" s="10">
        <f t="shared" si="7"/>
        <v>-4</v>
      </c>
      <c r="AF20" s="10">
        <f t="shared" si="8"/>
        <v>-8</v>
      </c>
      <c r="AG20" s="10">
        <f t="shared" si="9"/>
        <v>2</v>
      </c>
      <c r="AH20" s="10">
        <f t="shared" si="10"/>
        <v>-2</v>
      </c>
      <c r="AI20" s="11">
        <f t="shared" si="11"/>
        <v>-4</v>
      </c>
    </row>
    <row r="21" spans="1:46" x14ac:dyDescent="0.25">
      <c r="G21" t="s">
        <v>9</v>
      </c>
      <c r="H21">
        <f>AVERAGE(H6:H20)</f>
        <v>12.533333333333333</v>
      </c>
      <c r="I21">
        <f>AVERAGE(I6:I20)</f>
        <v>18.333333333333332</v>
      </c>
      <c r="J21">
        <f>AVERAGE(J6:J20)</f>
        <v>19.933333333333334</v>
      </c>
      <c r="K21">
        <f>AVERAGE(K6:K20)</f>
        <v>22.733333333333334</v>
      </c>
      <c r="L21">
        <f>AVERAGE(L6:L20)</f>
        <v>18.383333333333333</v>
      </c>
      <c r="N21" t="s">
        <v>409</v>
      </c>
      <c r="W21" s="190" t="s">
        <v>7</v>
      </c>
      <c r="X21" s="190">
        <f>VAR(X6:X20)</f>
        <v>55.838095238095221</v>
      </c>
      <c r="Y21" s="190">
        <f>VAR(Y6:Y20)</f>
        <v>35.523809523809504</v>
      </c>
      <c r="Z21" s="190">
        <f>VAR(Z6:Z20)</f>
        <v>41.352380952380955</v>
      </c>
      <c r="AA21" s="190">
        <f>VAR(AA6:AA20)</f>
        <v>34.352380952380955</v>
      </c>
      <c r="AC21" s="190" t="s">
        <v>6</v>
      </c>
      <c r="AD21">
        <f t="shared" ref="AD21:AI21" si="14">AVERAGE(AD6:AD20)</f>
        <v>-5.8</v>
      </c>
      <c r="AE21">
        <f t="shared" si="14"/>
        <v>-7.4</v>
      </c>
      <c r="AF21">
        <f t="shared" si="14"/>
        <v>-10.199999999999999</v>
      </c>
      <c r="AG21">
        <f t="shared" si="14"/>
        <v>-1.6</v>
      </c>
      <c r="AH21">
        <f t="shared" si="14"/>
        <v>-4.4000000000000004</v>
      </c>
      <c r="AI21">
        <f t="shared" si="14"/>
        <v>-2.8</v>
      </c>
      <c r="AQ21" t="s">
        <v>410</v>
      </c>
      <c r="AR21" s="213">
        <f>1/(AR15-1)</f>
        <v>0.33333333333333331</v>
      </c>
      <c r="AT21" s="14" t="s">
        <v>411</v>
      </c>
    </row>
    <row r="22" spans="1:46" x14ac:dyDescent="0.25">
      <c r="G22" t="s">
        <v>54</v>
      </c>
      <c r="H22">
        <f>VAR(H6:H20)</f>
        <v>55.838095238095221</v>
      </c>
      <c r="I22">
        <f>VAR(I6:I20)</f>
        <v>35.523809523809504</v>
      </c>
      <c r="J22">
        <f>VAR(J6:J20)</f>
        <v>41.352380952380955</v>
      </c>
      <c r="K22">
        <f>VAR(K6:K20)</f>
        <v>34.352380952380955</v>
      </c>
      <c r="L22">
        <f>VAR(L6:L20)</f>
        <v>34.614880952380972</v>
      </c>
      <c r="AC22" s="190" t="s">
        <v>7</v>
      </c>
      <c r="AD22">
        <f t="shared" ref="AD22:AI22" si="15">VAR(AD6:AD20)</f>
        <v>12.314285714285713</v>
      </c>
      <c r="AE22">
        <f t="shared" si="15"/>
        <v>29.685714285714287</v>
      </c>
      <c r="AF22">
        <f t="shared" si="15"/>
        <v>33.028571428571432</v>
      </c>
      <c r="AG22">
        <f t="shared" si="15"/>
        <v>18.542857142857144</v>
      </c>
      <c r="AH22">
        <f t="shared" si="15"/>
        <v>19.542857142857144</v>
      </c>
      <c r="AI22">
        <f t="shared" si="15"/>
        <v>1.3142857142857147</v>
      </c>
    </row>
    <row r="23" spans="1:46" x14ac:dyDescent="0.25">
      <c r="N23" t="s">
        <v>17</v>
      </c>
      <c r="O23" s="212">
        <f>P5+1</f>
        <v>15</v>
      </c>
      <c r="AD23" t="e">
        <f ca="1">W25+X26-2*X25</f>
        <v>#NAME?</v>
      </c>
      <c r="AE23" t="e">
        <f ca="1">W25+Y27-2*Y25</f>
        <v>#NAME?</v>
      </c>
      <c r="AF23" t="e">
        <f ca="1">W25+Z28-2*Z25</f>
        <v>#NAME?</v>
      </c>
      <c r="AG23" t="e">
        <f ca="1">X26+Y27-2*Y26</f>
        <v>#NAME?</v>
      </c>
      <c r="AH23" t="e">
        <f ca="1">X26+Z28-2*Z26</f>
        <v>#NAME?</v>
      </c>
      <c r="AI23" t="e">
        <f ca="1">Y27+Z28-2*Z27</f>
        <v>#NAME?</v>
      </c>
    </row>
    <row r="24" spans="1:46" ht="15.75" thickBot="1" x14ac:dyDescent="0.3">
      <c r="G24" t="s">
        <v>351</v>
      </c>
      <c r="N24" t="s">
        <v>38</v>
      </c>
      <c r="O24" s="185">
        <f>P6+1</f>
        <v>4</v>
      </c>
      <c r="W24" s="190" t="s">
        <v>384</v>
      </c>
      <c r="X24" s="190" t="s">
        <v>385</v>
      </c>
      <c r="Y24" s="190" t="s">
        <v>386</v>
      </c>
      <c r="Z24" s="190" t="s">
        <v>387</v>
      </c>
      <c r="AA24" s="190" t="s">
        <v>6</v>
      </c>
    </row>
    <row r="25" spans="1:46" ht="15.75" thickTop="1" x14ac:dyDescent="0.25">
      <c r="G25" s="172" t="s">
        <v>352</v>
      </c>
      <c r="H25" s="172">
        <f>COUNT(H6:H20)</f>
        <v>15</v>
      </c>
      <c r="N25" t="s">
        <v>412</v>
      </c>
      <c r="O25" s="185">
        <f>Q5</f>
        <v>138.4595238095238</v>
      </c>
      <c r="V25" s="12" t="s">
        <v>384</v>
      </c>
      <c r="W25" s="209" t="e">
        <f t="array" aca="1" ref="W25:Z28" ca="1">COV(X6:AA20)</f>
        <v>#NAME?</v>
      </c>
      <c r="X25" s="210" t="e">
        <f ca="1"/>
        <v>#NAME?</v>
      </c>
      <c r="Y25" s="210" t="e">
        <f ca="1"/>
        <v>#NAME?</v>
      </c>
      <c r="Z25" s="211" t="e">
        <f ca="1"/>
        <v>#NAME?</v>
      </c>
      <c r="AA25" t="e">
        <f ca="1">AVERAGE(W25:Z25)</f>
        <v>#NAME?</v>
      </c>
    </row>
    <row r="26" spans="1:46" x14ac:dyDescent="0.25">
      <c r="G26" t="s">
        <v>53</v>
      </c>
      <c r="H26">
        <f>COUNT(H6:K6)</f>
        <v>4</v>
      </c>
      <c r="N26" t="s">
        <v>413</v>
      </c>
      <c r="O26" s="185" t="e">
        <f ca="1">Q12</f>
        <v>#NAME?</v>
      </c>
      <c r="V26" s="12" t="s">
        <v>385</v>
      </c>
      <c r="W26" s="6" t="e">
        <f ca="1"/>
        <v>#NAME?</v>
      </c>
      <c r="X26" s="7" t="e">
        <f ca="1"/>
        <v>#NAME?</v>
      </c>
      <c r="Y26" s="7" t="e">
        <f ca="1"/>
        <v>#NAME?</v>
      </c>
      <c r="Z26" s="8" t="e">
        <f ca="1"/>
        <v>#NAME?</v>
      </c>
      <c r="AA26" t="e">
        <f ca="1">AVERAGE(W26:Z26)</f>
        <v>#NAME?</v>
      </c>
    </row>
    <row r="27" spans="1:46" x14ac:dyDescent="0.25">
      <c r="G27" s="210"/>
      <c r="H27" s="210"/>
      <c r="N27" t="s">
        <v>414</v>
      </c>
      <c r="O27" s="185" t="e">
        <f ca="1">Q13</f>
        <v>#NAME?</v>
      </c>
      <c r="V27" s="12" t="s">
        <v>386</v>
      </c>
      <c r="W27" s="6" t="e">
        <f ca="1"/>
        <v>#NAME?</v>
      </c>
      <c r="X27" s="7" t="e">
        <f ca="1"/>
        <v>#NAME?</v>
      </c>
      <c r="Y27" s="7" t="e">
        <f ca="1"/>
        <v>#NAME?</v>
      </c>
      <c r="Z27" s="8" t="e">
        <f ca="1"/>
        <v>#NAME?</v>
      </c>
      <c r="AA27" t="e">
        <f ca="1">AVERAGE(W27:Z27)</f>
        <v>#NAME?</v>
      </c>
    </row>
    <row r="28" spans="1:46" x14ac:dyDescent="0.25">
      <c r="G28" t="s">
        <v>353</v>
      </c>
      <c r="N28" t="s">
        <v>415</v>
      </c>
      <c r="O28" s="185" t="e">
        <f ca="1">(O23-O24)/(O23*O24)*(O26-O27)</f>
        <v>#NAME?</v>
      </c>
      <c r="V28" s="12" t="s">
        <v>387</v>
      </c>
      <c r="W28" s="9" t="e">
        <f ca="1"/>
        <v>#NAME?</v>
      </c>
      <c r="X28" s="10" t="e">
        <f ca="1"/>
        <v>#NAME?</v>
      </c>
      <c r="Y28" s="10" t="e">
        <f ca="1"/>
        <v>#NAME?</v>
      </c>
      <c r="Z28" s="11" t="e">
        <f ca="1"/>
        <v>#NAME?</v>
      </c>
      <c r="AA28" t="e">
        <f ca="1">AVERAGE(W28:Z28)</f>
        <v>#NAME?</v>
      </c>
    </row>
    <row r="29" spans="1:46" x14ac:dyDescent="0.25">
      <c r="N29" t="s">
        <v>416</v>
      </c>
      <c r="O29" s="185" t="e">
        <f ca="1">O26+(O25-O27)/O24+O28</f>
        <v>#NAME?</v>
      </c>
    </row>
    <row r="30" spans="1:46" ht="15.75" thickBot="1" x14ac:dyDescent="0.3">
      <c r="H30" s="203" t="e">
        <f t="array" aca="1" ref="H30:K33" ca="1">COV(H6:K20)</f>
        <v>#NAME?</v>
      </c>
      <c r="I30" s="204" t="e">
        <f ca="1"/>
        <v>#NAME?</v>
      </c>
      <c r="J30" s="204" t="e">
        <f ca="1"/>
        <v>#NAME?</v>
      </c>
      <c r="K30" s="205" t="e">
        <f ca="1"/>
        <v>#NAME?</v>
      </c>
      <c r="N30" t="s">
        <v>417</v>
      </c>
      <c r="O30" s="123" t="e">
        <f ca="1">O28/O29</f>
        <v>#NAME?</v>
      </c>
    </row>
    <row r="31" spans="1:46" x14ac:dyDescent="0.25">
      <c r="H31" s="183" t="e">
        <f ca="1"/>
        <v>#NAME?</v>
      </c>
      <c r="I31" s="7" t="e">
        <f ca="1"/>
        <v>#NAME?</v>
      </c>
      <c r="J31" s="7" t="e">
        <f ca="1"/>
        <v>#NAME?</v>
      </c>
      <c r="K31" s="43" t="e">
        <f ca="1"/>
        <v>#NAME?</v>
      </c>
      <c r="AQ31" s="191" t="s">
        <v>83</v>
      </c>
      <c r="AR31" s="191" t="s">
        <v>161</v>
      </c>
    </row>
    <row r="32" spans="1:46" x14ac:dyDescent="0.25">
      <c r="H32" s="183" t="e">
        <f ca="1"/>
        <v>#NAME?</v>
      </c>
      <c r="I32" s="7" t="e">
        <f ca="1"/>
        <v>#NAME?</v>
      </c>
      <c r="J32" s="7" t="e">
        <f ca="1"/>
        <v>#NAME?</v>
      </c>
      <c r="K32" s="43" t="e">
        <f ca="1"/>
        <v>#NAME?</v>
      </c>
      <c r="AQ32" s="16">
        <v>8.1670607503920066E-12</v>
      </c>
      <c r="AR32" s="16">
        <v>1.9350088132446253</v>
      </c>
    </row>
    <row r="33" spans="7:44" x14ac:dyDescent="0.25">
      <c r="H33" s="76" t="e">
        <f ca="1"/>
        <v>#NAME?</v>
      </c>
      <c r="I33" s="173" t="e">
        <f ca="1"/>
        <v>#NAME?</v>
      </c>
      <c r="J33" s="173" t="e">
        <f ca="1"/>
        <v>#NAME?</v>
      </c>
      <c r="K33" s="77" t="e">
        <f ca="1"/>
        <v>#NAME?</v>
      </c>
      <c r="AQ33" s="16">
        <v>2.39621816316698E-10</v>
      </c>
      <c r="AR33" s="16">
        <v>2.8270487120861261</v>
      </c>
    </row>
    <row r="34" spans="7:44" x14ac:dyDescent="0.25">
      <c r="G34" t="s">
        <v>9</v>
      </c>
      <c r="H34" t="e">
        <f ca="1">AVERAGE(H30:H33)</f>
        <v>#NAME?</v>
      </c>
      <c r="I34" t="e">
        <f ca="1">AVERAGE(I30:I33)</f>
        <v>#NAME?</v>
      </c>
      <c r="J34" t="e">
        <f ca="1">AVERAGE(J30:J33)</f>
        <v>#NAME?</v>
      </c>
      <c r="K34" t="e">
        <f ca="1">AVERAGE(K30:K33)</f>
        <v>#NAME?</v>
      </c>
      <c r="AQ34" s="16"/>
      <c r="AR34" s="16"/>
    </row>
    <row r="35" spans="7:44" x14ac:dyDescent="0.25">
      <c r="AQ35" s="16"/>
      <c r="AR35" s="16"/>
    </row>
    <row r="36" spans="7:44" ht="15.75" thickBot="1" x14ac:dyDescent="0.3">
      <c r="G36" t="s">
        <v>354</v>
      </c>
      <c r="AQ36" s="17"/>
      <c r="AR36" s="17"/>
    </row>
    <row r="37" spans="7:44" x14ac:dyDescent="0.25">
      <c r="H37" t="s">
        <v>355</v>
      </c>
      <c r="J37">
        <f>H25</f>
        <v>15</v>
      </c>
    </row>
    <row r="38" spans="7:44" x14ac:dyDescent="0.25">
      <c r="H38" t="s">
        <v>356</v>
      </c>
      <c r="J38">
        <f>H26</f>
        <v>4</v>
      </c>
    </row>
    <row r="39" spans="7:44" x14ac:dyDescent="0.25">
      <c r="H39" t="s">
        <v>357</v>
      </c>
      <c r="J39">
        <f>AVERAGE(H22:K22)</f>
        <v>41.766666666666652</v>
      </c>
    </row>
    <row r="40" spans="7:44" x14ac:dyDescent="0.25">
      <c r="H40" t="s">
        <v>358</v>
      </c>
      <c r="J40" t="e">
        <f ca="1">AVERAGE(H30:K33)</f>
        <v>#NAME?</v>
      </c>
    </row>
    <row r="41" spans="7:44" x14ac:dyDescent="0.25">
      <c r="H41" t="s">
        <v>359</v>
      </c>
      <c r="J41" t="e">
        <f ca="1">SUMSQ(H30:K33)</f>
        <v>#NAME?</v>
      </c>
    </row>
    <row r="42" spans="7:44" x14ac:dyDescent="0.25">
      <c r="H42" t="s">
        <v>360</v>
      </c>
      <c r="J42" t="e">
        <f ca="1">SUMSQ(H34:K34)</f>
        <v>#NAME?</v>
      </c>
    </row>
    <row r="43" spans="7:44" x14ac:dyDescent="0.25">
      <c r="H43" t="s">
        <v>361</v>
      </c>
      <c r="J43" t="e">
        <f ca="1">(J38*(J39-J40))^2</f>
        <v>#NAME?</v>
      </c>
    </row>
    <row r="44" spans="7:44" x14ac:dyDescent="0.25">
      <c r="H44" t="s">
        <v>362</v>
      </c>
      <c r="J44" t="e">
        <f ca="1">(J38-1)*(J41-2*J38*J42+J38^2*J40^2)</f>
        <v>#NAME?</v>
      </c>
    </row>
    <row r="45" spans="7:44" x14ac:dyDescent="0.25">
      <c r="H45" t="s">
        <v>363</v>
      </c>
      <c r="J45" t="e">
        <f ca="1">J43/J44</f>
        <v>#NAME?</v>
      </c>
    </row>
    <row r="46" spans="7:44" x14ac:dyDescent="0.25">
      <c r="H46" t="s">
        <v>364</v>
      </c>
      <c r="J46" t="e">
        <f ca="1">J37*(J38-1)*J45-2</f>
        <v>#NAME?</v>
      </c>
    </row>
    <row r="47" spans="7:44" x14ac:dyDescent="0.25">
      <c r="H47" t="s">
        <v>365</v>
      </c>
      <c r="J47" t="e">
        <f ca="1">(J38-1)*(J37-1-(J38-1)*J45)</f>
        <v>#NAME?</v>
      </c>
    </row>
    <row r="48" spans="7:44" x14ac:dyDescent="0.25">
      <c r="H48" t="s">
        <v>366</v>
      </c>
      <c r="J48" t="e">
        <f ca="1">MIN(J46/J47,1)</f>
        <v>#NAME?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T25"/>
  <sheetViews>
    <sheetView workbookViewId="0"/>
  </sheetViews>
  <sheetFormatPr defaultRowHeight="15" x14ac:dyDescent="0.25"/>
  <cols>
    <col min="7" max="7" width="11.42578125" customWidth="1"/>
    <col min="13" max="13" width="6" customWidth="1"/>
  </cols>
  <sheetData>
    <row r="1" spans="1:20" x14ac:dyDescent="0.25">
      <c r="A1" s="1" t="s">
        <v>497</v>
      </c>
    </row>
    <row r="3" spans="1:20" ht="15.75" thickBot="1" x14ac:dyDescent="0.3">
      <c r="A3" s="485" t="s">
        <v>39</v>
      </c>
      <c r="B3" s="485" t="s">
        <v>59</v>
      </c>
      <c r="C3" s="485" t="s">
        <v>372</v>
      </c>
      <c r="D3" s="485" t="s">
        <v>373</v>
      </c>
      <c r="E3" s="485" t="s">
        <v>374</v>
      </c>
      <c r="G3" t="s">
        <v>152</v>
      </c>
      <c r="N3" t="s">
        <v>125</v>
      </c>
      <c r="R3" t="s">
        <v>18</v>
      </c>
      <c r="S3">
        <v>0.05</v>
      </c>
    </row>
    <row r="4" spans="1:20" ht="15.75" thickTop="1" x14ac:dyDescent="0.25">
      <c r="A4" s="485">
        <v>1</v>
      </c>
      <c r="B4" s="199">
        <v>16</v>
      </c>
      <c r="C4" s="200">
        <v>22</v>
      </c>
      <c r="D4" s="200">
        <v>23</v>
      </c>
      <c r="E4" s="201">
        <v>25</v>
      </c>
      <c r="N4" s="386" t="s">
        <v>153</v>
      </c>
      <c r="O4" s="386" t="s">
        <v>111</v>
      </c>
      <c r="P4" s="386" t="s">
        <v>41</v>
      </c>
      <c r="Q4" s="386" t="s">
        <v>115</v>
      </c>
      <c r="R4" s="386" t="s">
        <v>98</v>
      </c>
      <c r="S4" s="386" t="s">
        <v>154</v>
      </c>
      <c r="T4" s="386" t="s">
        <v>155</v>
      </c>
    </row>
    <row r="5" spans="1:20" x14ac:dyDescent="0.25">
      <c r="A5" s="485">
        <f>A4+1</f>
        <v>2</v>
      </c>
      <c r="B5" s="182">
        <v>12</v>
      </c>
      <c r="C5" s="488">
        <v>18</v>
      </c>
      <c r="D5" s="488">
        <v>24</v>
      </c>
      <c r="E5" s="176">
        <v>29</v>
      </c>
      <c r="G5" t="str">
        <f>A3</f>
        <v>Subject</v>
      </c>
      <c r="H5" t="str">
        <f>B3</f>
        <v>Before</v>
      </c>
      <c r="I5" t="str">
        <f>C3</f>
        <v>1 week</v>
      </c>
      <c r="J5" t="str">
        <f>D3</f>
        <v>2 weeks</v>
      </c>
      <c r="K5" t="str">
        <f>E3</f>
        <v>3 weeks</v>
      </c>
      <c r="L5" s="485" t="s">
        <v>9</v>
      </c>
      <c r="N5" t="s">
        <v>352</v>
      </c>
      <c r="O5">
        <f>(P6+1)*DEVSQ(L6:L20)</f>
        <v>1938.4333333333334</v>
      </c>
      <c r="P5">
        <f>COUNT(H6:H20)-1</f>
        <v>14</v>
      </c>
      <c r="Q5">
        <f>O5/P5</f>
        <v>138.4595238095238</v>
      </c>
      <c r="R5">
        <f>Q5/Q7</f>
        <v>14.520099875156061</v>
      </c>
      <c r="S5">
        <f>FDIST(R5,P5,P7)</f>
        <v>8.1670607503918935E-12</v>
      </c>
      <c r="T5">
        <f>FINV(S3,P5,P7)</f>
        <v>1.9350088132446253</v>
      </c>
    </row>
    <row r="6" spans="1:20" x14ac:dyDescent="0.25">
      <c r="A6" s="485">
        <f t="shared" ref="A6:A18" si="0">A5+1</f>
        <v>3</v>
      </c>
      <c r="B6" s="182">
        <v>23</v>
      </c>
      <c r="C6" s="488">
        <v>24</v>
      </c>
      <c r="D6" s="488">
        <v>26</v>
      </c>
      <c r="E6" s="30">
        <v>27</v>
      </c>
      <c r="G6">
        <f t="shared" ref="G6:G20" si="1">A4</f>
        <v>1</v>
      </c>
      <c r="H6" s="414">
        <f t="shared" ref="H6:H20" si="2">B4</f>
        <v>16</v>
      </c>
      <c r="I6" s="358">
        <f t="shared" ref="I6:I20" si="3">C4</f>
        <v>22</v>
      </c>
      <c r="J6" s="358">
        <f t="shared" ref="J6:J20" si="4">D4</f>
        <v>23</v>
      </c>
      <c r="K6" s="415">
        <f t="shared" ref="K6:K20" si="5">E4</f>
        <v>25</v>
      </c>
      <c r="L6">
        <f>AVERAGE(H6:K6)</f>
        <v>21.5</v>
      </c>
      <c r="N6" t="s">
        <v>53</v>
      </c>
      <c r="O6">
        <f>(P5+1)*DEVSQ(H21:K21)</f>
        <v>833.25000000000023</v>
      </c>
      <c r="P6">
        <f>COUNT(H6:K6)-1</f>
        <v>3</v>
      </c>
      <c r="Q6">
        <f>O6/P6</f>
        <v>277.75000000000006</v>
      </c>
      <c r="R6">
        <f>Q6/Q7</f>
        <v>29.127340823970059</v>
      </c>
      <c r="S6">
        <f>FDIST(R6,P6,P7)</f>
        <v>2.3962181631669464E-10</v>
      </c>
      <c r="T6">
        <f>FINV(S3,P6,P7)</f>
        <v>2.8270487120861261</v>
      </c>
    </row>
    <row r="7" spans="1:20" x14ac:dyDescent="0.25">
      <c r="A7" s="485">
        <f t="shared" si="0"/>
        <v>4</v>
      </c>
      <c r="B7" s="182">
        <v>8</v>
      </c>
      <c r="C7" s="488">
        <v>20</v>
      </c>
      <c r="D7" s="488">
        <v>28</v>
      </c>
      <c r="E7" s="30">
        <v>30</v>
      </c>
      <c r="G7">
        <f t="shared" si="1"/>
        <v>2</v>
      </c>
      <c r="H7" s="183">
        <f t="shared" si="2"/>
        <v>12</v>
      </c>
      <c r="I7" s="7">
        <f t="shared" si="3"/>
        <v>18</v>
      </c>
      <c r="J7" s="7">
        <f t="shared" si="4"/>
        <v>24</v>
      </c>
      <c r="K7" s="43">
        <f t="shared" si="5"/>
        <v>29</v>
      </c>
      <c r="L7">
        <f t="shared" ref="L7:L20" si="6">AVERAGE(H7:K7)</f>
        <v>20.75</v>
      </c>
      <c r="N7" t="s">
        <v>176</v>
      </c>
      <c r="O7">
        <f>O8-O5-O6</f>
        <v>400.49999999999977</v>
      </c>
      <c r="P7">
        <f>P8-P5-P6</f>
        <v>42</v>
      </c>
      <c r="Q7">
        <f>O7/P7</f>
        <v>9.5357142857142811</v>
      </c>
    </row>
    <row r="8" spans="1:20" x14ac:dyDescent="0.25">
      <c r="A8" s="485">
        <f t="shared" si="0"/>
        <v>5</v>
      </c>
      <c r="B8" s="182">
        <v>3</v>
      </c>
      <c r="C8" s="488">
        <v>12</v>
      </c>
      <c r="D8" s="488">
        <v>13</v>
      </c>
      <c r="E8" s="30">
        <v>17</v>
      </c>
      <c r="G8">
        <f t="shared" si="1"/>
        <v>3</v>
      </c>
      <c r="H8" s="183">
        <f t="shared" si="2"/>
        <v>23</v>
      </c>
      <c r="I8" s="7">
        <f t="shared" si="3"/>
        <v>24</v>
      </c>
      <c r="J8" s="7">
        <f t="shared" si="4"/>
        <v>26</v>
      </c>
      <c r="K8" s="43">
        <f t="shared" si="5"/>
        <v>27</v>
      </c>
      <c r="L8">
        <f t="shared" si="6"/>
        <v>25</v>
      </c>
      <c r="N8" t="s">
        <v>1</v>
      </c>
      <c r="O8">
        <f>DEVSQ(H6:K20)</f>
        <v>3172.1833333333334</v>
      </c>
      <c r="P8">
        <f>(P5+1)*(P6+1)-1</f>
        <v>59</v>
      </c>
    </row>
    <row r="9" spans="1:20" x14ac:dyDescent="0.25">
      <c r="A9" s="485">
        <f t="shared" si="0"/>
        <v>6</v>
      </c>
      <c r="B9" s="182">
        <v>5</v>
      </c>
      <c r="C9" s="488">
        <v>13</v>
      </c>
      <c r="D9" s="488">
        <v>11</v>
      </c>
      <c r="E9" s="30">
        <v>15</v>
      </c>
      <c r="G9">
        <f t="shared" si="1"/>
        <v>4</v>
      </c>
      <c r="H9" s="183">
        <f t="shared" si="2"/>
        <v>8</v>
      </c>
      <c r="I9" s="7">
        <f t="shared" si="3"/>
        <v>20</v>
      </c>
      <c r="J9" s="7">
        <f t="shared" si="4"/>
        <v>28</v>
      </c>
      <c r="K9" s="43">
        <f t="shared" si="5"/>
        <v>30</v>
      </c>
      <c r="L9">
        <f t="shared" si="6"/>
        <v>21.5</v>
      </c>
      <c r="N9" s="416"/>
      <c r="O9" s="416"/>
      <c r="P9" s="416"/>
      <c r="Q9" s="416"/>
      <c r="R9" s="416"/>
      <c r="S9" s="416"/>
      <c r="T9" s="416"/>
    </row>
    <row r="10" spans="1:20" ht="15.75" thickBot="1" x14ac:dyDescent="0.3">
      <c r="A10" s="485">
        <f t="shared" si="0"/>
        <v>7</v>
      </c>
      <c r="B10" s="182">
        <v>19</v>
      </c>
      <c r="C10" s="488">
        <v>22</v>
      </c>
      <c r="D10" s="488">
        <v>25</v>
      </c>
      <c r="E10" s="30">
        <v>26</v>
      </c>
      <c r="G10">
        <f t="shared" si="1"/>
        <v>5</v>
      </c>
      <c r="H10" s="183">
        <f t="shared" si="2"/>
        <v>3</v>
      </c>
      <c r="I10" s="7">
        <f t="shared" si="3"/>
        <v>12</v>
      </c>
      <c r="J10" s="7">
        <f t="shared" si="4"/>
        <v>13</v>
      </c>
      <c r="K10" s="43">
        <f t="shared" si="5"/>
        <v>17</v>
      </c>
      <c r="L10">
        <f t="shared" si="6"/>
        <v>11.25</v>
      </c>
      <c r="N10" t="s">
        <v>367</v>
      </c>
      <c r="R10" t="s">
        <v>18</v>
      </c>
      <c r="S10">
        <v>0.05</v>
      </c>
    </row>
    <row r="11" spans="1:20" ht="15.75" thickTop="1" x14ac:dyDescent="0.25">
      <c r="A11" s="485">
        <f t="shared" si="0"/>
        <v>8</v>
      </c>
      <c r="B11" s="182">
        <v>22</v>
      </c>
      <c r="C11" s="488">
        <v>22</v>
      </c>
      <c r="D11" s="488">
        <v>23</v>
      </c>
      <c r="E11" s="30">
        <v>26</v>
      </c>
      <c r="G11">
        <f t="shared" si="1"/>
        <v>6</v>
      </c>
      <c r="H11" s="183">
        <f t="shared" si="2"/>
        <v>5</v>
      </c>
      <c r="I11" s="7">
        <f t="shared" si="3"/>
        <v>13</v>
      </c>
      <c r="J11" s="7">
        <f t="shared" si="4"/>
        <v>11</v>
      </c>
      <c r="K11" s="43">
        <f t="shared" si="5"/>
        <v>15</v>
      </c>
      <c r="L11">
        <f t="shared" si="6"/>
        <v>11</v>
      </c>
      <c r="N11" s="386" t="s">
        <v>153</v>
      </c>
      <c r="O11" s="386" t="s">
        <v>111</v>
      </c>
      <c r="P11" s="386" t="s">
        <v>41</v>
      </c>
      <c r="Q11" s="386" t="s">
        <v>115</v>
      </c>
      <c r="R11" s="386" t="s">
        <v>98</v>
      </c>
      <c r="S11" s="386" t="s">
        <v>154</v>
      </c>
      <c r="T11" s="386" t="s">
        <v>155</v>
      </c>
    </row>
    <row r="12" spans="1:20" x14ac:dyDescent="0.25">
      <c r="A12" s="485">
        <f t="shared" si="0"/>
        <v>9</v>
      </c>
      <c r="B12" s="182">
        <v>12</v>
      </c>
      <c r="C12" s="488">
        <v>20</v>
      </c>
      <c r="D12" s="488">
        <v>22</v>
      </c>
      <c r="E12" s="30">
        <v>24</v>
      </c>
      <c r="G12">
        <f t="shared" si="1"/>
        <v>7</v>
      </c>
      <c r="H12" s="183">
        <f t="shared" si="2"/>
        <v>19</v>
      </c>
      <c r="I12" s="7">
        <f t="shared" si="3"/>
        <v>22</v>
      </c>
      <c r="J12" s="7">
        <f t="shared" si="4"/>
        <v>25</v>
      </c>
      <c r="K12" s="43">
        <f t="shared" si="5"/>
        <v>26</v>
      </c>
      <c r="L12">
        <f t="shared" si="6"/>
        <v>23</v>
      </c>
      <c r="N12" t="s">
        <v>53</v>
      </c>
      <c r="O12">
        <f>O6</f>
        <v>833.25000000000023</v>
      </c>
      <c r="P12" t="e">
        <f ca="1">P6*H24</f>
        <v>#NAME?</v>
      </c>
      <c r="Q12" t="e">
        <f ca="1">O12/P12</f>
        <v>#NAME?</v>
      </c>
      <c r="R12" t="e">
        <f ca="1">Q12/Q13</f>
        <v>#NAME?</v>
      </c>
      <c r="S12" t="e">
        <f ca="1">FDIST(R12,P12,P13)</f>
        <v>#NAME?</v>
      </c>
      <c r="T12" t="e">
        <f ca="1">FINV(S10,P12,P13)</f>
        <v>#NAME?</v>
      </c>
    </row>
    <row r="13" spans="1:20" x14ac:dyDescent="0.25">
      <c r="A13" s="485">
        <f t="shared" si="0"/>
        <v>10</v>
      </c>
      <c r="B13" s="182">
        <v>16</v>
      </c>
      <c r="C13" s="488">
        <v>22</v>
      </c>
      <c r="D13" s="488">
        <v>26</v>
      </c>
      <c r="E13" s="30">
        <v>29</v>
      </c>
      <c r="G13">
        <f t="shared" si="1"/>
        <v>8</v>
      </c>
      <c r="H13" s="183">
        <f t="shared" si="2"/>
        <v>22</v>
      </c>
      <c r="I13" s="7">
        <f t="shared" si="3"/>
        <v>22</v>
      </c>
      <c r="J13" s="7">
        <f t="shared" si="4"/>
        <v>23</v>
      </c>
      <c r="K13" s="43">
        <f t="shared" si="5"/>
        <v>26</v>
      </c>
      <c r="L13">
        <f t="shared" si="6"/>
        <v>23.25</v>
      </c>
      <c r="N13" t="s">
        <v>176</v>
      </c>
      <c r="O13">
        <f>O7</f>
        <v>400.49999999999977</v>
      </c>
      <c r="P13" t="e">
        <f ca="1">P7*H24</f>
        <v>#NAME?</v>
      </c>
      <c r="Q13" t="e">
        <f ca="1">O13/P13</f>
        <v>#NAME?</v>
      </c>
    </row>
    <row r="14" spans="1:20" x14ac:dyDescent="0.25">
      <c r="A14" s="485">
        <f t="shared" si="0"/>
        <v>11</v>
      </c>
      <c r="B14" s="182">
        <v>14</v>
      </c>
      <c r="C14" s="488">
        <v>25</v>
      </c>
      <c r="D14" s="488">
        <v>18</v>
      </c>
      <c r="E14" s="30">
        <v>21</v>
      </c>
      <c r="G14">
        <f t="shared" si="1"/>
        <v>9</v>
      </c>
      <c r="H14" s="183">
        <f t="shared" si="2"/>
        <v>12</v>
      </c>
      <c r="I14" s="7">
        <f t="shared" si="3"/>
        <v>20</v>
      </c>
      <c r="J14" s="7">
        <f t="shared" si="4"/>
        <v>22</v>
      </c>
      <c r="K14" s="43">
        <f t="shared" si="5"/>
        <v>24</v>
      </c>
      <c r="L14">
        <f t="shared" si="6"/>
        <v>19.5</v>
      </c>
      <c r="N14" s="416"/>
      <c r="O14" s="416"/>
      <c r="P14" s="416"/>
      <c r="Q14" s="416"/>
      <c r="R14" s="416"/>
      <c r="S14" s="416"/>
      <c r="T14" s="416"/>
    </row>
    <row r="15" spans="1:20" ht="15.75" thickBot="1" x14ac:dyDescent="0.3">
      <c r="A15" s="485">
        <f t="shared" si="0"/>
        <v>12</v>
      </c>
      <c r="B15" s="182">
        <v>24</v>
      </c>
      <c r="C15" s="488">
        <v>26</v>
      </c>
      <c r="D15" s="488">
        <v>21</v>
      </c>
      <c r="E15" s="30">
        <v>23</v>
      </c>
      <c r="G15">
        <f t="shared" si="1"/>
        <v>10</v>
      </c>
      <c r="H15" s="183">
        <f t="shared" si="2"/>
        <v>16</v>
      </c>
      <c r="I15" s="7">
        <f t="shared" si="3"/>
        <v>22</v>
      </c>
      <c r="J15" s="7">
        <f t="shared" si="4"/>
        <v>26</v>
      </c>
      <c r="K15" s="43">
        <f t="shared" si="5"/>
        <v>29</v>
      </c>
      <c r="L15">
        <f t="shared" si="6"/>
        <v>23.25</v>
      </c>
      <c r="N15" t="s">
        <v>368</v>
      </c>
      <c r="R15" t="s">
        <v>18</v>
      </c>
      <c r="S15">
        <v>0.05</v>
      </c>
    </row>
    <row r="16" spans="1:20" ht="15.75" thickTop="1" x14ac:dyDescent="0.25">
      <c r="A16" s="485">
        <f t="shared" si="0"/>
        <v>13</v>
      </c>
      <c r="B16" s="182">
        <v>9</v>
      </c>
      <c r="C16" s="488">
        <v>12</v>
      </c>
      <c r="D16" s="488">
        <v>20</v>
      </c>
      <c r="E16" s="30">
        <v>23</v>
      </c>
      <c r="G16">
        <f t="shared" si="1"/>
        <v>11</v>
      </c>
      <c r="H16" s="183">
        <f t="shared" si="2"/>
        <v>14</v>
      </c>
      <c r="I16" s="7">
        <f t="shared" si="3"/>
        <v>25</v>
      </c>
      <c r="J16" s="7">
        <f t="shared" si="4"/>
        <v>18</v>
      </c>
      <c r="K16" s="43">
        <f t="shared" si="5"/>
        <v>21</v>
      </c>
      <c r="L16">
        <f t="shared" si="6"/>
        <v>19.5</v>
      </c>
      <c r="N16" s="386" t="s">
        <v>153</v>
      </c>
      <c r="O16" s="386" t="s">
        <v>111</v>
      </c>
      <c r="P16" s="386" t="s">
        <v>41</v>
      </c>
      <c r="Q16" s="386" t="s">
        <v>115</v>
      </c>
      <c r="R16" s="386" t="s">
        <v>98</v>
      </c>
      <c r="S16" s="386" t="s">
        <v>154</v>
      </c>
      <c r="T16" s="386" t="s">
        <v>155</v>
      </c>
    </row>
    <row r="17" spans="1:20" x14ac:dyDescent="0.25">
      <c r="A17" s="485">
        <f t="shared" si="0"/>
        <v>14</v>
      </c>
      <c r="B17" s="182">
        <v>3</v>
      </c>
      <c r="C17" s="488">
        <v>9</v>
      </c>
      <c r="D17" s="488">
        <v>13</v>
      </c>
      <c r="E17" s="30">
        <v>16</v>
      </c>
      <c r="G17">
        <f t="shared" si="1"/>
        <v>12</v>
      </c>
      <c r="H17" s="183">
        <f t="shared" si="2"/>
        <v>24</v>
      </c>
      <c r="I17" s="7">
        <f t="shared" si="3"/>
        <v>26</v>
      </c>
      <c r="J17" s="7">
        <f t="shared" si="4"/>
        <v>21</v>
      </c>
      <c r="K17" s="43">
        <f t="shared" si="5"/>
        <v>23</v>
      </c>
      <c r="L17">
        <f t="shared" si="6"/>
        <v>23.5</v>
      </c>
      <c r="N17" t="s">
        <v>53</v>
      </c>
      <c r="O17">
        <f>O6</f>
        <v>833.25000000000023</v>
      </c>
      <c r="P17" t="e">
        <f ca="1">P6*H25</f>
        <v>#NAME?</v>
      </c>
      <c r="Q17" t="e">
        <f ca="1">O17/P17</f>
        <v>#NAME?</v>
      </c>
      <c r="R17" t="e">
        <f ca="1">Q17/Q18</f>
        <v>#NAME?</v>
      </c>
      <c r="S17" t="e">
        <f ca="1">FDIST(R17,P17,P18)</f>
        <v>#NAME?</v>
      </c>
      <c r="T17" t="e">
        <f ca="1">FINV(S15,P17,P18)</f>
        <v>#NAME?</v>
      </c>
    </row>
    <row r="18" spans="1:20" x14ac:dyDescent="0.25">
      <c r="A18" s="485">
        <f t="shared" si="0"/>
        <v>15</v>
      </c>
      <c r="B18" s="170">
        <v>2</v>
      </c>
      <c r="C18" s="171">
        <v>8</v>
      </c>
      <c r="D18" s="171">
        <v>6</v>
      </c>
      <c r="E18" s="32">
        <v>10</v>
      </c>
      <c r="G18">
        <f t="shared" si="1"/>
        <v>13</v>
      </c>
      <c r="H18" s="183">
        <f t="shared" si="2"/>
        <v>9</v>
      </c>
      <c r="I18" s="7">
        <f t="shared" si="3"/>
        <v>12</v>
      </c>
      <c r="J18" s="7">
        <f t="shared" si="4"/>
        <v>20</v>
      </c>
      <c r="K18" s="43">
        <f t="shared" si="5"/>
        <v>23</v>
      </c>
      <c r="L18">
        <f t="shared" si="6"/>
        <v>16</v>
      </c>
      <c r="N18" t="s">
        <v>176</v>
      </c>
      <c r="O18">
        <f>O7</f>
        <v>400.49999999999977</v>
      </c>
      <c r="P18" t="e">
        <f ca="1">P7*H25</f>
        <v>#NAME?</v>
      </c>
      <c r="Q18" t="e">
        <f ca="1">O18/P18</f>
        <v>#NAME?</v>
      </c>
    </row>
    <row r="19" spans="1:20" x14ac:dyDescent="0.25">
      <c r="G19">
        <f t="shared" si="1"/>
        <v>14</v>
      </c>
      <c r="H19" s="183">
        <f t="shared" si="2"/>
        <v>3</v>
      </c>
      <c r="I19" s="7">
        <f t="shared" si="3"/>
        <v>9</v>
      </c>
      <c r="J19" s="7">
        <f t="shared" si="4"/>
        <v>13</v>
      </c>
      <c r="K19" s="43">
        <f t="shared" si="5"/>
        <v>16</v>
      </c>
      <c r="L19">
        <f t="shared" si="6"/>
        <v>10.25</v>
      </c>
      <c r="N19" s="416"/>
      <c r="O19" s="416"/>
      <c r="P19" s="416"/>
      <c r="Q19" s="416"/>
      <c r="R19" s="416"/>
      <c r="S19" s="416"/>
      <c r="T19" s="416"/>
    </row>
    <row r="20" spans="1:20" x14ac:dyDescent="0.25">
      <c r="G20">
        <f t="shared" si="1"/>
        <v>15</v>
      </c>
      <c r="H20" s="351">
        <f t="shared" si="2"/>
        <v>2</v>
      </c>
      <c r="I20" s="352">
        <f t="shared" si="3"/>
        <v>8</v>
      </c>
      <c r="J20" s="352">
        <f t="shared" si="4"/>
        <v>6</v>
      </c>
      <c r="K20" s="353">
        <f t="shared" si="5"/>
        <v>10</v>
      </c>
      <c r="L20">
        <f t="shared" si="6"/>
        <v>6.5</v>
      </c>
    </row>
    <row r="21" spans="1:20" x14ac:dyDescent="0.25">
      <c r="G21" t="s">
        <v>9</v>
      </c>
      <c r="H21">
        <f>AVERAGE(H6:H20)</f>
        <v>12.533333333333333</v>
      </c>
      <c r="I21">
        <f>AVERAGE(I6:I20)</f>
        <v>18.333333333333332</v>
      </c>
      <c r="J21">
        <f>AVERAGE(J6:J20)</f>
        <v>19.933333333333334</v>
      </c>
      <c r="K21">
        <f>AVERAGE(K6:K20)</f>
        <v>22.733333333333334</v>
      </c>
      <c r="L21">
        <f>AVERAGE(L6:L20)</f>
        <v>18.383333333333333</v>
      </c>
    </row>
    <row r="22" spans="1:20" x14ac:dyDescent="0.25">
      <c r="G22" t="s">
        <v>54</v>
      </c>
      <c r="H22">
        <f>VAR(H6:H20)</f>
        <v>55.838095238095221</v>
      </c>
      <c r="I22">
        <f>VAR(I6:I20)</f>
        <v>35.523809523809504</v>
      </c>
      <c r="J22">
        <f>VAR(J6:J20)</f>
        <v>41.352380952380955</v>
      </c>
      <c r="K22">
        <f>VAR(K6:K20)</f>
        <v>34.352380952380955</v>
      </c>
      <c r="L22">
        <f>VAR(L6:L20)</f>
        <v>34.614880952380972</v>
      </c>
    </row>
    <row r="24" spans="1:20" x14ac:dyDescent="0.25">
      <c r="G24" t="s">
        <v>1127</v>
      </c>
      <c r="H24" s="480" t="e">
        <f ca="1">GGEpsilon(H6:K20)</f>
        <v>#NAME?</v>
      </c>
    </row>
    <row r="25" spans="1:20" x14ac:dyDescent="0.25">
      <c r="G25" t="s">
        <v>1128</v>
      </c>
      <c r="H25" s="349" t="e">
        <f ca="1">HFEpsilon(H6:K20)</f>
        <v>#NAME?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L25"/>
  <sheetViews>
    <sheetView workbookViewId="0"/>
  </sheetViews>
  <sheetFormatPr defaultRowHeight="15" x14ac:dyDescent="0.25"/>
  <cols>
    <col min="9" max="9" width="25" customWidth="1"/>
    <col min="11" max="11" width="10.42578125" customWidth="1"/>
  </cols>
  <sheetData>
    <row r="1" spans="1:12" x14ac:dyDescent="0.25">
      <c r="A1" s="1" t="s">
        <v>418</v>
      </c>
      <c r="K1" t="s">
        <v>1120</v>
      </c>
    </row>
    <row r="3" spans="1:12" x14ac:dyDescent="0.25">
      <c r="A3" t="s">
        <v>371</v>
      </c>
      <c r="K3" t="s">
        <v>1126</v>
      </c>
      <c r="L3" s="258" t="e">
        <f t="array" aca="1" ref="L3" ca="1">GGEpsilon('ANOVA Match 1.3'!B4:E18)</f>
        <v>#NAME?</v>
      </c>
    </row>
    <row r="5" spans="1:12" x14ac:dyDescent="0.25">
      <c r="A5" s="209" t="e">
        <f t="array" aca="1" ref="A5:D8" ca="1">COV('ANOVA Match 1.3'!B4:E18)</f>
        <v>#NAME?</v>
      </c>
      <c r="B5" s="210" t="e">
        <f ca="1"/>
        <v>#NAME?</v>
      </c>
      <c r="C5" s="210" t="e">
        <f ca="1"/>
        <v>#NAME?</v>
      </c>
      <c r="D5" s="211" t="e">
        <f ca="1"/>
        <v>#NAME?</v>
      </c>
      <c r="E5" t="e">
        <f ca="1">AVERAGE(A5:D5)</f>
        <v>#NAME?</v>
      </c>
    </row>
    <row r="6" spans="1:12" x14ac:dyDescent="0.25">
      <c r="A6" s="214" t="e">
        <f ca="1"/>
        <v>#NAME?</v>
      </c>
      <c r="B6" s="7" t="e">
        <f ca="1"/>
        <v>#NAME?</v>
      </c>
      <c r="C6" s="7" t="e">
        <f ca="1"/>
        <v>#NAME?</v>
      </c>
      <c r="D6" s="215" t="e">
        <f ca="1"/>
        <v>#NAME?</v>
      </c>
      <c r="E6" t="e">
        <f ca="1">AVERAGE(A6:D6)</f>
        <v>#NAME?</v>
      </c>
    </row>
    <row r="7" spans="1:12" x14ac:dyDescent="0.25">
      <c r="A7" s="214" t="e">
        <f ca="1"/>
        <v>#NAME?</v>
      </c>
      <c r="B7" s="7" t="e">
        <f ca="1"/>
        <v>#NAME?</v>
      </c>
      <c r="C7" s="7" t="e">
        <f ca="1"/>
        <v>#NAME?</v>
      </c>
      <c r="D7" s="215" t="e">
        <f ca="1"/>
        <v>#NAME?</v>
      </c>
      <c r="E7" t="e">
        <f ca="1">AVERAGE(A7:D7)</f>
        <v>#NAME?</v>
      </c>
    </row>
    <row r="8" spans="1:12" x14ac:dyDescent="0.25">
      <c r="A8" s="112" t="e">
        <f ca="1"/>
        <v>#NAME?</v>
      </c>
      <c r="B8" s="113" t="e">
        <f ca="1"/>
        <v>#NAME?</v>
      </c>
      <c r="C8" s="113" t="e">
        <f ca="1"/>
        <v>#NAME?</v>
      </c>
      <c r="D8" s="120" t="e">
        <f ca="1"/>
        <v>#NAME?</v>
      </c>
      <c r="E8" t="e">
        <f ca="1">AVERAGE(A8:D8)</f>
        <v>#NAME?</v>
      </c>
    </row>
    <row r="9" spans="1:12" x14ac:dyDescent="0.25">
      <c r="A9" t="e">
        <f ca="1">AVERAGE(A5:A8)</f>
        <v>#NAME?</v>
      </c>
      <c r="B9" t="e">
        <f ca="1">AVERAGE(B5:B8)</f>
        <v>#NAME?</v>
      </c>
      <c r="C9" t="e">
        <f ca="1">AVERAGE(C5:C8)</f>
        <v>#NAME?</v>
      </c>
      <c r="D9" t="e">
        <f ca="1">AVERAGE(D5:D8)</f>
        <v>#NAME?</v>
      </c>
      <c r="E9" t="e">
        <f ca="1">AVERAGE(E5:E8)</f>
        <v>#NAME?</v>
      </c>
    </row>
    <row r="11" spans="1:12" x14ac:dyDescent="0.25">
      <c r="A11" t="s">
        <v>419</v>
      </c>
    </row>
    <row r="13" spans="1:12" x14ac:dyDescent="0.25">
      <c r="A13">
        <v>1</v>
      </c>
      <c r="B13">
        <f>A13+1</f>
        <v>2</v>
      </c>
      <c r="C13">
        <f>B13+1</f>
        <v>3</v>
      </c>
      <c r="D13">
        <f>C13+1</f>
        <v>4</v>
      </c>
    </row>
    <row r="14" spans="1:12" x14ac:dyDescent="0.25">
      <c r="A14" s="209" t="e">
        <f ca="1">A5-$E5-A$9+$E$9</f>
        <v>#NAME?</v>
      </c>
      <c r="B14" s="210" t="e">
        <f t="shared" ref="B14:D15" ca="1" si="0">B5-$E5-B$9+$E$9</f>
        <v>#NAME?</v>
      </c>
      <c r="C14" s="210" t="e">
        <f t="shared" ca="1" si="0"/>
        <v>#NAME?</v>
      </c>
      <c r="D14" s="211" t="e">
        <f t="shared" ca="1" si="0"/>
        <v>#NAME?</v>
      </c>
      <c r="F14" t="s">
        <v>38</v>
      </c>
      <c r="G14" s="212">
        <f>D13</f>
        <v>4</v>
      </c>
      <c r="I14" s="14" t="s">
        <v>420</v>
      </c>
    </row>
    <row r="15" spans="1:12" x14ac:dyDescent="0.25">
      <c r="A15" s="214" t="e">
        <f ca="1">A6-$E6-A$9+$E$9</f>
        <v>#NAME?</v>
      </c>
      <c r="B15" s="7" t="e">
        <f t="shared" ca="1" si="0"/>
        <v>#NAME?</v>
      </c>
      <c r="C15" s="7" t="e">
        <f t="shared" ca="1" si="0"/>
        <v>#NAME?</v>
      </c>
      <c r="D15" s="215" t="e">
        <f t="shared" ca="1" si="0"/>
        <v>#NAME?</v>
      </c>
      <c r="F15" t="s">
        <v>421</v>
      </c>
      <c r="G15" s="185" t="e">
        <f ca="1">SUM(A18:D18)^2</f>
        <v>#NAME?</v>
      </c>
      <c r="I15" s="14" t="s">
        <v>422</v>
      </c>
    </row>
    <row r="16" spans="1:12" x14ac:dyDescent="0.25">
      <c r="A16" s="214" t="e">
        <f t="shared" ref="A16:D17" ca="1" si="1">A7-$E7-A$9+$E$9</f>
        <v>#NAME?</v>
      </c>
      <c r="B16" s="7" t="e">
        <f t="shared" ca="1" si="1"/>
        <v>#NAME?</v>
      </c>
      <c r="C16" s="7" t="e">
        <f t="shared" ca="1" si="1"/>
        <v>#NAME?</v>
      </c>
      <c r="D16" s="215" t="e">
        <f t="shared" ca="1" si="1"/>
        <v>#NAME?</v>
      </c>
      <c r="F16" t="s">
        <v>423</v>
      </c>
      <c r="G16" s="185" t="e">
        <f ca="1">(G14-1)*SUMSQ(A14:D17)</f>
        <v>#NAME?</v>
      </c>
      <c r="I16" s="14" t="s">
        <v>424</v>
      </c>
    </row>
    <row r="17" spans="1:9" x14ac:dyDescent="0.25">
      <c r="A17" s="112" t="e">
        <f t="shared" ca="1" si="1"/>
        <v>#NAME?</v>
      </c>
      <c r="B17" s="113" t="e">
        <f t="shared" ca="1" si="1"/>
        <v>#NAME?</v>
      </c>
      <c r="C17" s="113" t="e">
        <f t="shared" ca="1" si="1"/>
        <v>#NAME?</v>
      </c>
      <c r="D17" s="120" t="e">
        <f t="shared" ca="1" si="1"/>
        <v>#NAME?</v>
      </c>
      <c r="F17" t="s">
        <v>425</v>
      </c>
      <c r="G17" s="123" t="e">
        <f ca="1">G15/G16</f>
        <v>#NAME?</v>
      </c>
      <c r="I17" s="14" t="s">
        <v>426</v>
      </c>
    </row>
    <row r="18" spans="1:9" x14ac:dyDescent="0.25">
      <c r="A18" s="25" t="e">
        <f ca="1">INDEX(A14:A17,A13)</f>
        <v>#NAME?</v>
      </c>
      <c r="B18" s="25" t="e">
        <f ca="1">INDEX(B14:B17,B13)</f>
        <v>#NAME?</v>
      </c>
      <c r="C18" s="25" t="e">
        <f ca="1">INDEX(C14:C17,C13)</f>
        <v>#NAME?</v>
      </c>
      <c r="D18" s="25" t="e">
        <f ca="1">INDEX(D14:D17,D13)</f>
        <v>#NAME?</v>
      </c>
      <c r="E18" t="s">
        <v>427</v>
      </c>
    </row>
    <row r="20" spans="1:9" x14ac:dyDescent="0.25">
      <c r="A20" t="s">
        <v>428</v>
      </c>
    </row>
    <row r="22" spans="1:9" x14ac:dyDescent="0.25">
      <c r="A22" s="216" t="e">
        <f t="array" aca="1" ref="A22:C22" ca="1">eVALUES(A14:D17)</f>
        <v>#NAME?</v>
      </c>
      <c r="B22" s="217" t="e">
        <f ca="1"/>
        <v>#NAME?</v>
      </c>
      <c r="C22" s="218" t="e">
        <f ca="1"/>
        <v>#NAME?</v>
      </c>
      <c r="F22" t="s">
        <v>38</v>
      </c>
      <c r="G22" s="212">
        <f>D13</f>
        <v>4</v>
      </c>
      <c r="I22" s="14" t="s">
        <v>420</v>
      </c>
    </row>
    <row r="23" spans="1:9" x14ac:dyDescent="0.25">
      <c r="F23" t="s">
        <v>421</v>
      </c>
      <c r="G23" s="185" t="e">
        <f ca="1">SUM(A22:C22)^2</f>
        <v>#NAME?</v>
      </c>
      <c r="I23" s="14" t="s">
        <v>429</v>
      </c>
    </row>
    <row r="24" spans="1:9" x14ac:dyDescent="0.25">
      <c r="F24" t="s">
        <v>423</v>
      </c>
      <c r="G24" s="185" t="e">
        <f ca="1">(G22-1)*SUMSQ(A22:C22)</f>
        <v>#NAME?</v>
      </c>
      <c r="I24" s="14" t="s">
        <v>430</v>
      </c>
    </row>
    <row r="25" spans="1:9" x14ac:dyDescent="0.25">
      <c r="F25" t="s">
        <v>425</v>
      </c>
      <c r="G25" s="123" t="e">
        <f ca="1">G23/G24</f>
        <v>#NAME?</v>
      </c>
      <c r="I25" s="14" t="s">
        <v>431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D24"/>
  <sheetViews>
    <sheetView workbookViewId="0"/>
  </sheetViews>
  <sheetFormatPr defaultRowHeight="15" x14ac:dyDescent="0.25"/>
  <cols>
    <col min="1" max="1" width="12" customWidth="1"/>
  </cols>
  <sheetData>
    <row r="1" spans="1:4" x14ac:dyDescent="0.25">
      <c r="A1" s="1" t="s">
        <v>432</v>
      </c>
    </row>
    <row r="3" spans="1:4" x14ac:dyDescent="0.25">
      <c r="A3" t="s">
        <v>433</v>
      </c>
      <c r="B3" s="216" t="e">
        <f t="array" aca="1" ref="B3:D3" ca="1">eVALUES('ANOVA Match 1.4'!A14:D17)</f>
        <v>#NAME?</v>
      </c>
      <c r="C3" s="217" t="e">
        <f ca="1"/>
        <v>#NAME?</v>
      </c>
      <c r="D3" s="218" t="e">
        <f ca="1"/>
        <v>#NAME?</v>
      </c>
    </row>
    <row r="5" spans="1:4" x14ac:dyDescent="0.25">
      <c r="A5" t="s">
        <v>38</v>
      </c>
      <c r="B5" s="212">
        <f>'ANOVA Match 1.3'!H26</f>
        <v>4</v>
      </c>
    </row>
    <row r="6" spans="1:4" x14ac:dyDescent="0.25">
      <c r="A6" t="s">
        <v>17</v>
      </c>
      <c r="B6" s="185">
        <f>'ANOVA Match 1.3'!H25</f>
        <v>15</v>
      </c>
    </row>
    <row r="7" spans="1:4" x14ac:dyDescent="0.25">
      <c r="A7" t="s">
        <v>434</v>
      </c>
      <c r="B7" s="185" t="e">
        <f ca="1">PRODUCT(B3:D3)/(SUM(B3:D3)/(B5-1))^(B5-1)</f>
        <v>#NAME?</v>
      </c>
    </row>
    <row r="8" spans="1:4" x14ac:dyDescent="0.25">
      <c r="A8" t="s">
        <v>5</v>
      </c>
      <c r="B8" s="185">
        <f>(2*(B5-1)^2+B5+2)/(6*(B5-1)*(B6-1))</f>
        <v>9.5238095238095233E-2</v>
      </c>
    </row>
    <row r="9" spans="1:4" x14ac:dyDescent="0.25">
      <c r="A9" t="s">
        <v>435</v>
      </c>
      <c r="B9" s="185" t="e">
        <f ca="1">(B8-1)*(B6-1)*LN(B7)</f>
        <v>#NAME?</v>
      </c>
    </row>
    <row r="10" spans="1:4" x14ac:dyDescent="0.25">
      <c r="A10" t="s">
        <v>41</v>
      </c>
      <c r="B10" s="185">
        <f>B5*(B5-1)/2</f>
        <v>6</v>
      </c>
    </row>
    <row r="11" spans="1:4" x14ac:dyDescent="0.25">
      <c r="A11" t="s">
        <v>48</v>
      </c>
      <c r="B11" s="185" t="e">
        <f ca="1">CHIDIST(B9,B10)</f>
        <v>#NAME?</v>
      </c>
    </row>
    <row r="12" spans="1:4" x14ac:dyDescent="0.25">
      <c r="A12" t="s">
        <v>70</v>
      </c>
      <c r="B12" s="185">
        <v>0.05</v>
      </c>
    </row>
    <row r="13" spans="1:4" x14ac:dyDescent="0.25">
      <c r="A13" t="s">
        <v>164</v>
      </c>
      <c r="B13" s="117" t="e">
        <f ca="1">IF(B11&lt;B12,"yes","no")</f>
        <v>#NAME?</v>
      </c>
    </row>
    <row r="15" spans="1:4" x14ac:dyDescent="0.25">
      <c r="A15" s="1" t="s">
        <v>436</v>
      </c>
    </row>
    <row r="17" spans="1:2" x14ac:dyDescent="0.25">
      <c r="A17" t="s">
        <v>38</v>
      </c>
      <c r="B17" s="212">
        <f>B5</f>
        <v>4</v>
      </c>
    </row>
    <row r="18" spans="1:2" x14ac:dyDescent="0.25">
      <c r="A18" t="s">
        <v>17</v>
      </c>
      <c r="B18" s="185">
        <f>B6</f>
        <v>15</v>
      </c>
    </row>
    <row r="19" spans="1:2" x14ac:dyDescent="0.25">
      <c r="A19" t="s">
        <v>437</v>
      </c>
      <c r="B19" s="185" t="e">
        <f ca="1">'ANOVA Match 1.4'!G25*(B17-1)</f>
        <v>#NAME?</v>
      </c>
    </row>
    <row r="20" spans="1:2" x14ac:dyDescent="0.25">
      <c r="A20" t="s">
        <v>435</v>
      </c>
      <c r="B20" s="185" t="e">
        <f ca="1">0.5*B18*(B17-1)^2*(B19-1/(B17-1))</f>
        <v>#NAME?</v>
      </c>
    </row>
    <row r="21" spans="1:2" x14ac:dyDescent="0.25">
      <c r="A21" t="s">
        <v>41</v>
      </c>
      <c r="B21" s="185">
        <f>B17*(B17-1)/2-1</f>
        <v>5</v>
      </c>
    </row>
    <row r="22" spans="1:2" x14ac:dyDescent="0.25">
      <c r="A22" t="s">
        <v>48</v>
      </c>
      <c r="B22" s="185" t="e">
        <f ca="1">CHIDIST(B20,B21)</f>
        <v>#NAME?</v>
      </c>
    </row>
    <row r="23" spans="1:2" x14ac:dyDescent="0.25">
      <c r="A23" t="s">
        <v>70</v>
      </c>
      <c r="B23" s="185">
        <v>0.05</v>
      </c>
    </row>
    <row r="24" spans="1:2" x14ac:dyDescent="0.25">
      <c r="A24" t="s">
        <v>164</v>
      </c>
      <c r="B24" s="117" t="e">
        <f ca="1">IF(B22&lt;B23,"yes","no")</f>
        <v>#NAME?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U63"/>
  <sheetViews>
    <sheetView workbookViewId="0"/>
  </sheetViews>
  <sheetFormatPr defaultRowHeight="15" x14ac:dyDescent="0.25"/>
  <cols>
    <col min="14" max="14" width="17.42578125" customWidth="1"/>
  </cols>
  <sheetData>
    <row r="1" spans="1:20" x14ac:dyDescent="0.25">
      <c r="A1" s="1" t="s">
        <v>1354</v>
      </c>
    </row>
    <row r="3" spans="1:20" x14ac:dyDescent="0.25">
      <c r="A3" s="601" t="s">
        <v>39</v>
      </c>
      <c r="B3" s="601" t="s">
        <v>59</v>
      </c>
      <c r="C3" s="601" t="s">
        <v>372</v>
      </c>
      <c r="D3" s="601" t="s">
        <v>373</v>
      </c>
      <c r="E3" s="601" t="s">
        <v>374</v>
      </c>
      <c r="H3" s="601" t="s">
        <v>172</v>
      </c>
      <c r="I3" s="601" t="s">
        <v>173</v>
      </c>
      <c r="J3" s="601" t="s">
        <v>189</v>
      </c>
      <c r="K3" s="12" t="s">
        <v>4</v>
      </c>
      <c r="L3" s="12" t="s">
        <v>105</v>
      </c>
      <c r="N3" t="s">
        <v>798</v>
      </c>
    </row>
    <row r="4" spans="1:20" x14ac:dyDescent="0.25">
      <c r="A4" s="601">
        <v>1</v>
      </c>
      <c r="B4" s="180">
        <v>16</v>
      </c>
      <c r="C4" s="181">
        <v>22</v>
      </c>
      <c r="D4" s="181">
        <v>23</v>
      </c>
      <c r="E4" s="184">
        <v>25</v>
      </c>
      <c r="F4">
        <f>SUM(B4:E4)</f>
        <v>86</v>
      </c>
      <c r="H4" s="605">
        <v>1</v>
      </c>
      <c r="I4" s="577">
        <v>0</v>
      </c>
      <c r="J4" s="577">
        <v>0</v>
      </c>
      <c r="K4" s="387">
        <f>F4</f>
        <v>86</v>
      </c>
      <c r="L4" s="604">
        <f>B4</f>
        <v>16</v>
      </c>
    </row>
    <row r="5" spans="1:20" ht="15.75" thickBot="1" x14ac:dyDescent="0.3">
      <c r="A5" s="601">
        <f>A4+1</f>
        <v>2</v>
      </c>
      <c r="B5" s="182">
        <v>12</v>
      </c>
      <c r="C5" s="602">
        <v>18</v>
      </c>
      <c r="D5" s="602">
        <v>24</v>
      </c>
      <c r="E5" s="30">
        <v>29</v>
      </c>
      <c r="F5">
        <f t="shared" ref="F5:F18" si="0">SUM(B5:E5)</f>
        <v>83</v>
      </c>
      <c r="H5" s="50">
        <v>1</v>
      </c>
      <c r="I5" s="49">
        <v>0</v>
      </c>
      <c r="J5" s="49">
        <v>0</v>
      </c>
      <c r="K5" s="7">
        <f t="shared" ref="K5:K18" si="1">F5</f>
        <v>83</v>
      </c>
      <c r="L5" s="215">
        <f t="shared" ref="L5:L18" si="2">B5</f>
        <v>12</v>
      </c>
      <c r="N5" s="342" t="s">
        <v>799</v>
      </c>
      <c r="O5" s="342"/>
      <c r="Q5" s="342"/>
      <c r="R5" s="342"/>
    </row>
    <row r="6" spans="1:20" ht="15.75" thickTop="1" x14ac:dyDescent="0.25">
      <c r="A6" s="601">
        <f t="shared" ref="A6:A18" si="3">A5+1</f>
        <v>3</v>
      </c>
      <c r="B6" s="182">
        <v>23</v>
      </c>
      <c r="C6" s="602">
        <v>24</v>
      </c>
      <c r="D6" s="602">
        <v>26</v>
      </c>
      <c r="E6" s="30">
        <v>27</v>
      </c>
      <c r="F6">
        <f t="shared" si="0"/>
        <v>100</v>
      </c>
      <c r="H6" s="50">
        <v>1</v>
      </c>
      <c r="I6" s="49">
        <v>0</v>
      </c>
      <c r="J6" s="49">
        <v>0</v>
      </c>
      <c r="K6" s="7">
        <f t="shared" si="1"/>
        <v>100</v>
      </c>
      <c r="L6" s="215">
        <f t="shared" si="2"/>
        <v>23</v>
      </c>
      <c r="N6" t="s">
        <v>123</v>
      </c>
      <c r="O6" t="e">
        <f ca="1">SQRT(O7)</f>
        <v>#NAME?</v>
      </c>
      <c r="Q6" t="s">
        <v>203</v>
      </c>
      <c r="R6" t="e">
        <f ca="1">O10*LN(P15/O10)+2*(O14+1)</f>
        <v>#NAME?</v>
      </c>
    </row>
    <row r="7" spans="1:20" x14ac:dyDescent="0.25">
      <c r="A7" s="601">
        <f t="shared" si="3"/>
        <v>4</v>
      </c>
      <c r="B7" s="182">
        <v>8</v>
      </c>
      <c r="C7" s="602">
        <v>20</v>
      </c>
      <c r="D7" s="602">
        <v>28</v>
      </c>
      <c r="E7" s="30">
        <v>30</v>
      </c>
      <c r="F7">
        <f t="shared" si="0"/>
        <v>86</v>
      </c>
      <c r="H7" s="50">
        <v>1</v>
      </c>
      <c r="I7" s="49">
        <v>0</v>
      </c>
      <c r="J7" s="49">
        <v>0</v>
      </c>
      <c r="K7" s="7">
        <f t="shared" si="1"/>
        <v>86</v>
      </c>
      <c r="L7" s="215">
        <f t="shared" si="2"/>
        <v>8</v>
      </c>
      <c r="N7" t="s">
        <v>120</v>
      </c>
      <c r="O7" t="e">
        <f ca="1">P14/P16</f>
        <v>#NAME?</v>
      </c>
      <c r="Q7" t="s">
        <v>204</v>
      </c>
      <c r="R7" t="e">
        <f ca="1">R6+2*(O14+2)*(O14+3)/(O10-O14-3)</f>
        <v>#NAME?</v>
      </c>
    </row>
    <row r="8" spans="1:20" x14ac:dyDescent="0.25">
      <c r="A8" s="601">
        <f t="shared" si="3"/>
        <v>5</v>
      </c>
      <c r="B8" s="182">
        <v>3</v>
      </c>
      <c r="C8" s="602">
        <v>12</v>
      </c>
      <c r="D8" s="602">
        <v>13</v>
      </c>
      <c r="E8" s="30">
        <v>17</v>
      </c>
      <c r="F8">
        <f t="shared" si="0"/>
        <v>45</v>
      </c>
      <c r="H8" s="50">
        <v>1</v>
      </c>
      <c r="I8" s="49">
        <v>0</v>
      </c>
      <c r="J8" s="49">
        <v>0</v>
      </c>
      <c r="K8" s="7">
        <f t="shared" si="1"/>
        <v>45</v>
      </c>
      <c r="L8" s="215">
        <f t="shared" si="2"/>
        <v>3</v>
      </c>
      <c r="N8" t="s">
        <v>124</v>
      </c>
      <c r="O8" t="e">
        <f ca="1">1-(1-O7)*(O10-1)/(O10-O14-1)</f>
        <v>#NAME?</v>
      </c>
      <c r="Q8" s="354" t="s">
        <v>1353</v>
      </c>
      <c r="R8" s="354" t="e">
        <f ca="1">O10*LN(P15/O10)+(O14+1)*LN(O10)</f>
        <v>#NAME?</v>
      </c>
    </row>
    <row r="9" spans="1:20" x14ac:dyDescent="0.25">
      <c r="A9" s="601">
        <f t="shared" si="3"/>
        <v>6</v>
      </c>
      <c r="B9" s="182">
        <v>5</v>
      </c>
      <c r="C9" s="602">
        <v>13</v>
      </c>
      <c r="D9" s="602">
        <v>11</v>
      </c>
      <c r="E9" s="30">
        <v>15</v>
      </c>
      <c r="F9">
        <f t="shared" si="0"/>
        <v>44</v>
      </c>
      <c r="H9" s="50">
        <v>1</v>
      </c>
      <c r="I9" s="49">
        <v>0</v>
      </c>
      <c r="J9" s="49">
        <v>0</v>
      </c>
      <c r="K9" s="7">
        <f t="shared" si="1"/>
        <v>44</v>
      </c>
      <c r="L9" s="215">
        <f t="shared" si="2"/>
        <v>5</v>
      </c>
      <c r="N9" t="s">
        <v>10</v>
      </c>
      <c r="O9" t="e">
        <f ca="1">SQRT(Q15)</f>
        <v>#NAME?</v>
      </c>
    </row>
    <row r="10" spans="1:20" x14ac:dyDescent="0.25">
      <c r="A10" s="601">
        <f t="shared" si="3"/>
        <v>7</v>
      </c>
      <c r="B10" s="182">
        <v>19</v>
      </c>
      <c r="C10" s="602">
        <v>22</v>
      </c>
      <c r="D10" s="602">
        <v>25</v>
      </c>
      <c r="E10" s="30">
        <v>26</v>
      </c>
      <c r="F10">
        <f t="shared" si="0"/>
        <v>92</v>
      </c>
      <c r="H10" s="50">
        <v>1</v>
      </c>
      <c r="I10" s="49">
        <v>0</v>
      </c>
      <c r="J10" s="49">
        <v>0</v>
      </c>
      <c r="K10" s="7">
        <f t="shared" si="1"/>
        <v>92</v>
      </c>
      <c r="L10" s="215">
        <f t="shared" si="2"/>
        <v>19</v>
      </c>
      <c r="N10" s="354" t="s">
        <v>55</v>
      </c>
      <c r="O10" s="354">
        <f>COUNT(L4:L63)</f>
        <v>60</v>
      </c>
    </row>
    <row r="11" spans="1:20" x14ac:dyDescent="0.25">
      <c r="A11" s="601">
        <f t="shared" si="3"/>
        <v>8</v>
      </c>
      <c r="B11" s="182">
        <v>22</v>
      </c>
      <c r="C11" s="602">
        <v>22</v>
      </c>
      <c r="D11" s="602">
        <v>23</v>
      </c>
      <c r="E11" s="30">
        <v>26</v>
      </c>
      <c r="F11">
        <f t="shared" si="0"/>
        <v>93</v>
      </c>
      <c r="H11" s="50">
        <v>1</v>
      </c>
      <c r="I11" s="49">
        <v>0</v>
      </c>
      <c r="J11" s="49">
        <v>0</v>
      </c>
      <c r="K11" s="7">
        <f t="shared" si="1"/>
        <v>93</v>
      </c>
      <c r="L11" s="215">
        <f t="shared" si="2"/>
        <v>22</v>
      </c>
    </row>
    <row r="12" spans="1:20" ht="15.75" thickBot="1" x14ac:dyDescent="0.3">
      <c r="A12" s="601">
        <f t="shared" si="3"/>
        <v>9</v>
      </c>
      <c r="B12" s="182">
        <v>12</v>
      </c>
      <c r="C12" s="602">
        <v>20</v>
      </c>
      <c r="D12" s="602">
        <v>22</v>
      </c>
      <c r="E12" s="30">
        <v>24</v>
      </c>
      <c r="F12">
        <f t="shared" si="0"/>
        <v>78</v>
      </c>
      <c r="H12" s="50">
        <v>1</v>
      </c>
      <c r="I12" s="49">
        <v>0</v>
      </c>
      <c r="J12" s="49">
        <v>0</v>
      </c>
      <c r="K12" s="7">
        <f t="shared" si="1"/>
        <v>78</v>
      </c>
      <c r="L12" s="215">
        <f t="shared" si="2"/>
        <v>12</v>
      </c>
      <c r="N12" t="s">
        <v>125</v>
      </c>
      <c r="R12" s="601" t="s">
        <v>18</v>
      </c>
      <c r="S12" s="601">
        <v>0.05</v>
      </c>
    </row>
    <row r="13" spans="1:20" ht="15.75" thickTop="1" x14ac:dyDescent="0.25">
      <c r="A13" s="601">
        <f t="shared" si="3"/>
        <v>10</v>
      </c>
      <c r="B13" s="182">
        <v>16</v>
      </c>
      <c r="C13" s="602">
        <v>22</v>
      </c>
      <c r="D13" s="602">
        <v>26</v>
      </c>
      <c r="E13" s="30">
        <v>29</v>
      </c>
      <c r="F13">
        <f t="shared" si="0"/>
        <v>93</v>
      </c>
      <c r="H13" s="50">
        <v>1</v>
      </c>
      <c r="I13" s="49">
        <v>0</v>
      </c>
      <c r="J13" s="49">
        <v>0</v>
      </c>
      <c r="K13" s="7">
        <f t="shared" si="1"/>
        <v>93</v>
      </c>
      <c r="L13" s="215">
        <f t="shared" si="2"/>
        <v>16</v>
      </c>
      <c r="N13" s="386"/>
      <c r="O13" s="386" t="s">
        <v>41</v>
      </c>
      <c r="P13" s="386" t="s">
        <v>111</v>
      </c>
      <c r="Q13" s="386" t="s">
        <v>115</v>
      </c>
      <c r="R13" s="386" t="s">
        <v>98</v>
      </c>
      <c r="S13" s="386" t="s">
        <v>48</v>
      </c>
      <c r="T13" s="386" t="s">
        <v>164</v>
      </c>
    </row>
    <row r="14" spans="1:20" x14ac:dyDescent="0.25">
      <c r="A14" s="601">
        <f t="shared" si="3"/>
        <v>11</v>
      </c>
      <c r="B14" s="182">
        <v>14</v>
      </c>
      <c r="C14" s="602">
        <v>25</v>
      </c>
      <c r="D14" s="602">
        <v>18</v>
      </c>
      <c r="E14" s="30">
        <v>21</v>
      </c>
      <c r="F14">
        <f t="shared" si="0"/>
        <v>78</v>
      </c>
      <c r="H14" s="50">
        <v>1</v>
      </c>
      <c r="I14" s="49">
        <v>0</v>
      </c>
      <c r="J14" s="49">
        <v>0</v>
      </c>
      <c r="K14" s="7">
        <f t="shared" si="1"/>
        <v>78</v>
      </c>
      <c r="L14" s="215">
        <f t="shared" si="2"/>
        <v>14</v>
      </c>
      <c r="N14" t="s">
        <v>113</v>
      </c>
      <c r="O14">
        <f>COUNT(H4:K4)</f>
        <v>4</v>
      </c>
      <c r="P14" t="e">
        <f ca="1">DEVSQ(MMULT(DESIGN(H4:K63),O19:O23))</f>
        <v>#NAME?</v>
      </c>
      <c r="Q14" t="e">
        <f ca="1">P14/O14</f>
        <v>#NAME?</v>
      </c>
      <c r="R14" t="e">
        <f ca="1">Q14/Q15</f>
        <v>#NAME?</v>
      </c>
      <c r="S14" t="e">
        <f ca="1">FDIST(R14,O14,O15)</f>
        <v>#NAME?</v>
      </c>
      <c r="T14" s="601" t="e">
        <f ca="1">IF(S14&lt;S12,"yes","no")</f>
        <v>#NAME?</v>
      </c>
    </row>
    <row r="15" spans="1:20" x14ac:dyDescent="0.25">
      <c r="A15" s="601">
        <f t="shared" si="3"/>
        <v>12</v>
      </c>
      <c r="B15" s="182">
        <v>24</v>
      </c>
      <c r="C15" s="602">
        <v>26</v>
      </c>
      <c r="D15" s="602">
        <v>21</v>
      </c>
      <c r="E15" s="30">
        <v>23</v>
      </c>
      <c r="F15">
        <f t="shared" si="0"/>
        <v>94</v>
      </c>
      <c r="H15" s="50">
        <v>1</v>
      </c>
      <c r="I15" s="49">
        <v>0</v>
      </c>
      <c r="J15" s="49">
        <v>0</v>
      </c>
      <c r="K15" s="7">
        <f t="shared" si="1"/>
        <v>94</v>
      </c>
      <c r="L15" s="215">
        <f t="shared" si="2"/>
        <v>24</v>
      </c>
      <c r="N15" t="s">
        <v>126</v>
      </c>
      <c r="O15">
        <f>O16-O14</f>
        <v>55</v>
      </c>
      <c r="P15" t="e">
        <f ca="1">P16-P14</f>
        <v>#NAME?</v>
      </c>
      <c r="Q15" t="e">
        <f ca="1">P15/O15</f>
        <v>#NAME?</v>
      </c>
    </row>
    <row r="16" spans="1:20" x14ac:dyDescent="0.25">
      <c r="A16" s="601">
        <f t="shared" si="3"/>
        <v>13</v>
      </c>
      <c r="B16" s="182">
        <v>9</v>
      </c>
      <c r="C16" s="602">
        <v>12</v>
      </c>
      <c r="D16" s="602">
        <v>20</v>
      </c>
      <c r="E16" s="30">
        <v>23</v>
      </c>
      <c r="F16">
        <f t="shared" si="0"/>
        <v>64</v>
      </c>
      <c r="H16" s="50">
        <v>1</v>
      </c>
      <c r="I16" s="49">
        <v>0</v>
      </c>
      <c r="J16" s="49">
        <v>0</v>
      </c>
      <c r="K16" s="7">
        <f t="shared" si="1"/>
        <v>64</v>
      </c>
      <c r="L16" s="215">
        <f t="shared" si="2"/>
        <v>9</v>
      </c>
      <c r="N16" s="354" t="s">
        <v>1</v>
      </c>
      <c r="O16" s="354">
        <f>O10-1</f>
        <v>59</v>
      </c>
      <c r="P16" s="354">
        <f>DEVSQ(L4:L63)</f>
        <v>3172.1833333333343</v>
      </c>
      <c r="Q16" s="354"/>
      <c r="R16" s="354"/>
      <c r="S16" s="354"/>
      <c r="T16" s="354"/>
    </row>
    <row r="17" spans="1:21" ht="15.75" thickBot="1" x14ac:dyDescent="0.3">
      <c r="A17" s="601">
        <f t="shared" si="3"/>
        <v>14</v>
      </c>
      <c r="B17" s="182">
        <v>3</v>
      </c>
      <c r="C17" s="602">
        <v>9</v>
      </c>
      <c r="D17" s="602">
        <v>13</v>
      </c>
      <c r="E17" s="30">
        <v>16</v>
      </c>
      <c r="F17">
        <f t="shared" si="0"/>
        <v>41</v>
      </c>
      <c r="H17" s="50">
        <v>1</v>
      </c>
      <c r="I17" s="49">
        <v>0</v>
      </c>
      <c r="J17" s="49">
        <v>0</v>
      </c>
      <c r="K17" s="7">
        <f t="shared" si="1"/>
        <v>41</v>
      </c>
      <c r="L17" s="215">
        <f t="shared" si="2"/>
        <v>3</v>
      </c>
    </row>
    <row r="18" spans="1:21" ht="15.75" thickTop="1" x14ac:dyDescent="0.25">
      <c r="A18" s="601">
        <f t="shared" si="3"/>
        <v>15</v>
      </c>
      <c r="B18" s="170">
        <v>2</v>
      </c>
      <c r="C18" s="171">
        <v>8</v>
      </c>
      <c r="D18" s="171">
        <v>6</v>
      </c>
      <c r="E18" s="32">
        <v>10</v>
      </c>
      <c r="F18">
        <f t="shared" si="0"/>
        <v>26</v>
      </c>
      <c r="H18" s="606">
        <v>1</v>
      </c>
      <c r="I18" s="603">
        <v>0</v>
      </c>
      <c r="J18" s="603">
        <v>0</v>
      </c>
      <c r="K18" s="354">
        <f t="shared" si="1"/>
        <v>26</v>
      </c>
      <c r="L18" s="120">
        <f t="shared" si="2"/>
        <v>2</v>
      </c>
      <c r="N18" s="386"/>
      <c r="O18" s="386" t="s">
        <v>797</v>
      </c>
      <c r="P18" s="386" t="s">
        <v>390</v>
      </c>
      <c r="Q18" s="386" t="s">
        <v>42</v>
      </c>
      <c r="R18" s="386" t="s">
        <v>48</v>
      </c>
      <c r="S18" s="386" t="s">
        <v>15</v>
      </c>
      <c r="T18" s="386" t="s">
        <v>16</v>
      </c>
      <c r="U18" s="386" t="s">
        <v>1352</v>
      </c>
    </row>
    <row r="19" spans="1:21" x14ac:dyDescent="0.25">
      <c r="H19" s="605">
        <v>0</v>
      </c>
      <c r="I19" s="577">
        <v>1</v>
      </c>
      <c r="J19" s="577">
        <v>0</v>
      </c>
      <c r="K19" s="387">
        <f>F4</f>
        <v>86</v>
      </c>
      <c r="L19" s="604">
        <f>C4</f>
        <v>22</v>
      </c>
      <c r="N19" t="s">
        <v>127</v>
      </c>
      <c r="O19" t="e">
        <f t="array" aca="1" ref="O19:P23" ca="1">RegCoeff(H4:K63,L4:L63)</f>
        <v>#NAME?</v>
      </c>
      <c r="P19" t="e">
        <f ca="1"/>
        <v>#NAME?</v>
      </c>
      <c r="Q19" t="e">
        <f ca="1">O19/P19</f>
        <v>#NAME?</v>
      </c>
      <c r="R19" t="e">
        <f ca="1">TDIST(ABS(Q19),$O$15,2)</f>
        <v>#NAME?</v>
      </c>
      <c r="S19" t="e">
        <f ca="1">O19-TINV(S$12,$O$15)*P19</f>
        <v>#NAME?</v>
      </c>
      <c r="T19" t="e">
        <f ca="1">O19+TINV(S$12,$O$15)*P19</f>
        <v>#NAME?</v>
      </c>
    </row>
    <row r="20" spans="1:21" x14ac:dyDescent="0.25">
      <c r="H20" s="50">
        <v>0</v>
      </c>
      <c r="I20" s="49">
        <v>1</v>
      </c>
      <c r="J20" s="49">
        <v>0</v>
      </c>
      <c r="K20" s="7">
        <f t="shared" ref="K20:K33" si="4">F5</f>
        <v>83</v>
      </c>
      <c r="L20" s="215">
        <f t="shared" ref="L20:L33" si="5">C5</f>
        <v>18</v>
      </c>
      <c r="N20" t="str">
        <f t="array" ref="N20:N23">TRANSPOSE(H3:K3)</f>
        <v>t1</v>
      </c>
      <c r="O20" t="e">
        <f ca="1"/>
        <v>#NAME?</v>
      </c>
      <c r="P20" t="e">
        <f ca="1"/>
        <v>#NAME?</v>
      </c>
      <c r="Q20" t="e">
        <f ca="1">O20/P20</f>
        <v>#NAME?</v>
      </c>
      <c r="R20" t="e">
        <f ca="1">TDIST(ABS(Q20),$O$15,2)</f>
        <v>#NAME?</v>
      </c>
      <c r="S20" t="e">
        <f ca="1">O20-TINV(S$12,$O$15)*P20</f>
        <v>#NAME?</v>
      </c>
      <c r="T20" t="e">
        <f ca="1">O20+TINV(S$12,$O$15)*P20</f>
        <v>#NAME?</v>
      </c>
      <c r="U20" t="e">
        <f ca="1">VIF(H4:K63,1)</f>
        <v>#NAME?</v>
      </c>
    </row>
    <row r="21" spans="1:21" x14ac:dyDescent="0.25">
      <c r="H21" s="50">
        <v>0</v>
      </c>
      <c r="I21" s="49">
        <v>1</v>
      </c>
      <c r="J21" s="49">
        <v>0</v>
      </c>
      <c r="K21" s="7">
        <f t="shared" si="4"/>
        <v>100</v>
      </c>
      <c r="L21" s="215">
        <f t="shared" si="5"/>
        <v>24</v>
      </c>
      <c r="N21" t="str">
        <v>t2</v>
      </c>
      <c r="O21" t="e">
        <f ca="1"/>
        <v>#NAME?</v>
      </c>
      <c r="P21" t="e">
        <f ca="1"/>
        <v>#NAME?</v>
      </c>
      <c r="Q21" t="e">
        <f ca="1">O21/P21</f>
        <v>#NAME?</v>
      </c>
      <c r="R21" t="e">
        <f ca="1">TDIST(ABS(Q21),$O$15,2)</f>
        <v>#NAME?</v>
      </c>
      <c r="S21" t="e">
        <f ca="1">O21-TINV(S$12,$O$15)*P21</f>
        <v>#NAME?</v>
      </c>
      <c r="T21" t="e">
        <f ca="1">O21+TINV(S$12,$O$15)*P21</f>
        <v>#NAME?</v>
      </c>
      <c r="U21" t="e">
        <f ca="1">VIF(H4:K63,2)</f>
        <v>#NAME?</v>
      </c>
    </row>
    <row r="22" spans="1:21" x14ac:dyDescent="0.25">
      <c r="H22" s="50">
        <v>0</v>
      </c>
      <c r="I22" s="49">
        <v>1</v>
      </c>
      <c r="J22" s="49">
        <v>0</v>
      </c>
      <c r="K22" s="7">
        <f t="shared" si="4"/>
        <v>86</v>
      </c>
      <c r="L22" s="215">
        <f t="shared" si="5"/>
        <v>20</v>
      </c>
      <c r="N22" t="str">
        <v>t3</v>
      </c>
      <c r="O22" t="e">
        <f ca="1"/>
        <v>#NAME?</v>
      </c>
      <c r="P22" t="e">
        <f ca="1"/>
        <v>#NAME?</v>
      </c>
      <c r="Q22" t="e">
        <f ca="1">O22/P22</f>
        <v>#NAME?</v>
      </c>
      <c r="R22" t="e">
        <f ca="1">TDIST(ABS(Q22),$O$15,2)</f>
        <v>#NAME?</v>
      </c>
      <c r="S22" t="e">
        <f ca="1">O22-TINV(S$12,$O$15)*P22</f>
        <v>#NAME?</v>
      </c>
      <c r="T22" t="e">
        <f ca="1">O22+TINV(S$12,$O$15)*P22</f>
        <v>#NAME?</v>
      </c>
      <c r="U22" t="e">
        <f ca="1">VIF(H4:K63,3)</f>
        <v>#NAME?</v>
      </c>
    </row>
    <row r="23" spans="1:21" x14ac:dyDescent="0.25">
      <c r="H23" s="50">
        <v>0</v>
      </c>
      <c r="I23" s="49">
        <v>1</v>
      </c>
      <c r="J23" s="49">
        <v>0</v>
      </c>
      <c r="K23" s="7">
        <f t="shared" si="4"/>
        <v>45</v>
      </c>
      <c r="L23" s="215">
        <f t="shared" si="5"/>
        <v>12</v>
      </c>
      <c r="N23" s="354" t="str">
        <v>x</v>
      </c>
      <c r="O23" s="354" t="e">
        <f ca="1"/>
        <v>#NAME?</v>
      </c>
      <c r="P23" s="354" t="e">
        <f ca="1"/>
        <v>#NAME?</v>
      </c>
      <c r="Q23" s="354" t="e">
        <f ca="1">O23/P23</f>
        <v>#NAME?</v>
      </c>
      <c r="R23" s="354" t="e">
        <f ca="1">TDIST(ABS(Q23),$O$15,2)</f>
        <v>#NAME?</v>
      </c>
      <c r="S23" s="354" t="e">
        <f ca="1">O23-TINV(S$12,$O$15)*P23</f>
        <v>#NAME?</v>
      </c>
      <c r="T23" s="354" t="e">
        <f ca="1">O23+TINV(S$12,$O$15)*P23</f>
        <v>#NAME?</v>
      </c>
      <c r="U23" s="354" t="e">
        <f ca="1">VIF(H4:K63,4)</f>
        <v>#NAME?</v>
      </c>
    </row>
    <row r="24" spans="1:21" x14ac:dyDescent="0.25">
      <c r="H24" s="50">
        <v>0</v>
      </c>
      <c r="I24" s="49">
        <v>1</v>
      </c>
      <c r="J24" s="49">
        <v>0</v>
      </c>
      <c r="K24" s="7">
        <f t="shared" si="4"/>
        <v>44</v>
      </c>
      <c r="L24" s="215">
        <f t="shared" si="5"/>
        <v>13</v>
      </c>
    </row>
    <row r="25" spans="1:21" x14ac:dyDescent="0.25">
      <c r="H25" s="50">
        <v>0</v>
      </c>
      <c r="I25" s="49">
        <v>1</v>
      </c>
      <c r="J25" s="49">
        <v>0</v>
      </c>
      <c r="K25" s="7">
        <f t="shared" si="4"/>
        <v>92</v>
      </c>
      <c r="L25" s="215">
        <f t="shared" si="5"/>
        <v>22</v>
      </c>
    </row>
    <row r="26" spans="1:21" x14ac:dyDescent="0.25">
      <c r="H26" s="50">
        <v>0</v>
      </c>
      <c r="I26" s="49">
        <v>1</v>
      </c>
      <c r="J26" s="49">
        <v>0</v>
      </c>
      <c r="K26" s="7">
        <f t="shared" si="4"/>
        <v>93</v>
      </c>
      <c r="L26" s="215">
        <f t="shared" si="5"/>
        <v>22</v>
      </c>
    </row>
    <row r="27" spans="1:21" x14ac:dyDescent="0.25">
      <c r="H27" s="50">
        <v>0</v>
      </c>
      <c r="I27" s="49">
        <v>1</v>
      </c>
      <c r="J27" s="49">
        <v>0</v>
      </c>
      <c r="K27" s="7">
        <f t="shared" si="4"/>
        <v>78</v>
      </c>
      <c r="L27" s="215">
        <f t="shared" si="5"/>
        <v>20</v>
      </c>
    </row>
    <row r="28" spans="1:21" x14ac:dyDescent="0.25">
      <c r="H28" s="50">
        <v>0</v>
      </c>
      <c r="I28" s="49">
        <v>1</v>
      </c>
      <c r="J28" s="49">
        <v>0</v>
      </c>
      <c r="K28" s="7">
        <f t="shared" si="4"/>
        <v>93</v>
      </c>
      <c r="L28" s="215">
        <f t="shared" si="5"/>
        <v>22</v>
      </c>
    </row>
    <row r="29" spans="1:21" x14ac:dyDescent="0.25">
      <c r="H29" s="50">
        <v>0</v>
      </c>
      <c r="I29" s="49">
        <v>1</v>
      </c>
      <c r="J29" s="49">
        <v>0</v>
      </c>
      <c r="K29" s="7">
        <f t="shared" si="4"/>
        <v>78</v>
      </c>
      <c r="L29" s="215">
        <f t="shared" si="5"/>
        <v>25</v>
      </c>
    </row>
    <row r="30" spans="1:21" x14ac:dyDescent="0.25">
      <c r="H30" s="50">
        <v>0</v>
      </c>
      <c r="I30" s="49">
        <v>1</v>
      </c>
      <c r="J30" s="49">
        <v>0</v>
      </c>
      <c r="K30" s="7">
        <f t="shared" si="4"/>
        <v>94</v>
      </c>
      <c r="L30" s="215">
        <f t="shared" si="5"/>
        <v>26</v>
      </c>
    </row>
    <row r="31" spans="1:21" x14ac:dyDescent="0.25">
      <c r="H31" s="50">
        <v>0</v>
      </c>
      <c r="I31" s="49">
        <v>1</v>
      </c>
      <c r="J31" s="49">
        <v>0</v>
      </c>
      <c r="K31" s="7">
        <f t="shared" si="4"/>
        <v>64</v>
      </c>
      <c r="L31" s="215">
        <f t="shared" si="5"/>
        <v>12</v>
      </c>
    </row>
    <row r="32" spans="1:21" x14ac:dyDescent="0.25">
      <c r="H32" s="50">
        <v>0</v>
      </c>
      <c r="I32" s="49">
        <v>1</v>
      </c>
      <c r="J32" s="49">
        <v>0</v>
      </c>
      <c r="K32" s="7">
        <f t="shared" si="4"/>
        <v>41</v>
      </c>
      <c r="L32" s="215">
        <f t="shared" si="5"/>
        <v>9</v>
      </c>
    </row>
    <row r="33" spans="8:12" x14ac:dyDescent="0.25">
      <c r="H33" s="606">
        <v>0</v>
      </c>
      <c r="I33" s="603">
        <v>1</v>
      </c>
      <c r="J33" s="603">
        <v>0</v>
      </c>
      <c r="K33" s="354">
        <f t="shared" si="4"/>
        <v>26</v>
      </c>
      <c r="L33" s="120">
        <f t="shared" si="5"/>
        <v>8</v>
      </c>
    </row>
    <row r="34" spans="8:12" x14ac:dyDescent="0.25">
      <c r="H34" s="605">
        <v>0</v>
      </c>
      <c r="I34" s="577">
        <v>0</v>
      </c>
      <c r="J34" s="577">
        <v>1</v>
      </c>
      <c r="K34" s="387">
        <f>F4</f>
        <v>86</v>
      </c>
      <c r="L34" s="604">
        <f>D4</f>
        <v>23</v>
      </c>
    </row>
    <row r="35" spans="8:12" x14ac:dyDescent="0.25">
      <c r="H35" s="50">
        <v>0</v>
      </c>
      <c r="I35" s="49">
        <v>0</v>
      </c>
      <c r="J35" s="49">
        <v>1</v>
      </c>
      <c r="K35" s="7">
        <f t="shared" ref="K35:K48" si="6">F5</f>
        <v>83</v>
      </c>
      <c r="L35" s="215">
        <f t="shared" ref="L35:L48" si="7">D5</f>
        <v>24</v>
      </c>
    </row>
    <row r="36" spans="8:12" x14ac:dyDescent="0.25">
      <c r="H36" s="50">
        <v>0</v>
      </c>
      <c r="I36" s="49">
        <v>0</v>
      </c>
      <c r="J36" s="49">
        <v>1</v>
      </c>
      <c r="K36" s="7">
        <f t="shared" si="6"/>
        <v>100</v>
      </c>
      <c r="L36" s="215">
        <f t="shared" si="7"/>
        <v>26</v>
      </c>
    </row>
    <row r="37" spans="8:12" x14ac:dyDescent="0.25">
      <c r="H37" s="50">
        <v>0</v>
      </c>
      <c r="I37" s="49">
        <v>0</v>
      </c>
      <c r="J37" s="49">
        <v>1</v>
      </c>
      <c r="K37" s="7">
        <f t="shared" si="6"/>
        <v>86</v>
      </c>
      <c r="L37" s="215">
        <f t="shared" si="7"/>
        <v>28</v>
      </c>
    </row>
    <row r="38" spans="8:12" x14ac:dyDescent="0.25">
      <c r="H38" s="50">
        <v>0</v>
      </c>
      <c r="I38" s="49">
        <v>0</v>
      </c>
      <c r="J38" s="49">
        <v>1</v>
      </c>
      <c r="K38" s="7">
        <f t="shared" si="6"/>
        <v>45</v>
      </c>
      <c r="L38" s="215">
        <f t="shared" si="7"/>
        <v>13</v>
      </c>
    </row>
    <row r="39" spans="8:12" x14ac:dyDescent="0.25">
      <c r="H39" s="50">
        <v>0</v>
      </c>
      <c r="I39" s="49">
        <v>0</v>
      </c>
      <c r="J39" s="49">
        <v>1</v>
      </c>
      <c r="K39" s="7">
        <f t="shared" si="6"/>
        <v>44</v>
      </c>
      <c r="L39" s="215">
        <f t="shared" si="7"/>
        <v>11</v>
      </c>
    </row>
    <row r="40" spans="8:12" x14ac:dyDescent="0.25">
      <c r="H40" s="50">
        <v>0</v>
      </c>
      <c r="I40" s="49">
        <v>0</v>
      </c>
      <c r="J40" s="49">
        <v>1</v>
      </c>
      <c r="K40" s="7">
        <f t="shared" si="6"/>
        <v>92</v>
      </c>
      <c r="L40" s="215">
        <f t="shared" si="7"/>
        <v>25</v>
      </c>
    </row>
    <row r="41" spans="8:12" x14ac:dyDescent="0.25">
      <c r="H41" s="50">
        <v>0</v>
      </c>
      <c r="I41" s="49">
        <v>0</v>
      </c>
      <c r="J41" s="49">
        <v>1</v>
      </c>
      <c r="K41" s="7">
        <f t="shared" si="6"/>
        <v>93</v>
      </c>
      <c r="L41" s="215">
        <f t="shared" si="7"/>
        <v>23</v>
      </c>
    </row>
    <row r="42" spans="8:12" x14ac:dyDescent="0.25">
      <c r="H42" s="50">
        <v>0</v>
      </c>
      <c r="I42" s="49">
        <v>0</v>
      </c>
      <c r="J42" s="49">
        <v>1</v>
      </c>
      <c r="K42" s="7">
        <f t="shared" si="6"/>
        <v>78</v>
      </c>
      <c r="L42" s="215">
        <f t="shared" si="7"/>
        <v>22</v>
      </c>
    </row>
    <row r="43" spans="8:12" x14ac:dyDescent="0.25">
      <c r="H43" s="50">
        <v>0</v>
      </c>
      <c r="I43" s="49">
        <v>0</v>
      </c>
      <c r="J43" s="49">
        <v>1</v>
      </c>
      <c r="K43" s="7">
        <f t="shared" si="6"/>
        <v>93</v>
      </c>
      <c r="L43" s="215">
        <f t="shared" si="7"/>
        <v>26</v>
      </c>
    </row>
    <row r="44" spans="8:12" x14ac:dyDescent="0.25">
      <c r="H44" s="50">
        <v>0</v>
      </c>
      <c r="I44" s="49">
        <v>0</v>
      </c>
      <c r="J44" s="49">
        <v>1</v>
      </c>
      <c r="K44" s="7">
        <f t="shared" si="6"/>
        <v>78</v>
      </c>
      <c r="L44" s="215">
        <f t="shared" si="7"/>
        <v>18</v>
      </c>
    </row>
    <row r="45" spans="8:12" x14ac:dyDescent="0.25">
      <c r="H45" s="50">
        <v>0</v>
      </c>
      <c r="I45" s="49">
        <v>0</v>
      </c>
      <c r="J45" s="49">
        <v>1</v>
      </c>
      <c r="K45" s="7">
        <f t="shared" si="6"/>
        <v>94</v>
      </c>
      <c r="L45" s="215">
        <f t="shared" si="7"/>
        <v>21</v>
      </c>
    </row>
    <row r="46" spans="8:12" x14ac:dyDescent="0.25">
      <c r="H46" s="50">
        <v>0</v>
      </c>
      <c r="I46" s="49">
        <v>0</v>
      </c>
      <c r="J46" s="49">
        <v>1</v>
      </c>
      <c r="K46" s="7">
        <f t="shared" si="6"/>
        <v>64</v>
      </c>
      <c r="L46" s="215">
        <f t="shared" si="7"/>
        <v>20</v>
      </c>
    </row>
    <row r="47" spans="8:12" x14ac:dyDescent="0.25">
      <c r="H47" s="50">
        <v>0</v>
      </c>
      <c r="I47" s="49">
        <v>0</v>
      </c>
      <c r="J47" s="49">
        <v>1</v>
      </c>
      <c r="K47" s="7">
        <f t="shared" si="6"/>
        <v>41</v>
      </c>
      <c r="L47" s="215">
        <f t="shared" si="7"/>
        <v>13</v>
      </c>
    </row>
    <row r="48" spans="8:12" x14ac:dyDescent="0.25">
      <c r="H48" s="606">
        <v>0</v>
      </c>
      <c r="I48" s="603">
        <v>0</v>
      </c>
      <c r="J48" s="603">
        <v>1</v>
      </c>
      <c r="K48" s="354">
        <f t="shared" si="6"/>
        <v>26</v>
      </c>
      <c r="L48" s="120">
        <f t="shared" si="7"/>
        <v>6</v>
      </c>
    </row>
    <row r="49" spans="8:12" x14ac:dyDescent="0.25">
      <c r="H49" s="605">
        <v>-1</v>
      </c>
      <c r="I49" s="577">
        <v>-1</v>
      </c>
      <c r="J49" s="577">
        <v>-1</v>
      </c>
      <c r="K49" s="387">
        <f>F4</f>
        <v>86</v>
      </c>
      <c r="L49" s="604">
        <f>E4</f>
        <v>25</v>
      </c>
    </row>
    <row r="50" spans="8:12" x14ac:dyDescent="0.25">
      <c r="H50" s="50">
        <v>-1</v>
      </c>
      <c r="I50" s="49">
        <v>-1</v>
      </c>
      <c r="J50" s="49">
        <v>-1</v>
      </c>
      <c r="K50" s="7">
        <f t="shared" ref="K50:K63" si="8">F5</f>
        <v>83</v>
      </c>
      <c r="L50" s="215">
        <f t="shared" ref="L50:L63" si="9">E5</f>
        <v>29</v>
      </c>
    </row>
    <row r="51" spans="8:12" x14ac:dyDescent="0.25">
      <c r="H51" s="50">
        <v>-1</v>
      </c>
      <c r="I51" s="49">
        <v>-1</v>
      </c>
      <c r="J51" s="49">
        <v>-1</v>
      </c>
      <c r="K51" s="7">
        <f t="shared" si="8"/>
        <v>100</v>
      </c>
      <c r="L51" s="215">
        <f t="shared" si="9"/>
        <v>27</v>
      </c>
    </row>
    <row r="52" spans="8:12" x14ac:dyDescent="0.25">
      <c r="H52" s="50">
        <v>-1</v>
      </c>
      <c r="I52" s="49">
        <v>-1</v>
      </c>
      <c r="J52" s="49">
        <v>-1</v>
      </c>
      <c r="K52" s="7">
        <f t="shared" si="8"/>
        <v>86</v>
      </c>
      <c r="L52" s="215">
        <f t="shared" si="9"/>
        <v>30</v>
      </c>
    </row>
    <row r="53" spans="8:12" x14ac:dyDescent="0.25">
      <c r="H53" s="50">
        <v>-1</v>
      </c>
      <c r="I53" s="49">
        <v>-1</v>
      </c>
      <c r="J53" s="49">
        <v>-1</v>
      </c>
      <c r="K53" s="7">
        <f t="shared" si="8"/>
        <v>45</v>
      </c>
      <c r="L53" s="215">
        <f t="shared" si="9"/>
        <v>17</v>
      </c>
    </row>
    <row r="54" spans="8:12" x14ac:dyDescent="0.25">
      <c r="H54" s="50">
        <v>-1</v>
      </c>
      <c r="I54" s="49">
        <v>-1</v>
      </c>
      <c r="J54" s="49">
        <v>-1</v>
      </c>
      <c r="K54" s="7">
        <f t="shared" si="8"/>
        <v>44</v>
      </c>
      <c r="L54" s="215">
        <f t="shared" si="9"/>
        <v>15</v>
      </c>
    </row>
    <row r="55" spans="8:12" x14ac:dyDescent="0.25">
      <c r="H55" s="50">
        <v>-1</v>
      </c>
      <c r="I55" s="49">
        <v>-1</v>
      </c>
      <c r="J55" s="49">
        <v>-1</v>
      </c>
      <c r="K55" s="7">
        <f t="shared" si="8"/>
        <v>92</v>
      </c>
      <c r="L55" s="215">
        <f t="shared" si="9"/>
        <v>26</v>
      </c>
    </row>
    <row r="56" spans="8:12" x14ac:dyDescent="0.25">
      <c r="H56" s="50">
        <v>-1</v>
      </c>
      <c r="I56" s="49">
        <v>-1</v>
      </c>
      <c r="J56" s="49">
        <v>-1</v>
      </c>
      <c r="K56" s="7">
        <f t="shared" si="8"/>
        <v>93</v>
      </c>
      <c r="L56" s="215">
        <f t="shared" si="9"/>
        <v>26</v>
      </c>
    </row>
    <row r="57" spans="8:12" x14ac:dyDescent="0.25">
      <c r="H57" s="50">
        <v>-1</v>
      </c>
      <c r="I57" s="49">
        <v>-1</v>
      </c>
      <c r="J57" s="49">
        <v>-1</v>
      </c>
      <c r="K57" s="7">
        <f t="shared" si="8"/>
        <v>78</v>
      </c>
      <c r="L57" s="215">
        <f t="shared" si="9"/>
        <v>24</v>
      </c>
    </row>
    <row r="58" spans="8:12" x14ac:dyDescent="0.25">
      <c r="H58" s="50">
        <v>-1</v>
      </c>
      <c r="I58" s="49">
        <v>-1</v>
      </c>
      <c r="J58" s="49">
        <v>-1</v>
      </c>
      <c r="K58" s="7">
        <f t="shared" si="8"/>
        <v>93</v>
      </c>
      <c r="L58" s="215">
        <f t="shared" si="9"/>
        <v>29</v>
      </c>
    </row>
    <row r="59" spans="8:12" x14ac:dyDescent="0.25">
      <c r="H59" s="50">
        <v>-1</v>
      </c>
      <c r="I59" s="49">
        <v>-1</v>
      </c>
      <c r="J59" s="49">
        <v>-1</v>
      </c>
      <c r="K59" s="7">
        <f t="shared" si="8"/>
        <v>78</v>
      </c>
      <c r="L59" s="215">
        <f t="shared" si="9"/>
        <v>21</v>
      </c>
    </row>
    <row r="60" spans="8:12" x14ac:dyDescent="0.25">
      <c r="H60" s="50">
        <v>-1</v>
      </c>
      <c r="I60" s="49">
        <v>-1</v>
      </c>
      <c r="J60" s="49">
        <v>-1</v>
      </c>
      <c r="K60" s="7">
        <f t="shared" si="8"/>
        <v>94</v>
      </c>
      <c r="L60" s="215">
        <f t="shared" si="9"/>
        <v>23</v>
      </c>
    </row>
    <row r="61" spans="8:12" x14ac:dyDescent="0.25">
      <c r="H61" s="50">
        <v>-1</v>
      </c>
      <c r="I61" s="49">
        <v>-1</v>
      </c>
      <c r="J61" s="49">
        <v>-1</v>
      </c>
      <c r="K61" s="7">
        <f t="shared" si="8"/>
        <v>64</v>
      </c>
      <c r="L61" s="215">
        <f t="shared" si="9"/>
        <v>23</v>
      </c>
    </row>
    <row r="62" spans="8:12" x14ac:dyDescent="0.25">
      <c r="H62" s="50">
        <v>-1</v>
      </c>
      <c r="I62" s="49">
        <v>-1</v>
      </c>
      <c r="J62" s="49">
        <v>-1</v>
      </c>
      <c r="K62" s="7">
        <f t="shared" si="8"/>
        <v>41</v>
      </c>
      <c r="L62" s="215">
        <f t="shared" si="9"/>
        <v>16</v>
      </c>
    </row>
    <row r="63" spans="8:12" x14ac:dyDescent="0.25">
      <c r="H63" s="606">
        <v>-1</v>
      </c>
      <c r="I63" s="603">
        <v>-1</v>
      </c>
      <c r="J63" s="603">
        <v>-1</v>
      </c>
      <c r="K63" s="354">
        <f t="shared" si="8"/>
        <v>26</v>
      </c>
      <c r="L63" s="120">
        <f t="shared" si="9"/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BA42"/>
  <sheetViews>
    <sheetView workbookViewId="0"/>
  </sheetViews>
  <sheetFormatPr defaultRowHeight="15" x14ac:dyDescent="0.25"/>
  <cols>
    <col min="2" max="16" width="8.85546875" customWidth="1"/>
    <col min="17" max="17" width="11.7109375" customWidth="1"/>
    <col min="23" max="23" width="15.28515625" customWidth="1"/>
    <col min="35" max="35" width="16" customWidth="1"/>
    <col min="43" max="43" width="17.140625" customWidth="1"/>
    <col min="46" max="46" width="14.7109375" customWidth="1"/>
    <col min="47" max="47" width="12.7109375" customWidth="1"/>
    <col min="52" max="52" width="9.140625" customWidth="1"/>
  </cols>
  <sheetData>
    <row r="1" spans="1:53" x14ac:dyDescent="0.25">
      <c r="A1" s="1" t="s">
        <v>498</v>
      </c>
      <c r="Q1" t="s">
        <v>438</v>
      </c>
    </row>
    <row r="2" spans="1:53" ht="15.75" thickBot="1" x14ac:dyDescent="0.3">
      <c r="A2" s="1"/>
      <c r="AF2" t="s">
        <v>442</v>
      </c>
      <c r="AI2" t="s">
        <v>354</v>
      </c>
      <c r="AM2" t="s">
        <v>443</v>
      </c>
      <c r="AQ2" t="s">
        <v>354</v>
      </c>
      <c r="AT2" t="s">
        <v>125</v>
      </c>
    </row>
    <row r="3" spans="1:53" ht="15.75" thickBot="1" x14ac:dyDescent="0.3">
      <c r="A3" s="1"/>
      <c r="B3" s="219" t="s">
        <v>444</v>
      </c>
      <c r="C3" s="220" t="s">
        <v>444</v>
      </c>
      <c r="D3" s="221" t="s">
        <v>444</v>
      </c>
      <c r="E3" s="219" t="s">
        <v>445</v>
      </c>
      <c r="F3" s="220" t="s">
        <v>445</v>
      </c>
      <c r="G3" s="221" t="s">
        <v>445</v>
      </c>
      <c r="J3" s="190" t="s">
        <v>444</v>
      </c>
      <c r="K3" s="190" t="s">
        <v>445</v>
      </c>
      <c r="R3" s="12" t="s">
        <v>25</v>
      </c>
      <c r="S3" s="12" t="s">
        <v>26</v>
      </c>
      <c r="T3" s="12" t="s">
        <v>174</v>
      </c>
      <c r="U3" s="12" t="s">
        <v>17</v>
      </c>
      <c r="W3" t="s">
        <v>125</v>
      </c>
      <c r="AT3" s="785" t="s">
        <v>446</v>
      </c>
      <c r="AU3" s="785"/>
      <c r="AV3" s="191" t="s">
        <v>111</v>
      </c>
      <c r="AW3" s="191" t="s">
        <v>41</v>
      </c>
      <c r="AX3" s="191" t="s">
        <v>115</v>
      </c>
      <c r="AY3" s="191" t="s">
        <v>98</v>
      </c>
      <c r="AZ3" s="191" t="s">
        <v>83</v>
      </c>
      <c r="BA3" s="191" t="s">
        <v>161</v>
      </c>
    </row>
    <row r="4" spans="1:53" x14ac:dyDescent="0.25">
      <c r="A4" s="190" t="s">
        <v>39</v>
      </c>
      <c r="B4" s="139" t="s">
        <v>439</v>
      </c>
      <c r="C4" s="169" t="s">
        <v>440</v>
      </c>
      <c r="D4" s="115" t="s">
        <v>441</v>
      </c>
      <c r="E4" s="139" t="s">
        <v>439</v>
      </c>
      <c r="F4" s="169" t="s">
        <v>440</v>
      </c>
      <c r="G4" s="115" t="s">
        <v>441</v>
      </c>
      <c r="M4" s="38" t="s">
        <v>439</v>
      </c>
      <c r="N4" s="38" t="s">
        <v>440</v>
      </c>
      <c r="O4" s="38" t="s">
        <v>441</v>
      </c>
      <c r="R4" s="216">
        <f>COUNTA(J3:K3)</f>
        <v>2</v>
      </c>
      <c r="S4" s="217">
        <f>COUNTA(M4:O4)</f>
        <v>3</v>
      </c>
      <c r="T4" s="217">
        <f>COUNTA(A5:A14)</f>
        <v>10</v>
      </c>
      <c r="U4" s="218">
        <f>PRODUCT(R4:T4)</f>
        <v>60</v>
      </c>
      <c r="W4" s="191" t="s">
        <v>153</v>
      </c>
      <c r="X4" s="191" t="s">
        <v>111</v>
      </c>
      <c r="Y4" s="191" t="s">
        <v>41</v>
      </c>
      <c r="Z4" s="191" t="s">
        <v>115</v>
      </c>
      <c r="AA4" s="191" t="s">
        <v>98</v>
      </c>
      <c r="AB4" s="191" t="s">
        <v>83</v>
      </c>
      <c r="AC4" s="191" t="s">
        <v>161</v>
      </c>
      <c r="AF4">
        <v>1</v>
      </c>
      <c r="AG4">
        <f>AF4+1</f>
        <v>2</v>
      </c>
      <c r="AI4" t="s">
        <v>356</v>
      </c>
      <c r="AJ4" s="212">
        <f>R4</f>
        <v>2</v>
      </c>
      <c r="AK4" s="7"/>
      <c r="AM4">
        <v>1</v>
      </c>
      <c r="AN4">
        <f>AM4+1</f>
        <v>2</v>
      </c>
      <c r="AO4">
        <f>AN4+1</f>
        <v>3</v>
      </c>
      <c r="AQ4" t="s">
        <v>356</v>
      </c>
      <c r="AR4" s="212">
        <f>S4</f>
        <v>3</v>
      </c>
      <c r="AT4" s="16" t="s">
        <v>447</v>
      </c>
      <c r="AU4" s="16" t="s">
        <v>448</v>
      </c>
      <c r="AV4" s="16">
        <f>X5</f>
        <v>828.81666666666672</v>
      </c>
      <c r="AW4" s="16">
        <f>Y5</f>
        <v>1</v>
      </c>
      <c r="AX4" s="16">
        <f>AV4/AW4</f>
        <v>828.81666666666672</v>
      </c>
      <c r="AY4" s="16">
        <f>AX4/AX8</f>
        <v>33.852280462899877</v>
      </c>
      <c r="AZ4" t="e">
        <f ca="1">F_DIST_RT(AY4,AW4,AW8)</f>
        <v>#NAME?</v>
      </c>
      <c r="BA4">
        <f>FINV(0.05,AW4,AW8)</f>
        <v>5.1173550291992269</v>
      </c>
    </row>
    <row r="5" spans="1:53" x14ac:dyDescent="0.25">
      <c r="A5" s="190">
        <v>1</v>
      </c>
      <c r="B5" s="209">
        <v>13</v>
      </c>
      <c r="C5" s="210">
        <v>12</v>
      </c>
      <c r="D5" s="211">
        <v>17</v>
      </c>
      <c r="E5" s="209">
        <v>18</v>
      </c>
      <c r="F5" s="210">
        <v>30</v>
      </c>
      <c r="G5" s="211">
        <v>34</v>
      </c>
      <c r="H5">
        <f>AVERAGE(B5:G5)</f>
        <v>20.666666666666668</v>
      </c>
      <c r="J5" s="209">
        <f t="shared" ref="J5:K14" si="0">AVERAGEIF($B$3:$G$3,J$3,$B5:$G5)</f>
        <v>14</v>
      </c>
      <c r="K5" s="211">
        <f t="shared" si="0"/>
        <v>27.333333333333332</v>
      </c>
      <c r="M5" s="209">
        <f>AVERAGEIF($B$4:$G$4,M$4,$B5:$G5)</f>
        <v>15.5</v>
      </c>
      <c r="N5" s="210">
        <f t="shared" ref="N5:O8" si="1">AVERAGEIF($B$4:$G$4,N$4,$B5:$G5)</f>
        <v>21</v>
      </c>
      <c r="O5" s="211">
        <f t="shared" si="1"/>
        <v>25.5</v>
      </c>
      <c r="W5" s="16" t="s">
        <v>447</v>
      </c>
      <c r="X5" s="16">
        <f>S8</f>
        <v>828.81666666666672</v>
      </c>
      <c r="Y5" s="16">
        <f>T8</f>
        <v>1</v>
      </c>
      <c r="Z5" s="16">
        <f>X5/Y5</f>
        <v>828.81666666666672</v>
      </c>
      <c r="AA5" s="16">
        <f>Z5/Z6</f>
        <v>33.852280462899877</v>
      </c>
      <c r="AB5">
        <f>FDIST(AA5,Y5,Y6)</f>
        <v>2.5360766055906994E-4</v>
      </c>
      <c r="AC5">
        <f>FINV(0.05,Y5,Y6)</f>
        <v>5.1173550291992269</v>
      </c>
      <c r="AF5" s="209" t="e">
        <f t="array" aca="1" ref="AF5:AG6" ca="1">COV(J5:K14)</f>
        <v>#NAME?</v>
      </c>
      <c r="AG5" s="211" t="e">
        <f ca="1"/>
        <v>#NAME?</v>
      </c>
      <c r="AI5" t="s">
        <v>357</v>
      </c>
      <c r="AJ5" s="185" t="e">
        <f ca="1">AVERAGE(AF8:AG8)</f>
        <v>#NAME?</v>
      </c>
      <c r="AK5" s="7"/>
      <c r="AM5" s="209" t="e">
        <f t="array" aca="1" ref="AM5:AO7" ca="1">COV(M5:O14)</f>
        <v>#NAME?</v>
      </c>
      <c r="AN5" s="210" t="e">
        <f ca="1"/>
        <v>#NAME?</v>
      </c>
      <c r="AO5" s="211" t="e">
        <f ca="1"/>
        <v>#NAME?</v>
      </c>
      <c r="AQ5" t="s">
        <v>357</v>
      </c>
      <c r="AR5" s="185" t="e">
        <f ca="1">AVERAGE(AM9:AO9)</f>
        <v>#NAME?</v>
      </c>
      <c r="AU5" t="s">
        <v>449</v>
      </c>
      <c r="AV5">
        <f>AV4</f>
        <v>828.81666666666672</v>
      </c>
      <c r="AW5" t="e">
        <f ca="1">AW4*AJ11</f>
        <v>#NAME?</v>
      </c>
      <c r="AX5" s="16" t="e">
        <f t="shared" ref="AX5:AX11" ca="1" si="2">AV5/AW5</f>
        <v>#NAME?</v>
      </c>
      <c r="AY5" s="16" t="e">
        <f ca="1">AX5/AX9</f>
        <v>#NAME?</v>
      </c>
      <c r="AZ5" t="e">
        <f ca="1">F_DIST_RT(AY5,AW5,AW9)</f>
        <v>#NAME?</v>
      </c>
      <c r="BA5" t="e">
        <f ca="1">FINV(0.05,AW5,AW9)</f>
        <v>#NAME?</v>
      </c>
    </row>
    <row r="6" spans="1:53" x14ac:dyDescent="0.25">
      <c r="A6" s="190">
        <f>A5+1</f>
        <v>2</v>
      </c>
      <c r="B6" s="214">
        <v>12</v>
      </c>
      <c r="C6" s="7">
        <v>19</v>
      </c>
      <c r="D6" s="215">
        <v>18</v>
      </c>
      <c r="E6" s="214">
        <v>6</v>
      </c>
      <c r="F6" s="7">
        <v>18</v>
      </c>
      <c r="G6" s="215">
        <v>30</v>
      </c>
      <c r="H6">
        <f t="shared" ref="H6:H15" si="3">AVERAGE(B6:G6)</f>
        <v>17.166666666666668</v>
      </c>
      <c r="J6" s="214">
        <f t="shared" si="0"/>
        <v>16.333333333333332</v>
      </c>
      <c r="K6" s="215">
        <f t="shared" si="0"/>
        <v>18</v>
      </c>
      <c r="M6" s="214">
        <f t="shared" ref="M6:O14" si="4">AVERAGEIF($B$4:$G$4,M$4,$B6:$G6)</f>
        <v>9</v>
      </c>
      <c r="N6" s="7">
        <f t="shared" si="1"/>
        <v>18.5</v>
      </c>
      <c r="O6" s="215">
        <f t="shared" si="1"/>
        <v>24</v>
      </c>
      <c r="R6" s="12" t="s">
        <v>110</v>
      </c>
      <c r="S6" s="12" t="s">
        <v>111</v>
      </c>
      <c r="T6" s="12" t="s">
        <v>41</v>
      </c>
      <c r="U6" s="12" t="s">
        <v>115</v>
      </c>
      <c r="W6" s="16" t="s">
        <v>450</v>
      </c>
      <c r="X6">
        <f>S14</f>
        <v>220.35000000000036</v>
      </c>
      <c r="Y6">
        <f>T14</f>
        <v>9</v>
      </c>
      <c r="Z6" s="7">
        <f t="shared" ref="Z6:Z11" si="5">X6/Y6</f>
        <v>24.483333333333373</v>
      </c>
      <c r="AF6" s="112" t="e">
        <f ca="1"/>
        <v>#NAME?</v>
      </c>
      <c r="AG6" s="120" t="e">
        <f ca="1"/>
        <v>#NAME?</v>
      </c>
      <c r="AI6" t="s">
        <v>358</v>
      </c>
      <c r="AJ6" s="185" t="e">
        <f ca="1">AVERAGE(AF5:AG6)</f>
        <v>#NAME?</v>
      </c>
      <c r="AK6" s="7"/>
      <c r="AM6" s="214" t="e">
        <f ca="1"/>
        <v>#NAME?</v>
      </c>
      <c r="AN6" s="7" t="e">
        <f ca="1"/>
        <v>#NAME?</v>
      </c>
      <c r="AO6" s="215" t="e">
        <f ca="1"/>
        <v>#NAME?</v>
      </c>
      <c r="AQ6" t="s">
        <v>358</v>
      </c>
      <c r="AR6" s="185" t="e">
        <f ca="1">AVERAGE(AM5:AO7)</f>
        <v>#NAME?</v>
      </c>
      <c r="AU6" t="s">
        <v>451</v>
      </c>
      <c r="AV6">
        <f>AV4</f>
        <v>828.81666666666672</v>
      </c>
      <c r="AW6" t="e">
        <f ca="1">AW4*AJ18</f>
        <v>#NAME?</v>
      </c>
      <c r="AX6" s="16" t="e">
        <f t="shared" ca="1" si="2"/>
        <v>#NAME?</v>
      </c>
      <c r="AY6" s="16" t="e">
        <f ca="1">AX6/AX10</f>
        <v>#NAME?</v>
      </c>
      <c r="AZ6" t="e">
        <f ca="1">F_DIST_RT(AY6,AW6,AW10)</f>
        <v>#NAME?</v>
      </c>
      <c r="BA6" t="e">
        <f ca="1">FINV(0.05,AW6,AW10)</f>
        <v>#NAME?</v>
      </c>
    </row>
    <row r="7" spans="1:53" x14ac:dyDescent="0.25">
      <c r="A7" s="190">
        <f t="shared" ref="A7:A14" si="6">A6+1</f>
        <v>3</v>
      </c>
      <c r="B7" s="214">
        <v>17</v>
      </c>
      <c r="C7" s="7">
        <v>19</v>
      </c>
      <c r="D7" s="215">
        <v>24</v>
      </c>
      <c r="E7" s="214">
        <v>21</v>
      </c>
      <c r="F7" s="7">
        <v>31</v>
      </c>
      <c r="G7" s="215">
        <v>32</v>
      </c>
      <c r="H7">
        <f t="shared" si="3"/>
        <v>24</v>
      </c>
      <c r="J7" s="214">
        <f t="shared" si="0"/>
        <v>20</v>
      </c>
      <c r="K7" s="215">
        <f t="shared" si="0"/>
        <v>28</v>
      </c>
      <c r="M7" s="214">
        <f t="shared" si="4"/>
        <v>19</v>
      </c>
      <c r="N7" s="7">
        <f t="shared" si="1"/>
        <v>25</v>
      </c>
      <c r="O7" s="215">
        <f t="shared" si="1"/>
        <v>28</v>
      </c>
      <c r="Q7" s="59" t="s">
        <v>1</v>
      </c>
      <c r="R7" s="209">
        <v>1</v>
      </c>
      <c r="S7" s="210">
        <f>DEVSQ(B5:G14)*R7</f>
        <v>4852.5833333333312</v>
      </c>
      <c r="T7" s="210">
        <f>U4-1</f>
        <v>59</v>
      </c>
      <c r="U7" s="211">
        <f t="shared" ref="U7:U17" si="7">S7/T7</f>
        <v>82.247175141242906</v>
      </c>
      <c r="W7" s="16" t="s">
        <v>452</v>
      </c>
      <c r="X7" s="16">
        <f>S9</f>
        <v>1365.2333333333331</v>
      </c>
      <c r="Y7" s="16">
        <f>T9</f>
        <v>2</v>
      </c>
      <c r="Z7" s="7">
        <f t="shared" si="5"/>
        <v>682.61666666666656</v>
      </c>
      <c r="AA7" s="16">
        <f>Z7/Z8</f>
        <v>26.959189643823574</v>
      </c>
      <c r="AB7">
        <f>FDIST(AA7,Y7,Y8)</f>
        <v>3.8538385756846721E-6</v>
      </c>
      <c r="AC7">
        <f>FINV(0.05,Y7,Y8)</f>
        <v>3.5545571456617879</v>
      </c>
      <c r="AE7" t="s">
        <v>6</v>
      </c>
      <c r="AF7" t="e">
        <f ca="1">AVERAGE(AF5:AF6)</f>
        <v>#NAME?</v>
      </c>
      <c r="AG7" t="e">
        <f ca="1">AVERAGE(AG5:AG6)</f>
        <v>#NAME?</v>
      </c>
      <c r="AI7" t="s">
        <v>359</v>
      </c>
      <c r="AJ7" s="185" t="e">
        <f ca="1">SUMSQ(AF5:AG6)</f>
        <v>#NAME?</v>
      </c>
      <c r="AK7" s="7"/>
      <c r="AM7" s="112" t="e">
        <f ca="1"/>
        <v>#NAME?</v>
      </c>
      <c r="AN7" s="113" t="e">
        <f ca="1"/>
        <v>#NAME?</v>
      </c>
      <c r="AO7" s="120" t="e">
        <f ca="1"/>
        <v>#NAME?</v>
      </c>
      <c r="AQ7" t="s">
        <v>359</v>
      </c>
      <c r="AR7" s="185" t="e">
        <f ca="1">SUMSQ(AM5:AO7)</f>
        <v>#NAME?</v>
      </c>
      <c r="AT7" s="113"/>
      <c r="AU7" s="113" t="s">
        <v>410</v>
      </c>
      <c r="AV7" s="113">
        <f>AV4</f>
        <v>828.81666666666672</v>
      </c>
      <c r="AW7" s="113">
        <f>AW4*AJ20</f>
        <v>1</v>
      </c>
      <c r="AX7" s="113">
        <f t="shared" si="2"/>
        <v>828.81666666666672</v>
      </c>
      <c r="AY7" s="113">
        <f>AX7/AX11</f>
        <v>33.852280462899877</v>
      </c>
      <c r="AZ7" s="696" t="e">
        <f ca="1">F_DIST_RT(AY7,AW7,AW11)</f>
        <v>#NAME?</v>
      </c>
      <c r="BA7" s="113">
        <f>FINV(0.05,AW7,AW11)</f>
        <v>5.1173550291992269</v>
      </c>
    </row>
    <row r="8" spans="1:53" x14ac:dyDescent="0.25">
      <c r="A8" s="190">
        <f t="shared" si="6"/>
        <v>4</v>
      </c>
      <c r="B8" s="214">
        <v>12</v>
      </c>
      <c r="C8" s="7">
        <v>25</v>
      </c>
      <c r="D8" s="215">
        <v>25</v>
      </c>
      <c r="E8" s="214">
        <v>18</v>
      </c>
      <c r="F8" s="7">
        <v>39</v>
      </c>
      <c r="G8" s="215">
        <v>40</v>
      </c>
      <c r="H8">
        <f t="shared" si="3"/>
        <v>26.5</v>
      </c>
      <c r="J8" s="214">
        <f t="shared" si="0"/>
        <v>20.666666666666668</v>
      </c>
      <c r="K8" s="215">
        <f t="shared" si="0"/>
        <v>32.333333333333336</v>
      </c>
      <c r="M8" s="214">
        <f t="shared" si="4"/>
        <v>15</v>
      </c>
      <c r="N8" s="7">
        <f t="shared" si="1"/>
        <v>32</v>
      </c>
      <c r="O8" s="215">
        <f t="shared" si="1"/>
        <v>32.5</v>
      </c>
      <c r="Q8" s="59" t="s">
        <v>447</v>
      </c>
      <c r="R8" s="214">
        <f>S4*T4</f>
        <v>30</v>
      </c>
      <c r="S8" s="7">
        <f>DEVSQ(J15:K15)*R8</f>
        <v>828.81666666666672</v>
      </c>
      <c r="T8" s="7">
        <f>R4-1</f>
        <v>1</v>
      </c>
      <c r="U8" s="215">
        <f t="shared" si="7"/>
        <v>828.81666666666672</v>
      </c>
      <c r="W8" s="16" t="s">
        <v>453</v>
      </c>
      <c r="X8">
        <f>S16</f>
        <v>455.76666666666688</v>
      </c>
      <c r="Y8">
        <f>T16</f>
        <v>18</v>
      </c>
      <c r="Z8" s="7">
        <f t="shared" si="5"/>
        <v>25.320370370370384</v>
      </c>
      <c r="AE8" t="s">
        <v>454</v>
      </c>
      <c r="AF8" t="e">
        <f ca="1">INDEX(AF5:AF6,AF4)</f>
        <v>#NAME?</v>
      </c>
      <c r="AG8" t="e">
        <f ca="1">INDEX(AG5:AG6,AG4)</f>
        <v>#NAME?</v>
      </c>
      <c r="AI8" t="s">
        <v>360</v>
      </c>
      <c r="AJ8" s="185" t="e">
        <f ca="1">SUMSQ(AF7:AG7)</f>
        <v>#NAME?</v>
      </c>
      <c r="AK8" s="7"/>
      <c r="AL8" t="s">
        <v>6</v>
      </c>
      <c r="AM8" t="e">
        <f ca="1">AVERAGE(AM5:AM7)</f>
        <v>#NAME?</v>
      </c>
      <c r="AN8" t="e">
        <f ca="1">AVERAGE(AN5:AN7)</f>
        <v>#NAME?</v>
      </c>
      <c r="AO8" t="e">
        <f ca="1">AVERAGE(AO5:AO7)</f>
        <v>#NAME?</v>
      </c>
      <c r="AQ8" t="s">
        <v>360</v>
      </c>
      <c r="AR8" s="185" t="e">
        <f ca="1">SUMSQ(AM8:AO8)</f>
        <v>#NAME?</v>
      </c>
      <c r="AT8" s="16" t="s">
        <v>450</v>
      </c>
      <c r="AU8" s="16" t="s">
        <v>448</v>
      </c>
      <c r="AV8">
        <f>X6</f>
        <v>220.35000000000036</v>
      </c>
      <c r="AW8">
        <f>Y6</f>
        <v>9</v>
      </c>
      <c r="AX8" s="7">
        <f t="shared" si="2"/>
        <v>24.483333333333373</v>
      </c>
      <c r="AY8" s="16"/>
      <c r="AZ8" s="16"/>
      <c r="BA8" s="16"/>
    </row>
    <row r="9" spans="1:53" x14ac:dyDescent="0.25">
      <c r="A9" s="190">
        <f t="shared" si="6"/>
        <v>5</v>
      </c>
      <c r="B9" s="214">
        <v>19</v>
      </c>
      <c r="C9" s="7">
        <v>27</v>
      </c>
      <c r="D9" s="215">
        <v>19</v>
      </c>
      <c r="E9" s="214">
        <v>18</v>
      </c>
      <c r="F9" s="7">
        <v>28</v>
      </c>
      <c r="G9" s="215">
        <v>27</v>
      </c>
      <c r="H9">
        <f t="shared" si="3"/>
        <v>23</v>
      </c>
      <c r="J9" s="214">
        <f t="shared" si="0"/>
        <v>21.666666666666668</v>
      </c>
      <c r="K9" s="215">
        <f t="shared" si="0"/>
        <v>24.333333333333332</v>
      </c>
      <c r="M9" s="214">
        <f t="shared" si="4"/>
        <v>18.5</v>
      </c>
      <c r="N9" s="7">
        <f t="shared" si="4"/>
        <v>27.5</v>
      </c>
      <c r="O9" s="215">
        <f t="shared" si="4"/>
        <v>23</v>
      </c>
      <c r="Q9" s="59" t="s">
        <v>452</v>
      </c>
      <c r="R9" s="214">
        <f>R4*T4</f>
        <v>20</v>
      </c>
      <c r="S9" s="7">
        <f>DEVSQ(M15:O15)*R9</f>
        <v>1365.2333333333331</v>
      </c>
      <c r="T9" s="7">
        <f>S4-1</f>
        <v>2</v>
      </c>
      <c r="U9" s="215">
        <f t="shared" si="7"/>
        <v>682.61666666666656</v>
      </c>
      <c r="W9" s="16" t="s">
        <v>181</v>
      </c>
      <c r="X9" s="16">
        <f>S12</f>
        <v>224.43333333333339</v>
      </c>
      <c r="Y9" s="16">
        <f>T12</f>
        <v>2</v>
      </c>
      <c r="Z9" s="7">
        <f t="shared" si="5"/>
        <v>112.2166666666667</v>
      </c>
      <c r="AA9" s="16">
        <f>Z9/Z10</f>
        <v>12.63227016885571</v>
      </c>
      <c r="AB9">
        <f>FDIST(AA9,Y9,Y10)</f>
        <v>3.7347686147367487E-4</v>
      </c>
      <c r="AC9">
        <f>FINV(0.05,Y9,Y10)</f>
        <v>3.5545571456617879</v>
      </c>
      <c r="AI9" t="s">
        <v>361</v>
      </c>
      <c r="AJ9" s="185" t="e">
        <f ca="1">(AJ4*(AJ5-AJ6))^2</f>
        <v>#NAME?</v>
      </c>
      <c r="AK9" s="7"/>
      <c r="AL9" t="s">
        <v>454</v>
      </c>
      <c r="AM9" t="e">
        <f ca="1">INDEX(AM5:AM7,AM4)</f>
        <v>#NAME?</v>
      </c>
      <c r="AN9" t="e">
        <f ca="1">INDEX(AN5:AN7,AN4)</f>
        <v>#NAME?</v>
      </c>
      <c r="AO9" t="e">
        <f ca="1">INDEX(AO5:AO7,AO4)</f>
        <v>#NAME?</v>
      </c>
      <c r="AQ9" t="s">
        <v>361</v>
      </c>
      <c r="AR9" s="185" t="e">
        <f ca="1">(AR4*(AR5-AR6))^2</f>
        <v>#NAME?</v>
      </c>
      <c r="AU9" t="s">
        <v>449</v>
      </c>
      <c r="AV9">
        <f>AV8</f>
        <v>220.35000000000036</v>
      </c>
      <c r="AW9" t="e">
        <f ca="1">AW8*AJ11</f>
        <v>#NAME?</v>
      </c>
      <c r="AX9" s="7" t="e">
        <f t="shared" ca="1" si="2"/>
        <v>#NAME?</v>
      </c>
      <c r="AY9" s="16"/>
      <c r="AZ9" s="16"/>
      <c r="BA9" s="16"/>
    </row>
    <row r="10" spans="1:53" x14ac:dyDescent="0.25">
      <c r="A10" s="190">
        <f t="shared" si="6"/>
        <v>6</v>
      </c>
      <c r="B10" s="214">
        <v>6</v>
      </c>
      <c r="C10" s="7">
        <v>12</v>
      </c>
      <c r="D10" s="215">
        <v>6</v>
      </c>
      <c r="E10" s="214">
        <v>6</v>
      </c>
      <c r="F10" s="7">
        <v>18</v>
      </c>
      <c r="G10" s="215">
        <v>23</v>
      </c>
      <c r="H10">
        <f t="shared" si="3"/>
        <v>11.833333333333334</v>
      </c>
      <c r="J10" s="214">
        <f t="shared" si="0"/>
        <v>8</v>
      </c>
      <c r="K10" s="215">
        <f t="shared" si="0"/>
        <v>15.666666666666666</v>
      </c>
      <c r="M10" s="214">
        <f t="shared" si="4"/>
        <v>6</v>
      </c>
      <c r="N10" s="7">
        <f t="shared" si="4"/>
        <v>15</v>
      </c>
      <c r="O10" s="215">
        <f t="shared" si="4"/>
        <v>14.5</v>
      </c>
      <c r="Q10" s="46" t="s">
        <v>455</v>
      </c>
      <c r="R10" s="214">
        <f>R4*S4</f>
        <v>6</v>
      </c>
      <c r="S10" s="7">
        <f>DEVSQ(H5:H14)*R10</f>
        <v>1598.083333333333</v>
      </c>
      <c r="T10" s="7">
        <f>T4-1</f>
        <v>9</v>
      </c>
      <c r="U10" s="215">
        <f t="shared" si="7"/>
        <v>177.56481481481478</v>
      </c>
      <c r="W10" s="16" t="s">
        <v>456</v>
      </c>
      <c r="X10" s="16">
        <f>S17</f>
        <v>159.89999999999782</v>
      </c>
      <c r="Y10" s="16">
        <f>T17</f>
        <v>18</v>
      </c>
      <c r="Z10" s="7">
        <f t="shared" si="5"/>
        <v>8.8833333333332121</v>
      </c>
      <c r="AA10" s="16"/>
      <c r="AB10" s="16"/>
      <c r="AC10" s="16"/>
      <c r="AI10" t="s">
        <v>362</v>
      </c>
      <c r="AJ10" s="185" t="e">
        <f ca="1">(AJ4-1)*(AJ7-2*AJ4*AJ8+AJ4^2*AJ6^2)</f>
        <v>#NAME?</v>
      </c>
      <c r="AK10" s="7"/>
      <c r="AQ10" t="s">
        <v>362</v>
      </c>
      <c r="AR10" s="185" t="e">
        <f ca="1">(AR4-1)*(AR7-2*AR4*AR8+AR4^2*AR6^2)</f>
        <v>#NAME?</v>
      </c>
      <c r="AU10" t="s">
        <v>451</v>
      </c>
      <c r="AV10">
        <f>AV8</f>
        <v>220.35000000000036</v>
      </c>
      <c r="AW10" t="e">
        <f ca="1">AW8*$AJ$18</f>
        <v>#NAME?</v>
      </c>
      <c r="AX10" s="7" t="e">
        <f t="shared" ca="1" si="2"/>
        <v>#NAME?</v>
      </c>
      <c r="AY10" s="16"/>
      <c r="AZ10" s="16"/>
      <c r="BA10" s="16"/>
    </row>
    <row r="11" spans="1:53" ht="15.75" thickBot="1" x14ac:dyDescent="0.3">
      <c r="A11" s="190">
        <f t="shared" si="6"/>
        <v>7</v>
      </c>
      <c r="B11" s="214">
        <v>17</v>
      </c>
      <c r="C11" s="7">
        <v>18</v>
      </c>
      <c r="D11" s="215">
        <v>30</v>
      </c>
      <c r="E11" s="214">
        <v>24</v>
      </c>
      <c r="F11" s="7">
        <v>36</v>
      </c>
      <c r="G11" s="215">
        <v>38</v>
      </c>
      <c r="H11">
        <f t="shared" si="3"/>
        <v>27.166666666666668</v>
      </c>
      <c r="J11" s="214">
        <f t="shared" si="0"/>
        <v>21.666666666666668</v>
      </c>
      <c r="K11" s="215">
        <f t="shared" si="0"/>
        <v>32.666666666666664</v>
      </c>
      <c r="M11" s="214">
        <f t="shared" si="4"/>
        <v>20.5</v>
      </c>
      <c r="N11" s="7">
        <f t="shared" si="4"/>
        <v>27</v>
      </c>
      <c r="O11" s="215">
        <f t="shared" si="4"/>
        <v>34</v>
      </c>
      <c r="Q11" s="39" t="s">
        <v>185</v>
      </c>
      <c r="R11" s="214">
        <f>T4</f>
        <v>10</v>
      </c>
      <c r="S11" s="7">
        <f>DEVSQ(B15:G15)*R11</f>
        <v>2418.4833333333331</v>
      </c>
      <c r="T11" s="7">
        <f>R4*S4-1</f>
        <v>5</v>
      </c>
      <c r="U11" s="215">
        <f t="shared" si="7"/>
        <v>483.6966666666666</v>
      </c>
      <c r="W11" s="16" t="s">
        <v>455</v>
      </c>
      <c r="X11" s="16">
        <f>S10</f>
        <v>1598.083333333333</v>
      </c>
      <c r="Y11" s="16">
        <f>T10</f>
        <v>9</v>
      </c>
      <c r="Z11" s="7">
        <f t="shared" si="5"/>
        <v>177.56481481481478</v>
      </c>
      <c r="AA11" s="16"/>
      <c r="AB11" s="16"/>
      <c r="AC11" s="16"/>
      <c r="AI11" t="s">
        <v>363</v>
      </c>
      <c r="AJ11" s="123" t="e">
        <f ca="1">AJ9/AJ10</f>
        <v>#NAME?</v>
      </c>
      <c r="AK11" s="7"/>
      <c r="AQ11" t="s">
        <v>363</v>
      </c>
      <c r="AR11" s="123" t="e">
        <f ca="1">AR9/AR10</f>
        <v>#NAME?</v>
      </c>
      <c r="AT11" s="19"/>
      <c r="AU11" s="19" t="s">
        <v>410</v>
      </c>
      <c r="AV11" s="19">
        <f>AV8</f>
        <v>220.35000000000036</v>
      </c>
      <c r="AW11" s="19">
        <f>AW8*$AJ$20</f>
        <v>9</v>
      </c>
      <c r="AX11" s="19">
        <f t="shared" si="2"/>
        <v>24.483333333333373</v>
      </c>
      <c r="AY11" s="19"/>
      <c r="AZ11" s="19"/>
      <c r="BA11" s="19"/>
    </row>
    <row r="12" spans="1:53" x14ac:dyDescent="0.25">
      <c r="A12" s="190">
        <f t="shared" si="6"/>
        <v>8</v>
      </c>
      <c r="B12" s="214">
        <v>18</v>
      </c>
      <c r="C12" s="7">
        <v>29</v>
      </c>
      <c r="D12" s="215">
        <v>36</v>
      </c>
      <c r="E12" s="214">
        <v>22</v>
      </c>
      <c r="F12" s="7">
        <v>36</v>
      </c>
      <c r="G12" s="215">
        <v>40</v>
      </c>
      <c r="H12">
        <f t="shared" si="3"/>
        <v>30.166666666666668</v>
      </c>
      <c r="J12" s="214">
        <f t="shared" si="0"/>
        <v>27.666666666666668</v>
      </c>
      <c r="K12" s="215">
        <f t="shared" si="0"/>
        <v>32.666666666666664</v>
      </c>
      <c r="M12" s="214">
        <f t="shared" si="4"/>
        <v>20</v>
      </c>
      <c r="N12" s="7">
        <f t="shared" si="4"/>
        <v>32.5</v>
      </c>
      <c r="O12" s="215">
        <f t="shared" si="4"/>
        <v>38</v>
      </c>
      <c r="Q12" s="52" t="s">
        <v>181</v>
      </c>
      <c r="R12" s="214"/>
      <c r="S12" s="7">
        <f>S11-S8-S9</f>
        <v>224.43333333333339</v>
      </c>
      <c r="T12" s="7">
        <f>T11-T8-T9</f>
        <v>2</v>
      </c>
      <c r="U12" s="215">
        <f t="shared" si="7"/>
        <v>112.2166666666667</v>
      </c>
      <c r="W12" s="16"/>
      <c r="X12" s="16"/>
      <c r="Y12" s="16"/>
      <c r="Z12" s="16"/>
      <c r="AA12" s="16"/>
      <c r="AB12" s="16"/>
      <c r="AC12" s="16"/>
      <c r="AT12" s="16" t="s">
        <v>452</v>
      </c>
      <c r="AU12" s="16" t="s">
        <v>448</v>
      </c>
      <c r="AV12">
        <f>X7</f>
        <v>1365.2333333333331</v>
      </c>
      <c r="AW12">
        <f>Y7</f>
        <v>2</v>
      </c>
      <c r="AX12" s="7">
        <f>AV12/AW12</f>
        <v>682.61666666666656</v>
      </c>
      <c r="AY12" s="16">
        <f>AX12/AX16</f>
        <v>26.959189643823574</v>
      </c>
      <c r="AZ12" t="e">
        <f ca="1">F_DIST_RT(AY12,AW12,AW16)</f>
        <v>#NAME?</v>
      </c>
      <c r="BA12">
        <f>FINV(0.05,AW12,AW16)</f>
        <v>3.5545571456617879</v>
      </c>
    </row>
    <row r="13" spans="1:53" ht="15.75" thickBot="1" x14ac:dyDescent="0.3">
      <c r="A13" s="190">
        <f t="shared" si="6"/>
        <v>9</v>
      </c>
      <c r="B13" s="214">
        <v>23</v>
      </c>
      <c r="C13" s="7">
        <v>30</v>
      </c>
      <c r="D13" s="215">
        <v>24</v>
      </c>
      <c r="E13" s="214">
        <v>18</v>
      </c>
      <c r="F13" s="7">
        <v>38</v>
      </c>
      <c r="G13" s="215">
        <v>32</v>
      </c>
      <c r="H13">
        <f t="shared" si="3"/>
        <v>27.5</v>
      </c>
      <c r="J13" s="214">
        <f t="shared" si="0"/>
        <v>25.666666666666668</v>
      </c>
      <c r="K13" s="215">
        <f t="shared" si="0"/>
        <v>29.333333333333332</v>
      </c>
      <c r="M13" s="214">
        <f t="shared" si="4"/>
        <v>20.5</v>
      </c>
      <c r="N13" s="7">
        <f t="shared" si="4"/>
        <v>34</v>
      </c>
      <c r="O13" s="215">
        <f t="shared" si="4"/>
        <v>28</v>
      </c>
      <c r="Q13" s="52" t="s">
        <v>186</v>
      </c>
      <c r="R13" s="214">
        <f>S4</f>
        <v>3</v>
      </c>
      <c r="S13" s="7">
        <f>DEVSQ(J5:K14)*R13</f>
        <v>2647.25</v>
      </c>
      <c r="T13" s="7">
        <f>R4*T4-1</f>
        <v>19</v>
      </c>
      <c r="U13" s="215">
        <f t="shared" si="7"/>
        <v>139.32894736842104</v>
      </c>
      <c r="W13" s="17" t="s">
        <v>1</v>
      </c>
      <c r="X13" s="17">
        <f>S7</f>
        <v>4852.5833333333312</v>
      </c>
      <c r="Y13" s="17">
        <f>T7</f>
        <v>59</v>
      </c>
      <c r="Z13" s="17">
        <f>X13/Y13</f>
        <v>82.247175141242906</v>
      </c>
      <c r="AA13" s="17"/>
      <c r="AB13" s="17"/>
      <c r="AC13" s="17"/>
      <c r="AI13" t="s">
        <v>355</v>
      </c>
      <c r="AJ13" s="212">
        <f>T4</f>
        <v>10</v>
      </c>
      <c r="AK13" s="7"/>
      <c r="AQ13" t="s">
        <v>355</v>
      </c>
      <c r="AR13" s="212">
        <f>T4</f>
        <v>10</v>
      </c>
      <c r="AU13" t="s">
        <v>449</v>
      </c>
      <c r="AV13">
        <f>AV12</f>
        <v>1365.2333333333331</v>
      </c>
      <c r="AW13" t="e">
        <f ca="1">AW12*AR11</f>
        <v>#NAME?</v>
      </c>
      <c r="AX13" s="7" t="e">
        <f ca="1">AV13/AW13</f>
        <v>#NAME?</v>
      </c>
      <c r="AY13" s="16" t="e">
        <f ca="1">AX13/AX17</f>
        <v>#NAME?</v>
      </c>
      <c r="AZ13" t="e">
        <f ca="1">F_DIST_RT(AY13,AW13,AW17)</f>
        <v>#NAME?</v>
      </c>
      <c r="BA13" t="e">
        <f ca="1">FINV(0.05,AW13,AW17)</f>
        <v>#NAME?</v>
      </c>
    </row>
    <row r="14" spans="1:53" x14ac:dyDescent="0.25">
      <c r="A14" s="190">
        <f t="shared" si="6"/>
        <v>10</v>
      </c>
      <c r="B14" s="112">
        <v>18</v>
      </c>
      <c r="C14" s="113">
        <v>12</v>
      </c>
      <c r="D14" s="120">
        <v>24</v>
      </c>
      <c r="E14" s="112">
        <v>24</v>
      </c>
      <c r="F14" s="113">
        <v>25</v>
      </c>
      <c r="G14" s="120">
        <v>34</v>
      </c>
      <c r="H14">
        <f t="shared" si="3"/>
        <v>22.833333333333332</v>
      </c>
      <c r="J14" s="112">
        <f t="shared" si="0"/>
        <v>18</v>
      </c>
      <c r="K14" s="120">
        <f t="shared" si="0"/>
        <v>27.666666666666668</v>
      </c>
      <c r="M14" s="112">
        <f t="shared" si="4"/>
        <v>21</v>
      </c>
      <c r="N14" s="113">
        <f t="shared" si="4"/>
        <v>18.5</v>
      </c>
      <c r="O14" s="120">
        <f t="shared" si="4"/>
        <v>29</v>
      </c>
      <c r="Q14" s="7" t="s">
        <v>182</v>
      </c>
      <c r="R14" s="214"/>
      <c r="S14" s="7">
        <f>S13-S8-S10</f>
        <v>220.35000000000036</v>
      </c>
      <c r="T14" s="7">
        <f>T13-T8-T10</f>
        <v>9</v>
      </c>
      <c r="U14" s="215">
        <f t="shared" si="7"/>
        <v>24.483333333333373</v>
      </c>
      <c r="AI14" t="s">
        <v>356</v>
      </c>
      <c r="AJ14" s="185">
        <f>AJ4</f>
        <v>2</v>
      </c>
      <c r="AK14" s="7"/>
      <c r="AQ14" t="s">
        <v>356</v>
      </c>
      <c r="AR14" s="185">
        <f>AR4</f>
        <v>3</v>
      </c>
      <c r="AU14" t="s">
        <v>451</v>
      </c>
      <c r="AV14">
        <f>AV12</f>
        <v>1365.2333333333331</v>
      </c>
      <c r="AW14" t="e">
        <f ca="1">AW12*AR18</f>
        <v>#NAME?</v>
      </c>
      <c r="AX14" s="7" t="e">
        <f ca="1">AV14/AW14</f>
        <v>#NAME?</v>
      </c>
      <c r="AY14" s="16" t="e">
        <f ca="1">AX14/AX18</f>
        <v>#NAME?</v>
      </c>
      <c r="AZ14" t="e">
        <f ca="1">F_DIST_RT(AY14,AW14,AW18)</f>
        <v>#NAME?</v>
      </c>
      <c r="BA14" t="e">
        <f ca="1">FINV(0.05,AW14,AW18)</f>
        <v>#NAME?</v>
      </c>
    </row>
    <row r="15" spans="1:53" x14ac:dyDescent="0.25">
      <c r="B15">
        <f t="shared" ref="B15:G15" si="8">AVERAGE(B5:B14)</f>
        <v>15.5</v>
      </c>
      <c r="C15">
        <f t="shared" si="8"/>
        <v>20.3</v>
      </c>
      <c r="D15">
        <f t="shared" si="8"/>
        <v>22.3</v>
      </c>
      <c r="E15">
        <f t="shared" si="8"/>
        <v>17.5</v>
      </c>
      <c r="F15">
        <f t="shared" si="8"/>
        <v>29.9</v>
      </c>
      <c r="G15">
        <f t="shared" si="8"/>
        <v>33</v>
      </c>
      <c r="H15">
        <f t="shared" si="3"/>
        <v>23.083333333333332</v>
      </c>
      <c r="J15">
        <f>AVERAGE(J5:J14)</f>
        <v>19.366666666666667</v>
      </c>
      <c r="K15">
        <f>AVERAGE(K5:K14)</f>
        <v>26.8</v>
      </c>
      <c r="M15">
        <f>AVERAGE(M5:M14)</f>
        <v>16.5</v>
      </c>
      <c r="N15">
        <f>AVERAGE(N5:N14)</f>
        <v>25.1</v>
      </c>
      <c r="O15">
        <f>AVERAGE(O5:O14)</f>
        <v>27.65</v>
      </c>
      <c r="Q15" s="52" t="s">
        <v>187</v>
      </c>
      <c r="R15" s="214">
        <f>R4</f>
        <v>2</v>
      </c>
      <c r="S15" s="7">
        <f>DEVSQ(M5:O14)*R15</f>
        <v>3419.083333333333</v>
      </c>
      <c r="T15" s="7">
        <f>S4*T4-1</f>
        <v>29</v>
      </c>
      <c r="U15" s="215">
        <f t="shared" si="7"/>
        <v>117.89942528735631</v>
      </c>
      <c r="AI15" t="s">
        <v>363</v>
      </c>
      <c r="AJ15" s="185" t="e">
        <f ca="1">AJ11</f>
        <v>#NAME?</v>
      </c>
      <c r="AK15" s="7"/>
      <c r="AQ15" t="s">
        <v>363</v>
      </c>
      <c r="AR15" s="185" t="e">
        <f ca="1">AR11</f>
        <v>#NAME?</v>
      </c>
      <c r="AT15" s="113"/>
      <c r="AU15" s="113" t="s">
        <v>410</v>
      </c>
      <c r="AV15" s="113">
        <f>AV12</f>
        <v>1365.2333333333331</v>
      </c>
      <c r="AW15" s="113">
        <f>AW12*AR20</f>
        <v>1</v>
      </c>
      <c r="AX15" s="113">
        <f>AV15/AW15</f>
        <v>1365.2333333333331</v>
      </c>
      <c r="AY15" s="113">
        <f>AX15/AX19</f>
        <v>26.959189643823574</v>
      </c>
      <c r="AZ15" s="696" t="e">
        <f ca="1">F_DIST_RT(AY15,AW15,AW19)</f>
        <v>#NAME?</v>
      </c>
      <c r="BA15" s="113">
        <f>FINV(0.05,AW15,AW19)</f>
        <v>5.1173550291992269</v>
      </c>
    </row>
    <row r="16" spans="1:53" x14ac:dyDescent="0.25">
      <c r="Q16" s="46" t="s">
        <v>183</v>
      </c>
      <c r="R16" s="214"/>
      <c r="S16" s="7">
        <f>S15-S9-S10</f>
        <v>455.76666666666688</v>
      </c>
      <c r="T16" s="7">
        <f>T15-T9-T10</f>
        <v>18</v>
      </c>
      <c r="U16" s="215">
        <f t="shared" si="7"/>
        <v>25.320370370370384</v>
      </c>
      <c r="AI16" t="s">
        <v>364</v>
      </c>
      <c r="AJ16" s="185" t="e">
        <f ca="1">AJ13*(AJ14-1)*AJ15-2</f>
        <v>#NAME?</v>
      </c>
      <c r="AK16" s="7"/>
      <c r="AQ16" t="s">
        <v>364</v>
      </c>
      <c r="AR16" s="185" t="e">
        <f ca="1">AR13*(AR14-1)*AR15-2</f>
        <v>#NAME?</v>
      </c>
      <c r="AT16" s="16" t="s">
        <v>453</v>
      </c>
      <c r="AU16" s="16" t="s">
        <v>448</v>
      </c>
      <c r="AV16">
        <f>X8</f>
        <v>455.76666666666688</v>
      </c>
      <c r="AW16">
        <f>Y8</f>
        <v>18</v>
      </c>
      <c r="AX16" s="7">
        <f>AV16/AW16</f>
        <v>25.320370370370384</v>
      </c>
      <c r="AY16" s="16"/>
      <c r="AZ16" s="16"/>
      <c r="BA16" s="16"/>
    </row>
    <row r="17" spans="17:53" x14ac:dyDescent="0.25">
      <c r="Q17" s="15" t="s">
        <v>184</v>
      </c>
      <c r="R17" s="112"/>
      <c r="S17" s="113">
        <f>S7-S8-S9-S10-S12-S14-S16</f>
        <v>159.89999999999782</v>
      </c>
      <c r="T17" s="113">
        <f>T7-T8-T9-T10-T12-T14-T16</f>
        <v>18</v>
      </c>
      <c r="U17" s="120">
        <f t="shared" si="7"/>
        <v>8.8833333333332121</v>
      </c>
      <c r="AI17" t="s">
        <v>365</v>
      </c>
      <c r="AJ17" s="185" t="e">
        <f ca="1">(AJ14-1)*(AJ13-1-(AJ14-1)*AJ15)</f>
        <v>#NAME?</v>
      </c>
      <c r="AK17" s="7"/>
      <c r="AQ17" t="s">
        <v>365</v>
      </c>
      <c r="AR17" s="185" t="e">
        <f ca="1">(AR14-1)*(AR13-1-(AR14-1)*AR15)</f>
        <v>#NAME?</v>
      </c>
      <c r="AU17" t="s">
        <v>449</v>
      </c>
      <c r="AV17">
        <f>AV16</f>
        <v>455.76666666666688</v>
      </c>
      <c r="AW17" t="e">
        <f ca="1">AW16*AR11</f>
        <v>#NAME?</v>
      </c>
      <c r="AX17" s="7" t="e">
        <f t="shared" ref="AX17:AX25" ca="1" si="9">AV17/AW17</f>
        <v>#NAME?</v>
      </c>
      <c r="AY17" s="16"/>
      <c r="AZ17" s="16"/>
      <c r="BA17" s="16"/>
    </row>
    <row r="18" spans="17:53" x14ac:dyDescent="0.25">
      <c r="AI18" t="s">
        <v>366</v>
      </c>
      <c r="AJ18" s="123" t="e">
        <f ca="1">MIN(AJ16/AJ17,1)</f>
        <v>#NAME?</v>
      </c>
      <c r="AK18" s="7"/>
      <c r="AQ18" t="s">
        <v>366</v>
      </c>
      <c r="AR18" s="123" t="e">
        <f ca="1">MIN(AR16/AR17,1)</f>
        <v>#NAME?</v>
      </c>
      <c r="AU18" t="s">
        <v>451</v>
      </c>
      <c r="AV18">
        <f>AV16</f>
        <v>455.76666666666688</v>
      </c>
      <c r="AW18" t="e">
        <f ca="1">AW16*AR18</f>
        <v>#NAME?</v>
      </c>
      <c r="AX18" s="7" t="e">
        <f t="shared" ca="1" si="9"/>
        <v>#NAME?</v>
      </c>
      <c r="AY18" s="16"/>
      <c r="AZ18" s="16"/>
      <c r="BA18" s="16"/>
    </row>
    <row r="19" spans="17:53" ht="15.75" thickBot="1" x14ac:dyDescent="0.3">
      <c r="AT19" s="19"/>
      <c r="AU19" s="19" t="s">
        <v>410</v>
      </c>
      <c r="AV19" s="19">
        <f>AV16</f>
        <v>455.76666666666688</v>
      </c>
      <c r="AW19" s="19">
        <f>AW16*AR20</f>
        <v>9</v>
      </c>
      <c r="AX19" s="19">
        <f t="shared" si="9"/>
        <v>50.640740740740767</v>
      </c>
      <c r="AY19" s="19"/>
      <c r="AZ19" s="19"/>
      <c r="BA19" s="19"/>
    </row>
    <row r="20" spans="17:53" x14ac:dyDescent="0.25">
      <c r="AI20" t="s">
        <v>410</v>
      </c>
      <c r="AJ20" s="213">
        <f>1/(AJ4-1)</f>
        <v>1</v>
      </c>
      <c r="AK20" s="7"/>
      <c r="AQ20" t="s">
        <v>410</v>
      </c>
      <c r="AR20" s="213">
        <f>1/(AR4-1)</f>
        <v>0.5</v>
      </c>
      <c r="AT20" s="16" t="s">
        <v>181</v>
      </c>
      <c r="AU20" s="16" t="s">
        <v>448</v>
      </c>
      <c r="AV20" s="16">
        <f>X9</f>
        <v>224.43333333333339</v>
      </c>
      <c r="AW20" s="16">
        <f>Y9</f>
        <v>2</v>
      </c>
      <c r="AX20" s="7">
        <f t="shared" si="9"/>
        <v>112.2166666666667</v>
      </c>
      <c r="AY20" s="16">
        <f>AX20/AX22</f>
        <v>12.63227016885571</v>
      </c>
      <c r="AZ20">
        <f>FDIST(AY20,AW20,AW22)</f>
        <v>3.7347686147367487E-4</v>
      </c>
      <c r="BA20">
        <f>FINV(0.05,AW20,AW22)</f>
        <v>3.5545571456617879</v>
      </c>
    </row>
    <row r="21" spans="17:53" x14ac:dyDescent="0.25">
      <c r="AT21" s="113"/>
      <c r="AU21" s="113" t="s">
        <v>410</v>
      </c>
      <c r="AV21" s="113">
        <f>AV20</f>
        <v>224.43333333333339</v>
      </c>
      <c r="AW21" s="113">
        <f>AW20*0.5</f>
        <v>1</v>
      </c>
      <c r="AX21" s="113">
        <f t="shared" si="9"/>
        <v>224.43333333333339</v>
      </c>
      <c r="AY21" s="113">
        <f>AX21/AX23</f>
        <v>12.63227016885571</v>
      </c>
      <c r="AZ21" s="113">
        <f>FDIST(AY21,AW21,AW23)</f>
        <v>6.1752137631104539E-3</v>
      </c>
      <c r="BA21" s="113">
        <f>FINV(0.05,AW21,AW23)</f>
        <v>5.1173550291992269</v>
      </c>
    </row>
    <row r="22" spans="17:53" x14ac:dyDescent="0.25">
      <c r="AT22" s="16" t="s">
        <v>456</v>
      </c>
      <c r="AU22" s="16" t="s">
        <v>448</v>
      </c>
      <c r="AV22" s="16">
        <f>X10</f>
        <v>159.89999999999782</v>
      </c>
      <c r="AW22" s="16">
        <f>Y10</f>
        <v>18</v>
      </c>
      <c r="AX22" s="7">
        <f t="shared" si="9"/>
        <v>8.8833333333332121</v>
      </c>
      <c r="AY22" s="16"/>
      <c r="AZ22" s="16"/>
      <c r="BA22" s="16"/>
    </row>
    <row r="23" spans="17:53" ht="15.75" thickBot="1" x14ac:dyDescent="0.3">
      <c r="AJ23" t="s">
        <v>457</v>
      </c>
      <c r="AT23" s="19"/>
      <c r="AU23" s="19" t="s">
        <v>410</v>
      </c>
      <c r="AV23" s="19">
        <f>AV22</f>
        <v>159.89999999999782</v>
      </c>
      <c r="AW23" s="19">
        <f>AW22*0.5</f>
        <v>9</v>
      </c>
      <c r="AX23" s="19">
        <f t="shared" si="9"/>
        <v>17.766666666666424</v>
      </c>
      <c r="AY23" s="19"/>
      <c r="AZ23" s="19"/>
      <c r="BA23" s="19"/>
    </row>
    <row r="24" spans="17:53" x14ac:dyDescent="0.25">
      <c r="AT24" t="s">
        <v>455</v>
      </c>
      <c r="AV24">
        <f>X11</f>
        <v>1598.083333333333</v>
      </c>
      <c r="AW24">
        <f>Y11</f>
        <v>9</v>
      </c>
      <c r="AX24">
        <f t="shared" si="9"/>
        <v>177.56481481481478</v>
      </c>
    </row>
    <row r="25" spans="17:53" ht="15.75" thickBot="1" x14ac:dyDescent="0.3">
      <c r="AJ25">
        <v>1</v>
      </c>
      <c r="AK25">
        <f>AJ25+1</f>
        <v>2</v>
      </c>
      <c r="AL25">
        <f>AK25+1</f>
        <v>3</v>
      </c>
      <c r="AM25">
        <f>AL25+1</f>
        <v>4</v>
      </c>
      <c r="AN25">
        <f>AM25+1</f>
        <v>5</v>
      </c>
      <c r="AO25">
        <f>AN25+1</f>
        <v>6</v>
      </c>
      <c r="AT25" s="19" t="s">
        <v>1</v>
      </c>
      <c r="AU25" s="19"/>
      <c r="AV25" s="19">
        <f>X13</f>
        <v>4852.5833333333312</v>
      </c>
      <c r="AW25" s="19">
        <f>Y13</f>
        <v>59</v>
      </c>
      <c r="AX25" s="19">
        <f t="shared" si="9"/>
        <v>82.247175141242906</v>
      </c>
      <c r="AY25" s="19"/>
      <c r="AZ25" s="19"/>
      <c r="BA25" s="19"/>
    </row>
    <row r="26" spans="17:53" x14ac:dyDescent="0.25">
      <c r="AJ26" s="209" t="e">
        <f t="array" aca="1" ref="AJ26:AO31" ca="1">COV(B5:G14)</f>
        <v>#NAME?</v>
      </c>
      <c r="AK26" s="210" t="e">
        <f ca="1"/>
        <v>#NAME?</v>
      </c>
      <c r="AL26" s="210" t="e">
        <f ca="1"/>
        <v>#NAME?</v>
      </c>
      <c r="AM26" s="210" t="e">
        <f ca="1"/>
        <v>#NAME?</v>
      </c>
      <c r="AN26" s="210" t="e">
        <f ca="1"/>
        <v>#NAME?</v>
      </c>
      <c r="AO26" s="211" t="e">
        <f ca="1"/>
        <v>#NAME?</v>
      </c>
      <c r="AP26" t="e">
        <f ca="1">AVERAGE(AJ26:AO26)</f>
        <v>#NAME?</v>
      </c>
    </row>
    <row r="27" spans="17:53" x14ac:dyDescent="0.25">
      <c r="AJ27" s="214" t="e">
        <f ca="1"/>
        <v>#NAME?</v>
      </c>
      <c r="AK27" s="7" t="e">
        <f ca="1"/>
        <v>#NAME?</v>
      </c>
      <c r="AL27" s="7" t="e">
        <f ca="1"/>
        <v>#NAME?</v>
      </c>
      <c r="AM27" s="7" t="e">
        <f ca="1"/>
        <v>#NAME?</v>
      </c>
      <c r="AN27" s="7" t="e">
        <f ca="1"/>
        <v>#NAME?</v>
      </c>
      <c r="AO27" s="215" t="e">
        <f ca="1"/>
        <v>#NAME?</v>
      </c>
      <c r="AP27" t="e">
        <f t="shared" ref="AP27:AP32" ca="1" si="10">AVERAGE(AJ27:AO27)</f>
        <v>#NAME?</v>
      </c>
    </row>
    <row r="28" spans="17:53" x14ac:dyDescent="0.25">
      <c r="AJ28" s="214" t="e">
        <f ca="1"/>
        <v>#NAME?</v>
      </c>
      <c r="AK28" s="7" t="e">
        <f ca="1"/>
        <v>#NAME?</v>
      </c>
      <c r="AL28" s="7" t="e">
        <f ca="1"/>
        <v>#NAME?</v>
      </c>
      <c r="AM28" s="7" t="e">
        <f ca="1"/>
        <v>#NAME?</v>
      </c>
      <c r="AN28" s="7" t="e">
        <f ca="1"/>
        <v>#NAME?</v>
      </c>
      <c r="AO28" s="215" t="e">
        <f ca="1"/>
        <v>#NAME?</v>
      </c>
      <c r="AP28" t="e">
        <f t="shared" ca="1" si="10"/>
        <v>#NAME?</v>
      </c>
    </row>
    <row r="29" spans="17:53" x14ac:dyDescent="0.25">
      <c r="AJ29" s="214" t="e">
        <f ca="1"/>
        <v>#NAME?</v>
      </c>
      <c r="AK29" s="7" t="e">
        <f ca="1"/>
        <v>#NAME?</v>
      </c>
      <c r="AL29" s="7" t="e">
        <f ca="1"/>
        <v>#NAME?</v>
      </c>
      <c r="AM29" s="7" t="e">
        <f ca="1"/>
        <v>#NAME?</v>
      </c>
      <c r="AN29" s="7" t="e">
        <f ca="1"/>
        <v>#NAME?</v>
      </c>
      <c r="AO29" s="215" t="e">
        <f ca="1"/>
        <v>#NAME?</v>
      </c>
      <c r="AP29" t="e">
        <f t="shared" ca="1" si="10"/>
        <v>#NAME?</v>
      </c>
    </row>
    <row r="30" spans="17:53" x14ac:dyDescent="0.25">
      <c r="AJ30" s="214" t="e">
        <f ca="1"/>
        <v>#NAME?</v>
      </c>
      <c r="AK30" s="7" t="e">
        <f ca="1"/>
        <v>#NAME?</v>
      </c>
      <c r="AL30" s="7" t="e">
        <f ca="1"/>
        <v>#NAME?</v>
      </c>
      <c r="AM30" s="7" t="e">
        <f ca="1"/>
        <v>#NAME?</v>
      </c>
      <c r="AN30" s="7" t="e">
        <f ca="1"/>
        <v>#NAME?</v>
      </c>
      <c r="AO30" s="215" t="e">
        <f ca="1"/>
        <v>#NAME?</v>
      </c>
      <c r="AP30" t="e">
        <f t="shared" ca="1" si="10"/>
        <v>#NAME?</v>
      </c>
    </row>
    <row r="31" spans="17:53" x14ac:dyDescent="0.25">
      <c r="AJ31" s="112" t="e">
        <f ca="1"/>
        <v>#NAME?</v>
      </c>
      <c r="AK31" s="113" t="e">
        <f ca="1"/>
        <v>#NAME?</v>
      </c>
      <c r="AL31" s="113" t="e">
        <f ca="1"/>
        <v>#NAME?</v>
      </c>
      <c r="AM31" s="113" t="e">
        <f ca="1"/>
        <v>#NAME?</v>
      </c>
      <c r="AN31" s="113" t="e">
        <f ca="1"/>
        <v>#NAME?</v>
      </c>
      <c r="AO31" s="120" t="e">
        <f ca="1"/>
        <v>#NAME?</v>
      </c>
      <c r="AP31" t="e">
        <f t="shared" ca="1" si="10"/>
        <v>#NAME?</v>
      </c>
    </row>
    <row r="32" spans="17:53" x14ac:dyDescent="0.25">
      <c r="AJ32" t="e">
        <f t="shared" ref="AJ32:AO32" ca="1" si="11">AVERAGE(AJ26:AJ31)</f>
        <v>#NAME?</v>
      </c>
      <c r="AK32" t="e">
        <f t="shared" ca="1" si="11"/>
        <v>#NAME?</v>
      </c>
      <c r="AL32" t="e">
        <f t="shared" ca="1" si="11"/>
        <v>#NAME?</v>
      </c>
      <c r="AM32" t="e">
        <f t="shared" ca="1" si="11"/>
        <v>#NAME?</v>
      </c>
      <c r="AN32" t="e">
        <f t="shared" ca="1" si="11"/>
        <v>#NAME?</v>
      </c>
      <c r="AO32" t="e">
        <f t="shared" ca="1" si="11"/>
        <v>#NAME?</v>
      </c>
      <c r="AP32" t="e">
        <f t="shared" ca="1" si="10"/>
        <v>#NAME?</v>
      </c>
    </row>
    <row r="35" spans="36:44" x14ac:dyDescent="0.25">
      <c r="AJ35" s="209" t="e">
        <f t="shared" ref="AJ35:AO35" ca="1" si="12">AJ26-$AP26-AJ$32+$AP$32</f>
        <v>#NAME?</v>
      </c>
      <c r="AK35" s="210" t="e">
        <f t="shared" ca="1" si="12"/>
        <v>#NAME?</v>
      </c>
      <c r="AL35" s="210" t="e">
        <f t="shared" ca="1" si="12"/>
        <v>#NAME?</v>
      </c>
      <c r="AM35" s="210" t="e">
        <f t="shared" ca="1" si="12"/>
        <v>#NAME?</v>
      </c>
      <c r="AN35" s="210" t="e">
        <f t="shared" ca="1" si="12"/>
        <v>#NAME?</v>
      </c>
      <c r="AO35" s="211" t="e">
        <f t="shared" ca="1" si="12"/>
        <v>#NAME?</v>
      </c>
      <c r="AQ35" t="s">
        <v>458</v>
      </c>
      <c r="AR35">
        <f>R4</f>
        <v>2</v>
      </c>
    </row>
    <row r="36" spans="36:44" x14ac:dyDescent="0.25">
      <c r="AJ36" s="214" t="e">
        <f t="shared" ref="AJ36:AO40" ca="1" si="13">AJ27-$AP27-AJ$32+$AP$32</f>
        <v>#NAME?</v>
      </c>
      <c r="AK36" s="7" t="e">
        <f t="shared" ca="1" si="13"/>
        <v>#NAME?</v>
      </c>
      <c r="AL36" s="7" t="e">
        <f t="shared" ca="1" si="13"/>
        <v>#NAME?</v>
      </c>
      <c r="AM36" s="7" t="e">
        <f t="shared" ca="1" si="13"/>
        <v>#NAME?</v>
      </c>
      <c r="AN36" s="7" t="e">
        <f t="shared" ca="1" si="13"/>
        <v>#NAME?</v>
      </c>
      <c r="AO36" s="215" t="e">
        <f t="shared" ca="1" si="13"/>
        <v>#NAME?</v>
      </c>
      <c r="AQ36" t="s">
        <v>459</v>
      </c>
      <c r="AR36">
        <f>S4</f>
        <v>3</v>
      </c>
    </row>
    <row r="37" spans="36:44" x14ac:dyDescent="0.25">
      <c r="AJ37" s="214" t="e">
        <f t="shared" ca="1" si="13"/>
        <v>#NAME?</v>
      </c>
      <c r="AK37" s="7" t="e">
        <f t="shared" ca="1" si="13"/>
        <v>#NAME?</v>
      </c>
      <c r="AL37" s="7" t="e">
        <f t="shared" ca="1" si="13"/>
        <v>#NAME?</v>
      </c>
      <c r="AM37" s="7" t="e">
        <f t="shared" ca="1" si="13"/>
        <v>#NAME?</v>
      </c>
      <c r="AN37" s="7" t="e">
        <f t="shared" ca="1" si="13"/>
        <v>#NAME?</v>
      </c>
      <c r="AO37" s="215" t="e">
        <f t="shared" ca="1" si="13"/>
        <v>#NAME?</v>
      </c>
      <c r="AQ37" t="s">
        <v>460</v>
      </c>
      <c r="AR37" t="e">
        <f ca="1">SUM(AJ42:AN42)^2</f>
        <v>#NAME?</v>
      </c>
    </row>
    <row r="38" spans="36:44" x14ac:dyDescent="0.25">
      <c r="AJ38" s="214" t="e">
        <f t="shared" ca="1" si="13"/>
        <v>#NAME?</v>
      </c>
      <c r="AK38" s="7" t="e">
        <f t="shared" ca="1" si="13"/>
        <v>#NAME?</v>
      </c>
      <c r="AL38" s="7" t="e">
        <f t="shared" ca="1" si="13"/>
        <v>#NAME?</v>
      </c>
      <c r="AM38" s="7" t="e">
        <f t="shared" ca="1" si="13"/>
        <v>#NAME?</v>
      </c>
      <c r="AN38" s="7" t="e">
        <f t="shared" ca="1" si="13"/>
        <v>#NAME?</v>
      </c>
      <c r="AO38" s="215" t="e">
        <f t="shared" ca="1" si="13"/>
        <v>#NAME?</v>
      </c>
      <c r="AQ38" t="s">
        <v>461</v>
      </c>
      <c r="AR38" t="e">
        <f ca="1">SUMSQ(AJ42:AN42)*(AR35-1)*(AR36-1)</f>
        <v>#NAME?</v>
      </c>
    </row>
    <row r="39" spans="36:44" x14ac:dyDescent="0.25">
      <c r="AJ39" s="214" t="e">
        <f t="shared" ca="1" si="13"/>
        <v>#NAME?</v>
      </c>
      <c r="AK39" s="7" t="e">
        <f t="shared" ca="1" si="13"/>
        <v>#NAME?</v>
      </c>
      <c r="AL39" s="7" t="e">
        <f t="shared" ca="1" si="13"/>
        <v>#NAME?</v>
      </c>
      <c r="AM39" s="7" t="e">
        <f t="shared" ca="1" si="13"/>
        <v>#NAME?</v>
      </c>
      <c r="AN39" s="7" t="e">
        <f t="shared" ca="1" si="13"/>
        <v>#NAME?</v>
      </c>
      <c r="AO39" s="215" t="e">
        <f t="shared" ca="1" si="13"/>
        <v>#NAME?</v>
      </c>
      <c r="AQ39" t="s">
        <v>363</v>
      </c>
      <c r="AR39" t="e">
        <f ca="1">AR37/AR38</f>
        <v>#NAME?</v>
      </c>
    </row>
    <row r="40" spans="36:44" x14ac:dyDescent="0.25">
      <c r="AJ40" s="112" t="e">
        <f t="shared" ca="1" si="13"/>
        <v>#NAME?</v>
      </c>
      <c r="AK40" s="113" t="e">
        <f t="shared" ca="1" si="13"/>
        <v>#NAME?</v>
      </c>
      <c r="AL40" s="113" t="e">
        <f t="shared" ca="1" si="13"/>
        <v>#NAME?</v>
      </c>
      <c r="AM40" s="113" t="e">
        <f t="shared" ca="1" si="13"/>
        <v>#NAME?</v>
      </c>
      <c r="AN40" s="113" t="e">
        <f t="shared" ca="1" si="13"/>
        <v>#NAME?</v>
      </c>
      <c r="AO40" s="120" t="e">
        <f t="shared" ca="1" si="13"/>
        <v>#NAME?</v>
      </c>
    </row>
    <row r="42" spans="36:44" x14ac:dyDescent="0.25">
      <c r="AJ42" s="216" t="e">
        <f t="array" aca="1" ref="AJ42:AN42" ca="1">eVALUES(AJ35:AO40)</f>
        <v>#NAME?</v>
      </c>
      <c r="AK42" s="217" t="e">
        <f ca="1"/>
        <v>#NAME?</v>
      </c>
      <c r="AL42" s="217" t="e">
        <f ca="1"/>
        <v>#NAME?</v>
      </c>
      <c r="AM42" s="217" t="e">
        <f ca="1"/>
        <v>#NAME?</v>
      </c>
      <c r="AN42" s="218" t="e">
        <f ca="1"/>
        <v>#NAME?</v>
      </c>
    </row>
  </sheetData>
  <mergeCells count="1">
    <mergeCell ref="AT3:AU3"/>
  </mergeCells>
  <pageMargins left="0.7" right="0.7" top="0.75" bottom="0.75" header="0.3" footer="0.3"/>
  <ignoredErrors>
    <ignoredError sqref="H5" formulaRange="1"/>
    <ignoredError sqref="AV22:AW22" formula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AE53"/>
  <sheetViews>
    <sheetView workbookViewId="0"/>
  </sheetViews>
  <sheetFormatPr defaultRowHeight="15" x14ac:dyDescent="0.25"/>
  <sheetData>
    <row r="1" spans="1:28" x14ac:dyDescent="0.25">
      <c r="A1" s="1" t="s">
        <v>499</v>
      </c>
    </row>
    <row r="3" spans="1:28" x14ac:dyDescent="0.25">
      <c r="A3" s="1" t="s">
        <v>439</v>
      </c>
      <c r="I3" s="1" t="s">
        <v>440</v>
      </c>
      <c r="Q3" s="1" t="s">
        <v>441</v>
      </c>
      <c r="Y3" s="1" t="s">
        <v>501</v>
      </c>
    </row>
    <row r="5" spans="1:28" x14ac:dyDescent="0.25">
      <c r="A5" s="190" t="s">
        <v>39</v>
      </c>
      <c r="B5" s="190" t="s">
        <v>444</v>
      </c>
      <c r="C5" s="190" t="s">
        <v>445</v>
      </c>
      <c r="I5" s="190" t="s">
        <v>39</v>
      </c>
      <c r="J5" s="190" t="s">
        <v>444</v>
      </c>
      <c r="K5" s="190" t="s">
        <v>445</v>
      </c>
      <c r="Q5" s="190" t="s">
        <v>39</v>
      </c>
      <c r="R5" s="190" t="s">
        <v>444</v>
      </c>
      <c r="S5" s="190" t="s">
        <v>445</v>
      </c>
      <c r="Y5" s="193" t="s">
        <v>39</v>
      </c>
      <c r="Z5" s="193" t="s">
        <v>440</v>
      </c>
      <c r="AA5" s="193" t="s">
        <v>441</v>
      </c>
    </row>
    <row r="6" spans="1:28" x14ac:dyDescent="0.25">
      <c r="A6" s="190" t="s">
        <v>168</v>
      </c>
      <c r="B6" s="195">
        <v>1</v>
      </c>
      <c r="C6" s="197">
        <v>-1</v>
      </c>
      <c r="D6" s="198" t="s">
        <v>389</v>
      </c>
      <c r="I6" s="190" t="s">
        <v>168</v>
      </c>
      <c r="J6" s="195">
        <v>1</v>
      </c>
      <c r="K6" s="197">
        <v>-1</v>
      </c>
      <c r="L6" s="198" t="s">
        <v>389</v>
      </c>
      <c r="Q6" s="190" t="s">
        <v>168</v>
      </c>
      <c r="R6" s="195">
        <v>1</v>
      </c>
      <c r="S6" s="197">
        <v>-1</v>
      </c>
      <c r="T6" s="198" t="s">
        <v>389</v>
      </c>
      <c r="Y6" s="193" t="s">
        <v>168</v>
      </c>
      <c r="Z6" s="195">
        <v>1</v>
      </c>
      <c r="AA6" s="197">
        <v>-1</v>
      </c>
      <c r="AB6" s="198" t="s">
        <v>389</v>
      </c>
    </row>
    <row r="7" spans="1:28" x14ac:dyDescent="0.25">
      <c r="A7" s="190">
        <v>1</v>
      </c>
      <c r="B7" s="207">
        <f>'ANOVA Match 2.1'!B5</f>
        <v>13</v>
      </c>
      <c r="C7" s="201">
        <f>'ANOVA Match 2.1'!E5</f>
        <v>18</v>
      </c>
      <c r="D7" s="185">
        <f>SUMPRODUCT(B$6:C$6,B7:C7)</f>
        <v>-5</v>
      </c>
      <c r="I7" s="190">
        <v>1</v>
      </c>
      <c r="J7" s="207">
        <f>'ANOVA Match 2.1'!C5</f>
        <v>12</v>
      </c>
      <c r="K7" s="201">
        <f>'ANOVA Match 2.1'!F5</f>
        <v>30</v>
      </c>
      <c r="L7" s="185">
        <f>SUMPRODUCT(J$6:K$6,J7:K7)</f>
        <v>-18</v>
      </c>
      <c r="Q7" s="190">
        <v>1</v>
      </c>
      <c r="R7" s="207">
        <f>'ANOVA Match 2.1'!D5</f>
        <v>17</v>
      </c>
      <c r="S7" s="201">
        <f>'ANOVA Match 2.1'!G5</f>
        <v>34</v>
      </c>
      <c r="T7" s="185">
        <f>SUMPRODUCT(R$6:S$6,R7:S7)</f>
        <v>-17</v>
      </c>
      <c r="Y7" s="193">
        <v>1</v>
      </c>
      <c r="Z7" s="168">
        <f>K7-J7</f>
        <v>18</v>
      </c>
      <c r="AA7" s="184">
        <f>S7-R7</f>
        <v>17</v>
      </c>
      <c r="AB7" s="185">
        <f>SUMPRODUCT(Z$6:AA$6,Z7:AA7)</f>
        <v>1</v>
      </c>
    </row>
    <row r="8" spans="1:28" x14ac:dyDescent="0.25">
      <c r="A8" s="190">
        <f>A7+1</f>
        <v>2</v>
      </c>
      <c r="B8" s="222">
        <f>'ANOVA Match 2.1'!B6</f>
        <v>12</v>
      </c>
      <c r="C8" s="176">
        <f>'ANOVA Match 2.1'!E6</f>
        <v>6</v>
      </c>
      <c r="D8" s="185">
        <f t="shared" ref="D8:D16" si="0">SUMPRODUCT(B$6:C$6,B8:C8)</f>
        <v>6</v>
      </c>
      <c r="I8" s="190">
        <f>I7+1</f>
        <v>2</v>
      </c>
      <c r="J8" s="222">
        <f>'ANOVA Match 2.1'!C6</f>
        <v>19</v>
      </c>
      <c r="K8" s="176">
        <f>'ANOVA Match 2.1'!F6</f>
        <v>18</v>
      </c>
      <c r="L8" s="185">
        <f t="shared" ref="L8:L16" si="1">SUMPRODUCT(J$6:K$6,J8:K8)</f>
        <v>1</v>
      </c>
      <c r="Q8" s="190">
        <f>Q7+1</f>
        <v>2</v>
      </c>
      <c r="R8" s="222">
        <f>'ANOVA Match 2.1'!D6</f>
        <v>18</v>
      </c>
      <c r="S8" s="176">
        <f>'ANOVA Match 2.1'!G6</f>
        <v>30</v>
      </c>
      <c r="T8" s="185">
        <f t="shared" ref="T8:T16" si="2">SUMPRODUCT(R$6:S$6,R8:S8)</f>
        <v>-12</v>
      </c>
      <c r="Y8" s="193">
        <f>Y7+1</f>
        <v>2</v>
      </c>
      <c r="Z8" s="222">
        <f t="shared" ref="Z8:Z16" si="3">K8-J8</f>
        <v>-1</v>
      </c>
      <c r="AA8" s="176">
        <f t="shared" ref="AA8:AA16" si="4">S8-R8</f>
        <v>12</v>
      </c>
      <c r="AB8" s="185">
        <f t="shared" ref="AB8:AB16" si="5">SUMPRODUCT(Z$6:AA$6,Z8:AA8)</f>
        <v>-13</v>
      </c>
    </row>
    <row r="9" spans="1:28" x14ac:dyDescent="0.25">
      <c r="A9" s="190">
        <f t="shared" ref="A9:A16" si="6">A8+1</f>
        <v>3</v>
      </c>
      <c r="B9" s="222">
        <f>'ANOVA Match 2.1'!B7</f>
        <v>17</v>
      </c>
      <c r="C9" s="176">
        <f>'ANOVA Match 2.1'!E7</f>
        <v>21</v>
      </c>
      <c r="D9" s="185">
        <f t="shared" si="0"/>
        <v>-4</v>
      </c>
      <c r="I9" s="190">
        <f t="shared" ref="I9:I16" si="7">I8+1</f>
        <v>3</v>
      </c>
      <c r="J9" s="222">
        <f>'ANOVA Match 2.1'!C7</f>
        <v>19</v>
      </c>
      <c r="K9" s="176">
        <f>'ANOVA Match 2.1'!F7</f>
        <v>31</v>
      </c>
      <c r="L9" s="185">
        <f t="shared" si="1"/>
        <v>-12</v>
      </c>
      <c r="Q9" s="190">
        <f t="shared" ref="Q9:Q16" si="8">Q8+1</f>
        <v>3</v>
      </c>
      <c r="R9" s="222">
        <f>'ANOVA Match 2.1'!D7</f>
        <v>24</v>
      </c>
      <c r="S9" s="176">
        <f>'ANOVA Match 2.1'!G7</f>
        <v>32</v>
      </c>
      <c r="T9" s="185">
        <f t="shared" si="2"/>
        <v>-8</v>
      </c>
      <c r="Y9" s="193">
        <f t="shared" ref="Y9:Y16" si="9">Y8+1</f>
        <v>3</v>
      </c>
      <c r="Z9" s="222">
        <f t="shared" si="3"/>
        <v>12</v>
      </c>
      <c r="AA9" s="176">
        <f t="shared" si="4"/>
        <v>8</v>
      </c>
      <c r="AB9" s="185">
        <f t="shared" si="5"/>
        <v>4</v>
      </c>
    </row>
    <row r="10" spans="1:28" x14ac:dyDescent="0.25">
      <c r="A10" s="190">
        <f t="shared" si="6"/>
        <v>4</v>
      </c>
      <c r="B10" s="222">
        <f>'ANOVA Match 2.1'!B8</f>
        <v>12</v>
      </c>
      <c r="C10" s="176">
        <f>'ANOVA Match 2.1'!E8</f>
        <v>18</v>
      </c>
      <c r="D10" s="185">
        <f t="shared" si="0"/>
        <v>-6</v>
      </c>
      <c r="I10" s="190">
        <f t="shared" si="7"/>
        <v>4</v>
      </c>
      <c r="J10" s="222">
        <f>'ANOVA Match 2.1'!C8</f>
        <v>25</v>
      </c>
      <c r="K10" s="176">
        <f>'ANOVA Match 2.1'!F8</f>
        <v>39</v>
      </c>
      <c r="L10" s="185">
        <f t="shared" si="1"/>
        <v>-14</v>
      </c>
      <c r="Q10" s="190">
        <f t="shared" si="8"/>
        <v>4</v>
      </c>
      <c r="R10" s="222">
        <f>'ANOVA Match 2.1'!D8</f>
        <v>25</v>
      </c>
      <c r="S10" s="176">
        <f>'ANOVA Match 2.1'!G8</f>
        <v>40</v>
      </c>
      <c r="T10" s="185">
        <f t="shared" si="2"/>
        <v>-15</v>
      </c>
      <c r="Y10" s="193">
        <f t="shared" si="9"/>
        <v>4</v>
      </c>
      <c r="Z10" s="222">
        <f t="shared" si="3"/>
        <v>14</v>
      </c>
      <c r="AA10" s="176">
        <f t="shared" si="4"/>
        <v>15</v>
      </c>
      <c r="AB10" s="185">
        <f t="shared" si="5"/>
        <v>-1</v>
      </c>
    </row>
    <row r="11" spans="1:28" x14ac:dyDescent="0.25">
      <c r="A11" s="190">
        <f t="shared" si="6"/>
        <v>5</v>
      </c>
      <c r="B11" s="222">
        <f>'ANOVA Match 2.1'!B9</f>
        <v>19</v>
      </c>
      <c r="C11" s="176">
        <f>'ANOVA Match 2.1'!E9</f>
        <v>18</v>
      </c>
      <c r="D11" s="185">
        <f t="shared" si="0"/>
        <v>1</v>
      </c>
      <c r="I11" s="190">
        <f t="shared" si="7"/>
        <v>5</v>
      </c>
      <c r="J11" s="222">
        <f>'ANOVA Match 2.1'!C9</f>
        <v>27</v>
      </c>
      <c r="K11" s="176">
        <f>'ANOVA Match 2.1'!F9</f>
        <v>28</v>
      </c>
      <c r="L11" s="185">
        <f t="shared" si="1"/>
        <v>-1</v>
      </c>
      <c r="Q11" s="190">
        <f t="shared" si="8"/>
        <v>5</v>
      </c>
      <c r="R11" s="222">
        <f>'ANOVA Match 2.1'!D9</f>
        <v>19</v>
      </c>
      <c r="S11" s="176">
        <f>'ANOVA Match 2.1'!G9</f>
        <v>27</v>
      </c>
      <c r="T11" s="185">
        <f t="shared" si="2"/>
        <v>-8</v>
      </c>
      <c r="Y11" s="193">
        <f t="shared" si="9"/>
        <v>5</v>
      </c>
      <c r="Z11" s="222">
        <f t="shared" si="3"/>
        <v>1</v>
      </c>
      <c r="AA11" s="176">
        <f t="shared" si="4"/>
        <v>8</v>
      </c>
      <c r="AB11" s="185">
        <f t="shared" si="5"/>
        <v>-7</v>
      </c>
    </row>
    <row r="12" spans="1:28" x14ac:dyDescent="0.25">
      <c r="A12" s="190">
        <f t="shared" si="6"/>
        <v>6</v>
      </c>
      <c r="B12" s="222">
        <f>'ANOVA Match 2.1'!B10</f>
        <v>6</v>
      </c>
      <c r="C12" s="176">
        <f>'ANOVA Match 2.1'!E10</f>
        <v>6</v>
      </c>
      <c r="D12" s="185">
        <f t="shared" si="0"/>
        <v>0</v>
      </c>
      <c r="I12" s="190">
        <f t="shared" si="7"/>
        <v>6</v>
      </c>
      <c r="J12" s="222">
        <f>'ANOVA Match 2.1'!C10</f>
        <v>12</v>
      </c>
      <c r="K12" s="176">
        <f>'ANOVA Match 2.1'!F10</f>
        <v>18</v>
      </c>
      <c r="L12" s="185">
        <f t="shared" si="1"/>
        <v>-6</v>
      </c>
      <c r="Q12" s="190">
        <f t="shared" si="8"/>
        <v>6</v>
      </c>
      <c r="R12" s="222">
        <f>'ANOVA Match 2.1'!D10</f>
        <v>6</v>
      </c>
      <c r="S12" s="176">
        <f>'ANOVA Match 2.1'!G10</f>
        <v>23</v>
      </c>
      <c r="T12" s="185">
        <f t="shared" si="2"/>
        <v>-17</v>
      </c>
      <c r="Y12" s="193">
        <f t="shared" si="9"/>
        <v>6</v>
      </c>
      <c r="Z12" s="222">
        <f t="shared" si="3"/>
        <v>6</v>
      </c>
      <c r="AA12" s="176">
        <f t="shared" si="4"/>
        <v>17</v>
      </c>
      <c r="AB12" s="185">
        <f t="shared" si="5"/>
        <v>-11</v>
      </c>
    </row>
    <row r="13" spans="1:28" x14ac:dyDescent="0.25">
      <c r="A13" s="190">
        <f t="shared" si="6"/>
        <v>7</v>
      </c>
      <c r="B13" s="222">
        <f>'ANOVA Match 2.1'!B11</f>
        <v>17</v>
      </c>
      <c r="C13" s="176">
        <f>'ANOVA Match 2.1'!E11</f>
        <v>24</v>
      </c>
      <c r="D13" s="185">
        <f t="shared" si="0"/>
        <v>-7</v>
      </c>
      <c r="I13" s="190">
        <f t="shared" si="7"/>
        <v>7</v>
      </c>
      <c r="J13" s="222">
        <f>'ANOVA Match 2.1'!C11</f>
        <v>18</v>
      </c>
      <c r="K13" s="176">
        <f>'ANOVA Match 2.1'!F11</f>
        <v>36</v>
      </c>
      <c r="L13" s="185">
        <f t="shared" si="1"/>
        <v>-18</v>
      </c>
      <c r="Q13" s="190">
        <f t="shared" si="8"/>
        <v>7</v>
      </c>
      <c r="R13" s="222">
        <f>'ANOVA Match 2.1'!D11</f>
        <v>30</v>
      </c>
      <c r="S13" s="176">
        <f>'ANOVA Match 2.1'!G11</f>
        <v>38</v>
      </c>
      <c r="T13" s="185">
        <f t="shared" si="2"/>
        <v>-8</v>
      </c>
      <c r="Y13" s="193">
        <f t="shared" si="9"/>
        <v>7</v>
      </c>
      <c r="Z13" s="222">
        <f t="shared" si="3"/>
        <v>18</v>
      </c>
      <c r="AA13" s="176">
        <f t="shared" si="4"/>
        <v>8</v>
      </c>
      <c r="AB13" s="185">
        <f t="shared" si="5"/>
        <v>10</v>
      </c>
    </row>
    <row r="14" spans="1:28" x14ac:dyDescent="0.25">
      <c r="A14" s="190">
        <f t="shared" si="6"/>
        <v>8</v>
      </c>
      <c r="B14" s="222">
        <f>'ANOVA Match 2.1'!B12</f>
        <v>18</v>
      </c>
      <c r="C14" s="176">
        <f>'ANOVA Match 2.1'!E12</f>
        <v>22</v>
      </c>
      <c r="D14" s="185">
        <f t="shared" si="0"/>
        <v>-4</v>
      </c>
      <c r="I14" s="190">
        <f t="shared" si="7"/>
        <v>8</v>
      </c>
      <c r="J14" s="222">
        <f>'ANOVA Match 2.1'!C12</f>
        <v>29</v>
      </c>
      <c r="K14" s="176">
        <f>'ANOVA Match 2.1'!F12</f>
        <v>36</v>
      </c>
      <c r="L14" s="185">
        <f t="shared" si="1"/>
        <v>-7</v>
      </c>
      <c r="Q14" s="190">
        <f t="shared" si="8"/>
        <v>8</v>
      </c>
      <c r="R14" s="222">
        <f>'ANOVA Match 2.1'!D12</f>
        <v>36</v>
      </c>
      <c r="S14" s="176">
        <f>'ANOVA Match 2.1'!G12</f>
        <v>40</v>
      </c>
      <c r="T14" s="185">
        <f t="shared" si="2"/>
        <v>-4</v>
      </c>
      <c r="Y14" s="193">
        <f t="shared" si="9"/>
        <v>8</v>
      </c>
      <c r="Z14" s="222">
        <f t="shared" si="3"/>
        <v>7</v>
      </c>
      <c r="AA14" s="176">
        <f t="shared" si="4"/>
        <v>4</v>
      </c>
      <c r="AB14" s="185">
        <f t="shared" si="5"/>
        <v>3</v>
      </c>
    </row>
    <row r="15" spans="1:28" x14ac:dyDescent="0.25">
      <c r="A15" s="190">
        <f t="shared" si="6"/>
        <v>9</v>
      </c>
      <c r="B15" s="222">
        <f>'ANOVA Match 2.1'!B13</f>
        <v>23</v>
      </c>
      <c r="C15" s="176">
        <f>'ANOVA Match 2.1'!E13</f>
        <v>18</v>
      </c>
      <c r="D15" s="185">
        <f t="shared" si="0"/>
        <v>5</v>
      </c>
      <c r="I15" s="190">
        <f t="shared" si="7"/>
        <v>9</v>
      </c>
      <c r="J15" s="222">
        <f>'ANOVA Match 2.1'!C13</f>
        <v>30</v>
      </c>
      <c r="K15" s="176">
        <f>'ANOVA Match 2.1'!F13</f>
        <v>38</v>
      </c>
      <c r="L15" s="185">
        <f t="shared" si="1"/>
        <v>-8</v>
      </c>
      <c r="Q15" s="190">
        <f t="shared" si="8"/>
        <v>9</v>
      </c>
      <c r="R15" s="222">
        <f>'ANOVA Match 2.1'!D13</f>
        <v>24</v>
      </c>
      <c r="S15" s="176">
        <f>'ANOVA Match 2.1'!G13</f>
        <v>32</v>
      </c>
      <c r="T15" s="185">
        <f t="shared" si="2"/>
        <v>-8</v>
      </c>
      <c r="Y15" s="193">
        <f t="shared" si="9"/>
        <v>9</v>
      </c>
      <c r="Z15" s="222">
        <f t="shared" si="3"/>
        <v>8</v>
      </c>
      <c r="AA15" s="176">
        <f t="shared" si="4"/>
        <v>8</v>
      </c>
      <c r="AB15" s="185">
        <f t="shared" si="5"/>
        <v>0</v>
      </c>
    </row>
    <row r="16" spans="1:28" x14ac:dyDescent="0.25">
      <c r="A16" s="190">
        <f t="shared" si="6"/>
        <v>10</v>
      </c>
      <c r="B16" s="139">
        <f>'ANOVA Match 2.1'!B14</f>
        <v>18</v>
      </c>
      <c r="C16" s="115">
        <f>'ANOVA Match 2.1'!E14</f>
        <v>24</v>
      </c>
      <c r="D16" s="185">
        <f t="shared" si="0"/>
        <v>-6</v>
      </c>
      <c r="I16" s="190">
        <f t="shared" si="7"/>
        <v>10</v>
      </c>
      <c r="J16" s="139">
        <f>'ANOVA Match 2.1'!C14</f>
        <v>12</v>
      </c>
      <c r="K16" s="115">
        <f>'ANOVA Match 2.1'!F14</f>
        <v>25</v>
      </c>
      <c r="L16" s="185">
        <f t="shared" si="1"/>
        <v>-13</v>
      </c>
      <c r="Q16" s="190">
        <f t="shared" si="8"/>
        <v>10</v>
      </c>
      <c r="R16" s="139">
        <f>'ANOVA Match 2.1'!D14</f>
        <v>24</v>
      </c>
      <c r="S16" s="115">
        <f>'ANOVA Match 2.1'!G14</f>
        <v>34</v>
      </c>
      <c r="T16" s="185">
        <f t="shared" si="2"/>
        <v>-10</v>
      </c>
      <c r="Y16" s="193">
        <f t="shared" si="9"/>
        <v>10</v>
      </c>
      <c r="Z16" s="139">
        <f t="shared" si="3"/>
        <v>13</v>
      </c>
      <c r="AA16" s="115">
        <f t="shared" si="4"/>
        <v>10</v>
      </c>
      <c r="AB16" s="185">
        <f t="shared" si="5"/>
        <v>3</v>
      </c>
    </row>
    <row r="17" spans="1:31" x14ac:dyDescent="0.25">
      <c r="A17" s="190" t="s">
        <v>6</v>
      </c>
      <c r="D17" s="202">
        <f>AVERAGE(D7:D16)</f>
        <v>-2</v>
      </c>
      <c r="I17" s="190" t="s">
        <v>6</v>
      </c>
      <c r="L17" s="202">
        <f>AVERAGE(L7:L16)</f>
        <v>-9.6</v>
      </c>
      <c r="Q17" s="190" t="s">
        <v>6</v>
      </c>
      <c r="T17" s="202">
        <f>AVERAGE(T7:T16)</f>
        <v>-10.7</v>
      </c>
      <c r="Y17" s="193" t="s">
        <v>6</v>
      </c>
      <c r="AB17" s="202">
        <f>AVERAGE(AB7:AB16)</f>
        <v>-1.1000000000000001</v>
      </c>
    </row>
    <row r="18" spans="1:31" x14ac:dyDescent="0.25">
      <c r="A18" s="190" t="s">
        <v>52</v>
      </c>
      <c r="D18" s="185">
        <f>STDEV(D7:D16)</f>
        <v>4.714045207910317</v>
      </c>
      <c r="I18" s="190" t="s">
        <v>52</v>
      </c>
      <c r="L18" s="185">
        <f>STDEV(L7:L16)</f>
        <v>6.5523532668296607</v>
      </c>
      <c r="Q18" s="190" t="s">
        <v>52</v>
      </c>
      <c r="T18" s="185">
        <f>STDEV(T7:T16)</f>
        <v>4.3982319680121957</v>
      </c>
      <c r="Y18" s="193" t="s">
        <v>52</v>
      </c>
      <c r="AB18" s="185">
        <f>STDEV(AB7:AB16)</f>
        <v>7.1717036562683854</v>
      </c>
    </row>
    <row r="19" spans="1:31" x14ac:dyDescent="0.25">
      <c r="A19" s="190" t="s">
        <v>390</v>
      </c>
      <c r="D19" s="123">
        <f>D18/SQRT(COUNTA($A$5:$A$14))</f>
        <v>1.4907119849998598</v>
      </c>
      <c r="I19" s="190" t="s">
        <v>390</v>
      </c>
      <c r="L19" s="123">
        <f>L18/SQRT(COUNTA($A$5:$A$14))</f>
        <v>2.0720360357226735</v>
      </c>
      <c r="Q19" s="190" t="s">
        <v>390</v>
      </c>
      <c r="T19" s="123">
        <f>T18/SQRT(COUNTA($A$5:$A$14))</f>
        <v>1.3908430696683372</v>
      </c>
      <c r="Y19" s="193" t="s">
        <v>390</v>
      </c>
      <c r="AB19" s="123">
        <f>AB18/SQRT(COUNTA($A$5:$A$14))</f>
        <v>2.2678918257565401</v>
      </c>
    </row>
    <row r="21" spans="1:31" ht="15.75" thickBot="1" x14ac:dyDescent="0.3">
      <c r="A21" t="s">
        <v>163</v>
      </c>
      <c r="I21" t="s">
        <v>163</v>
      </c>
      <c r="Q21" t="s">
        <v>163</v>
      </c>
      <c r="Y21" t="s">
        <v>163</v>
      </c>
    </row>
    <row r="22" spans="1:31" x14ac:dyDescent="0.25">
      <c r="A22" s="191" t="s">
        <v>6</v>
      </c>
      <c r="B22" s="191" t="s">
        <v>108</v>
      </c>
      <c r="C22" s="191" t="s">
        <v>391</v>
      </c>
      <c r="D22" s="191" t="s">
        <v>41</v>
      </c>
      <c r="E22" s="188" t="s">
        <v>48</v>
      </c>
      <c r="F22" s="188" t="s">
        <v>398</v>
      </c>
      <c r="G22" s="188" t="s">
        <v>399</v>
      </c>
      <c r="I22" s="191" t="s">
        <v>6</v>
      </c>
      <c r="J22" s="191" t="s">
        <v>108</v>
      </c>
      <c r="K22" s="191" t="s">
        <v>391</v>
      </c>
      <c r="L22" s="191" t="s">
        <v>41</v>
      </c>
      <c r="M22" s="188" t="s">
        <v>48</v>
      </c>
      <c r="N22" s="188" t="s">
        <v>398</v>
      </c>
      <c r="O22" s="188" t="s">
        <v>399</v>
      </c>
      <c r="Q22" s="191" t="s">
        <v>6</v>
      </c>
      <c r="R22" s="191" t="s">
        <v>108</v>
      </c>
      <c r="S22" s="191" t="s">
        <v>391</v>
      </c>
      <c r="T22" s="191" t="s">
        <v>41</v>
      </c>
      <c r="U22" s="188" t="s">
        <v>48</v>
      </c>
      <c r="V22" s="188" t="s">
        <v>398</v>
      </c>
      <c r="W22" s="188" t="s">
        <v>399</v>
      </c>
      <c r="Y22" s="194" t="s">
        <v>6</v>
      </c>
      <c r="Z22" s="194" t="s">
        <v>108</v>
      </c>
      <c r="AA22" s="194" t="s">
        <v>391</v>
      </c>
      <c r="AB22" s="194" t="s">
        <v>41</v>
      </c>
      <c r="AC22" s="188" t="s">
        <v>48</v>
      </c>
      <c r="AD22" s="188" t="s">
        <v>398</v>
      </c>
      <c r="AE22" s="188" t="s">
        <v>399</v>
      </c>
    </row>
    <row r="23" spans="1:31" ht="15.75" thickBot="1" x14ac:dyDescent="0.3">
      <c r="A23" s="19">
        <f>D17</f>
        <v>-2</v>
      </c>
      <c r="B23" s="19">
        <f>D19</f>
        <v>1.4907119849998598</v>
      </c>
      <c r="C23" s="19">
        <f>A23/B23</f>
        <v>-1.3416407864998738</v>
      </c>
      <c r="D23" s="189">
        <f>A16-1</f>
        <v>9</v>
      </c>
      <c r="E23" s="19">
        <f>TDIST(ABS(C23),D23,2)</f>
        <v>0.21257989232273572</v>
      </c>
      <c r="F23" s="19">
        <f>ABS(D17/D18)</f>
        <v>0.42426406871192851</v>
      </c>
      <c r="G23" s="19">
        <f>SQRT(C23^2/(C23^2+D23))</f>
        <v>0.40824829046386302</v>
      </c>
      <c r="I23" s="19">
        <f>L17</f>
        <v>-9.6</v>
      </c>
      <c r="J23" s="19">
        <f>L19</f>
        <v>2.0720360357226735</v>
      </c>
      <c r="K23" s="19">
        <f>I23/J23</f>
        <v>-4.6331240550320656</v>
      </c>
      <c r="L23" s="189">
        <f>I16-1</f>
        <v>9</v>
      </c>
      <c r="M23" s="19">
        <f>TDIST(ABS(K23),L23,2)</f>
        <v>1.2312062054452308E-3</v>
      </c>
      <c r="N23" s="19">
        <f>ABS(L17/L18)</f>
        <v>1.4651224696016634</v>
      </c>
      <c r="O23" s="19">
        <f>SQRT(K23^2/(K23^2+L23))</f>
        <v>0.83939690013920276</v>
      </c>
      <c r="Q23" s="19">
        <f>T17</f>
        <v>-10.7</v>
      </c>
      <c r="R23" s="19">
        <f>T19</f>
        <v>1.3908430696683372</v>
      </c>
      <c r="S23" s="19">
        <f>Q23/R23</f>
        <v>-7.6931756237255007</v>
      </c>
      <c r="T23" s="189">
        <f>Q16-1</f>
        <v>9</v>
      </c>
      <c r="U23" s="19">
        <f>TDIST(ABS(S23),T23,2)</f>
        <v>3.0211257637859244E-5</v>
      </c>
      <c r="V23" s="19">
        <f>ABS(T17/T18)</f>
        <v>2.4327957410659087</v>
      </c>
      <c r="W23" s="19">
        <f>SQRT(S23^2/(S23^2+T23))</f>
        <v>0.9316684309350135</v>
      </c>
      <c r="Y23" s="19">
        <f>AB17</f>
        <v>-1.1000000000000001</v>
      </c>
      <c r="Z23" s="19">
        <f>AB19</f>
        <v>2.2678918257565401</v>
      </c>
      <c r="AA23" s="19">
        <f>Y23/Z23</f>
        <v>-0.48503195236530028</v>
      </c>
      <c r="AB23" s="189">
        <f>Y16-1</f>
        <v>9</v>
      </c>
      <c r="AC23" s="19">
        <f>TDIST(ABS(AA23),AB23,2)</f>
        <v>0.63924107339333402</v>
      </c>
      <c r="AD23" s="19">
        <f>ABS(AB17/AB18)</f>
        <v>0.15338057074326428</v>
      </c>
      <c r="AE23" s="19">
        <f>SQRT(AA23^2/(AA23^2+AB23))</f>
        <v>0.15960477502420259</v>
      </c>
    </row>
    <row r="26" spans="1:31" x14ac:dyDescent="0.25">
      <c r="A26" s="1" t="s">
        <v>150</v>
      </c>
    </row>
    <row r="27" spans="1:31" x14ac:dyDescent="0.25">
      <c r="A27" s="1"/>
    </row>
    <row r="28" spans="1:31" x14ac:dyDescent="0.25">
      <c r="B28" t="s">
        <v>439</v>
      </c>
      <c r="C28" t="s">
        <v>440</v>
      </c>
      <c r="D28" t="s">
        <v>441</v>
      </c>
    </row>
    <row r="29" spans="1:31" x14ac:dyDescent="0.25">
      <c r="A29" t="s">
        <v>444</v>
      </c>
      <c r="B29" s="209">
        <f>'ANOVA Match 2.1'!B15</f>
        <v>15.5</v>
      </c>
      <c r="C29" s="210">
        <f>'ANOVA Match 2.1'!C15</f>
        <v>20.3</v>
      </c>
      <c r="D29" s="211">
        <f>'ANOVA Match 2.1'!D15</f>
        <v>22.3</v>
      </c>
    </row>
    <row r="30" spans="1:31" x14ac:dyDescent="0.25">
      <c r="A30" t="s">
        <v>445</v>
      </c>
      <c r="B30" s="112">
        <f>'ANOVA Match 2.1'!E15</f>
        <v>17.5</v>
      </c>
      <c r="C30" s="113">
        <f>'ANOVA Match 2.1'!F15</f>
        <v>29.9</v>
      </c>
      <c r="D30" s="120">
        <f>'ANOVA Match 2.1'!G15</f>
        <v>33</v>
      </c>
    </row>
    <row r="40" spans="1:2" x14ac:dyDescent="0.25">
      <c r="A40" s="1" t="s">
        <v>165</v>
      </c>
    </row>
    <row r="42" spans="1:2" x14ac:dyDescent="0.25">
      <c r="A42" t="s">
        <v>463</v>
      </c>
    </row>
    <row r="44" spans="1:2" x14ac:dyDescent="0.25">
      <c r="A44" t="s">
        <v>25</v>
      </c>
      <c r="B44" s="212">
        <f>COUNTA(A29:A30)</f>
        <v>2</v>
      </c>
    </row>
    <row r="45" spans="1:2" x14ac:dyDescent="0.25">
      <c r="A45" t="s">
        <v>26</v>
      </c>
      <c r="B45" s="185">
        <f>COUNTA(B28:D28)</f>
        <v>3</v>
      </c>
    </row>
    <row r="46" spans="1:2" x14ac:dyDescent="0.25">
      <c r="A46" t="s">
        <v>38</v>
      </c>
      <c r="B46" s="185">
        <f>B44*B45</f>
        <v>6</v>
      </c>
    </row>
    <row r="47" spans="1:2" x14ac:dyDescent="0.25">
      <c r="A47" t="s">
        <v>17</v>
      </c>
      <c r="B47" s="185">
        <f>COUNTA(A7:A16)</f>
        <v>10</v>
      </c>
    </row>
    <row r="48" spans="1:2" x14ac:dyDescent="0.25">
      <c r="A48" t="s">
        <v>41</v>
      </c>
      <c r="B48" s="185">
        <f>B47-1</f>
        <v>9</v>
      </c>
    </row>
    <row r="49" spans="1:2" x14ac:dyDescent="0.25">
      <c r="A49" s="24" t="s">
        <v>32</v>
      </c>
      <c r="B49" s="185">
        <v>0.05</v>
      </c>
    </row>
    <row r="50" spans="1:2" x14ac:dyDescent="0.25">
      <c r="A50" s="24" t="s">
        <v>166</v>
      </c>
      <c r="B50" s="185">
        <f>'Stud. Q Table'!F64</f>
        <v>5.024</v>
      </c>
    </row>
    <row r="51" spans="1:2" x14ac:dyDescent="0.25">
      <c r="A51" s="24" t="s">
        <v>49</v>
      </c>
      <c r="B51" s="185">
        <f>B50/SQRT(2)</f>
        <v>3.5525044686812146</v>
      </c>
    </row>
    <row r="52" spans="1:2" x14ac:dyDescent="0.25">
      <c r="A52" s="24" t="s">
        <v>464</v>
      </c>
      <c r="B52" s="185">
        <f>C23</f>
        <v>-1.3416407864998738</v>
      </c>
    </row>
    <row r="53" spans="1:2" x14ac:dyDescent="0.25">
      <c r="A53" s="24" t="s">
        <v>164</v>
      </c>
      <c r="B53" s="117" t="str">
        <f>IF(ABS(B52)&gt;B51,"yes","no")</f>
        <v>no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CS104"/>
  <sheetViews>
    <sheetView workbookViewId="0"/>
  </sheetViews>
  <sheetFormatPr defaultRowHeight="15" x14ac:dyDescent="0.25"/>
  <cols>
    <col min="2" max="7" width="6.5703125" customWidth="1"/>
    <col min="10" max="15" width="9.140625" customWidth="1"/>
    <col min="17" max="17" width="17.28515625" customWidth="1"/>
    <col min="18" max="19" width="9.140625" customWidth="1"/>
    <col min="23" max="23" width="20.5703125" customWidth="1"/>
    <col min="28" max="28" width="9.140625" customWidth="1"/>
    <col min="35" max="35" width="17.140625" customWidth="1"/>
    <col min="40" max="40" width="8.7109375" customWidth="1"/>
    <col min="49" max="49" width="6.5703125" customWidth="1"/>
    <col min="50" max="50" width="9.5703125" customWidth="1"/>
    <col min="51" max="51" width="10" bestFit="1" customWidth="1"/>
    <col min="52" max="52" width="10.140625" customWidth="1"/>
    <col min="53" max="53" width="16.42578125" customWidth="1"/>
    <col min="72" max="72" width="7" customWidth="1"/>
    <col min="76" max="76" width="3.7109375" style="55" customWidth="1"/>
    <col min="77" max="79" width="9.140625" style="55"/>
    <col min="80" max="80" width="3.7109375" customWidth="1"/>
    <col min="81" max="81" width="17.42578125" customWidth="1"/>
    <col min="89" max="89" width="10.42578125" customWidth="1"/>
    <col min="90" max="90" width="11" customWidth="1"/>
    <col min="93" max="97" width="11.5703125" customWidth="1"/>
  </cols>
  <sheetData>
    <row r="1" spans="1:97" x14ac:dyDescent="0.25">
      <c r="A1" s="1" t="s">
        <v>500</v>
      </c>
    </row>
    <row r="3" spans="1:97" x14ac:dyDescent="0.25">
      <c r="A3" s="169" t="s">
        <v>2</v>
      </c>
      <c r="B3" s="12" t="s">
        <v>476</v>
      </c>
      <c r="C3" s="12" t="s">
        <v>477</v>
      </c>
      <c r="D3" s="12" t="s">
        <v>478</v>
      </c>
      <c r="E3" s="12" t="s">
        <v>479</v>
      </c>
      <c r="F3" s="12" t="s">
        <v>480</v>
      </c>
      <c r="G3" s="12" t="s">
        <v>9</v>
      </c>
      <c r="I3" t="s">
        <v>188</v>
      </c>
      <c r="Q3" t="s">
        <v>446</v>
      </c>
      <c r="AI3" t="s">
        <v>539</v>
      </c>
      <c r="AQ3" t="s">
        <v>471</v>
      </c>
      <c r="AX3" t="s">
        <v>473</v>
      </c>
      <c r="BD3" t="s">
        <v>193</v>
      </c>
      <c r="BU3" t="s">
        <v>518</v>
      </c>
      <c r="CK3" t="s">
        <v>520</v>
      </c>
      <c r="CO3" s="193" t="s">
        <v>524</v>
      </c>
      <c r="CP3" s="193" t="s">
        <v>525</v>
      </c>
      <c r="CQ3" s="193" t="s">
        <v>533</v>
      </c>
      <c r="CR3" s="193" t="s">
        <v>534</v>
      </c>
      <c r="CS3" s="193" t="s">
        <v>535</v>
      </c>
    </row>
    <row r="4" spans="1:97" ht="15.75" thickBot="1" x14ac:dyDescent="0.3">
      <c r="A4" s="209" t="s">
        <v>474</v>
      </c>
      <c r="B4" s="226">
        <v>250</v>
      </c>
      <c r="C4" s="227">
        <v>278</v>
      </c>
      <c r="D4" s="227">
        <v>442</v>
      </c>
      <c r="E4" s="227">
        <v>368</v>
      </c>
      <c r="F4" s="228">
        <v>456</v>
      </c>
      <c r="G4" s="7">
        <f>AVERAGE(B4:F4)</f>
        <v>358.8</v>
      </c>
      <c r="J4" s="223" t="s">
        <v>2</v>
      </c>
      <c r="K4" s="223" t="s">
        <v>481</v>
      </c>
      <c r="L4" s="223" t="s">
        <v>39</v>
      </c>
      <c r="R4" s="12" t="s">
        <v>110</v>
      </c>
      <c r="S4" s="12" t="s">
        <v>111</v>
      </c>
      <c r="T4" s="12" t="s">
        <v>41</v>
      </c>
      <c r="U4" s="12" t="s">
        <v>115</v>
      </c>
      <c r="W4" t="s">
        <v>125</v>
      </c>
      <c r="AE4" t="s">
        <v>465</v>
      </c>
      <c r="CN4" t="s">
        <v>474</v>
      </c>
      <c r="CO4" s="132" t="e">
        <f ca="1">MDETERM(AR15:AV19)</f>
        <v>#NAME?</v>
      </c>
      <c r="CP4" s="224" t="e">
        <f ca="1">LN(CO4)</f>
        <v>#NAME?</v>
      </c>
      <c r="CQ4" s="224" t="e">
        <f ca="1">CP4*($CL$7-1)</f>
        <v>#NAME?</v>
      </c>
      <c r="CR4" s="224">
        <f>1/($CL$7-1)</f>
        <v>0.16666666666666666</v>
      </c>
      <c r="CS4" s="225">
        <f>CR4^2</f>
        <v>2.7777777777777776E-2</v>
      </c>
    </row>
    <row r="5" spans="1:97" ht="15.75" thickBot="1" x14ac:dyDescent="0.3">
      <c r="A5" s="214"/>
      <c r="B5" s="229">
        <v>65</v>
      </c>
      <c r="C5" s="230">
        <v>207</v>
      </c>
      <c r="D5" s="230">
        <v>341</v>
      </c>
      <c r="E5" s="230">
        <v>382</v>
      </c>
      <c r="F5" s="231">
        <v>298</v>
      </c>
      <c r="G5" s="7">
        <f t="shared" ref="G5:G24" si="0">AVERAGE(B5:F5)</f>
        <v>258.60000000000002</v>
      </c>
      <c r="J5" s="223">
        <f>COUNT(O9:O11)</f>
        <v>3</v>
      </c>
      <c r="K5" s="223">
        <f>COUNT(J12:N12)</f>
        <v>5</v>
      </c>
      <c r="L5" s="223">
        <f>COUNT(B4:B10)</f>
        <v>7</v>
      </c>
      <c r="Q5" s="39" t="s">
        <v>1</v>
      </c>
      <c r="R5" s="209">
        <v>1</v>
      </c>
      <c r="S5" s="210">
        <f>DEVSQ(B4:F24)</f>
        <v>1597343.4285714282</v>
      </c>
      <c r="T5" s="210">
        <f>J5*K5*L5-1</f>
        <v>104</v>
      </c>
      <c r="U5" s="211">
        <f t="shared" ref="U5:U13" si="1">S5/T5</f>
        <v>15359.071428571424</v>
      </c>
      <c r="W5" s="191" t="s">
        <v>160</v>
      </c>
      <c r="X5" s="191" t="s">
        <v>111</v>
      </c>
      <c r="Y5" s="191" t="s">
        <v>41</v>
      </c>
      <c r="Z5" s="191" t="s">
        <v>115</v>
      </c>
      <c r="AA5" s="191" t="s">
        <v>98</v>
      </c>
      <c r="AB5" s="191" t="s">
        <v>83</v>
      </c>
      <c r="AC5" s="191" t="s">
        <v>161</v>
      </c>
      <c r="AI5" t="s">
        <v>493</v>
      </c>
      <c r="AR5">
        <v>1</v>
      </c>
      <c r="AS5">
        <f>AR5+1</f>
        <v>2</v>
      </c>
      <c r="AT5">
        <f>AS5+1</f>
        <v>3</v>
      </c>
      <c r="AU5">
        <f>AT5+1</f>
        <v>4</v>
      </c>
      <c r="AV5">
        <f>AU5+1</f>
        <v>5</v>
      </c>
      <c r="AX5" t="s">
        <v>356</v>
      </c>
      <c r="AY5" s="202">
        <f>$K$5</f>
        <v>5</v>
      </c>
      <c r="BA5" t="s">
        <v>355</v>
      </c>
      <c r="BB5" s="212">
        <f>$L$5*$J$5</f>
        <v>21</v>
      </c>
      <c r="BD5" s="193" t="s">
        <v>474</v>
      </c>
      <c r="BE5" s="193" t="s">
        <v>475</v>
      </c>
      <c r="BF5" s="193" t="s">
        <v>51</v>
      </c>
      <c r="BI5" s="193" t="s">
        <v>474</v>
      </c>
      <c r="BJ5" s="193" t="s">
        <v>475</v>
      </c>
      <c r="BK5" s="193" t="s">
        <v>51</v>
      </c>
      <c r="BU5" t="s">
        <v>476</v>
      </c>
      <c r="CC5" t="s">
        <v>158</v>
      </c>
      <c r="CK5" t="s">
        <v>521</v>
      </c>
      <c r="CL5">
        <f>J5</f>
        <v>3</v>
      </c>
      <c r="CN5" t="s">
        <v>475</v>
      </c>
      <c r="CO5" s="214" t="e">
        <f ca="1">MDETERM(AR24:AV28)</f>
        <v>#NAME?</v>
      </c>
      <c r="CP5" s="7" t="e">
        <f ca="1">LN(CO5)</f>
        <v>#NAME?</v>
      </c>
      <c r="CQ5" s="7" t="e">
        <f ca="1">CP5*($CL$7-1)</f>
        <v>#NAME?</v>
      </c>
      <c r="CR5" s="7">
        <f>1/($CL$7-1)</f>
        <v>0.16666666666666666</v>
      </c>
      <c r="CS5" s="215">
        <f>CR5^2</f>
        <v>2.7777777777777776E-2</v>
      </c>
    </row>
    <row r="6" spans="1:97" x14ac:dyDescent="0.25">
      <c r="A6" s="214"/>
      <c r="B6" s="229">
        <v>251</v>
      </c>
      <c r="C6" s="230">
        <v>261</v>
      </c>
      <c r="D6" s="230">
        <v>384</v>
      </c>
      <c r="E6" s="230">
        <v>421</v>
      </c>
      <c r="F6" s="231">
        <v>342</v>
      </c>
      <c r="G6" s="7">
        <f t="shared" si="0"/>
        <v>331.8</v>
      </c>
      <c r="Q6" s="39" t="s">
        <v>2</v>
      </c>
      <c r="R6" s="214">
        <f>K5*L5</f>
        <v>35</v>
      </c>
      <c r="S6" s="7">
        <f>DEVSQ(O9:O11)*R6</f>
        <v>178358.11428571431</v>
      </c>
      <c r="T6">
        <f>J5-1</f>
        <v>2</v>
      </c>
      <c r="U6" s="215">
        <f t="shared" si="1"/>
        <v>89179.057142857157</v>
      </c>
      <c r="W6" t="s">
        <v>466</v>
      </c>
      <c r="X6">
        <f>S9</f>
        <v>371727.82857142854</v>
      </c>
      <c r="Y6">
        <f>T9</f>
        <v>20</v>
      </c>
      <c r="AE6" s="12" t="s">
        <v>474</v>
      </c>
      <c r="AF6" s="12" t="s">
        <v>475</v>
      </c>
      <c r="AG6" s="12" t="s">
        <v>51</v>
      </c>
      <c r="AH6" s="12"/>
      <c r="AI6" s="194" t="s">
        <v>160</v>
      </c>
      <c r="AJ6" s="194" t="s">
        <v>111</v>
      </c>
      <c r="AK6" s="194" t="s">
        <v>41</v>
      </c>
      <c r="AL6" s="194" t="s">
        <v>115</v>
      </c>
      <c r="AM6" s="194" t="s">
        <v>98</v>
      </c>
      <c r="AN6" s="194" t="s">
        <v>83</v>
      </c>
      <c r="AO6" s="194" t="s">
        <v>161</v>
      </c>
      <c r="AQ6" t="s">
        <v>1</v>
      </c>
      <c r="AR6" s="209" t="e">
        <f t="array" aca="1" ref="AR6:AV10" ca="1">COV(B4:F24)</f>
        <v>#NAME?</v>
      </c>
      <c r="AS6" s="210" t="e">
        <f ca="1"/>
        <v>#NAME?</v>
      </c>
      <c r="AT6" s="210" t="e">
        <f ca="1"/>
        <v>#NAME?</v>
      </c>
      <c r="AU6" s="210" t="e">
        <f ca="1"/>
        <v>#NAME?</v>
      </c>
      <c r="AV6" s="211" t="e">
        <f ca="1"/>
        <v>#NAME?</v>
      </c>
      <c r="AX6" t="s">
        <v>357</v>
      </c>
      <c r="AY6" s="185" t="e">
        <f ca="1">AVERAGE(AR12:AV12)</f>
        <v>#NAME?</v>
      </c>
      <c r="BA6" t="s">
        <v>356</v>
      </c>
      <c r="BB6" s="185">
        <f>AY5</f>
        <v>5</v>
      </c>
      <c r="BD6" s="132">
        <f t="shared" ref="BD6:BD12" si="2">G4</f>
        <v>358.8</v>
      </c>
      <c r="BE6" s="224">
        <f t="shared" ref="BE6:BE12" si="3">G11</f>
        <v>230.8</v>
      </c>
      <c r="BF6" s="225">
        <f t="shared" ref="BF6:BF12" si="4">G18</f>
        <v>249.8</v>
      </c>
      <c r="BH6" t="s">
        <v>33</v>
      </c>
      <c r="BI6">
        <f>MIN(BD6:BD12)</f>
        <v>237</v>
      </c>
      <c r="BJ6">
        <f>MIN(BE6:BE12)</f>
        <v>155.19999999999999</v>
      </c>
      <c r="BK6">
        <f>MIN(BF6:BF12)</f>
        <v>249.8</v>
      </c>
      <c r="CK6" t="s">
        <v>522</v>
      </c>
      <c r="CL6">
        <f>K5</f>
        <v>5</v>
      </c>
      <c r="CN6" t="s">
        <v>51</v>
      </c>
      <c r="CO6" s="214" t="e">
        <f ca="1">MDETERM(AR33:AV37)</f>
        <v>#NAME?</v>
      </c>
      <c r="CP6" s="7" t="e">
        <f ca="1">LN(CO6)</f>
        <v>#NAME?</v>
      </c>
      <c r="CQ6" s="7" t="e">
        <f ca="1">CP6*($CL$7-1)</f>
        <v>#NAME?</v>
      </c>
      <c r="CR6" s="7">
        <f>1/($CL$7-1)</f>
        <v>0.16666666666666666</v>
      </c>
      <c r="CS6" s="215">
        <f>CR6^2</f>
        <v>2.7777777777777776E-2</v>
      </c>
    </row>
    <row r="7" spans="1:97" ht="15.75" thickBot="1" x14ac:dyDescent="0.3">
      <c r="A7" s="214"/>
      <c r="B7" s="229">
        <v>241</v>
      </c>
      <c r="C7" s="230">
        <v>314</v>
      </c>
      <c r="D7" s="230">
        <v>423</v>
      </c>
      <c r="E7" s="230">
        <v>415</v>
      </c>
      <c r="F7" s="231">
        <v>468</v>
      </c>
      <c r="G7" s="7">
        <f t="shared" si="0"/>
        <v>372.2</v>
      </c>
      <c r="I7" s="39" t="s">
        <v>150</v>
      </c>
      <c r="Q7" s="39" t="s">
        <v>481</v>
      </c>
      <c r="R7" s="214">
        <f>J5*L5</f>
        <v>21</v>
      </c>
      <c r="S7" s="7">
        <f>DEVSQ(J12:N12)*R7</f>
        <v>1025800.38095238</v>
      </c>
      <c r="T7" s="7">
        <f>K5-1</f>
        <v>4</v>
      </c>
      <c r="U7" s="215">
        <f t="shared" si="1"/>
        <v>256450.095238095</v>
      </c>
      <c r="W7" s="16" t="s">
        <v>502</v>
      </c>
      <c r="X7" s="16">
        <f>S6</f>
        <v>178358.11428571431</v>
      </c>
      <c r="Y7" s="16">
        <f>T6</f>
        <v>2</v>
      </c>
      <c r="Z7" s="16">
        <f>X7/Y7</f>
        <v>89179.057142857157</v>
      </c>
      <c r="AA7" s="16">
        <f>Z7/Z8</f>
        <v>8.3013156145001332</v>
      </c>
      <c r="AB7">
        <f>FDIST(AA7,Y7,Y8)</f>
        <v>2.7891407228899608E-3</v>
      </c>
      <c r="AC7">
        <f>FINV(0.05,Y7,Y8)</f>
        <v>3.5545571456617879</v>
      </c>
      <c r="AE7" s="209">
        <f t="shared" ref="AE7:AE13" si="5">G4</f>
        <v>358.8</v>
      </c>
      <c r="AF7" s="210">
        <f t="shared" ref="AF7:AF13" si="6">G11</f>
        <v>230.8</v>
      </c>
      <c r="AG7" s="211">
        <f t="shared" ref="AG7:AG13" si="7">G18</f>
        <v>249.8</v>
      </c>
      <c r="AH7" s="7"/>
      <c r="AI7" s="16" t="s">
        <v>99</v>
      </c>
      <c r="AJ7" s="16">
        <v>85072.171428571397</v>
      </c>
      <c r="AK7" s="16">
        <v>6</v>
      </c>
      <c r="AL7" s="16">
        <v>14178.695238095233</v>
      </c>
      <c r="AM7" s="16">
        <v>8.6115148903433116</v>
      </c>
      <c r="AN7" s="16">
        <v>4.7218804282676579E-5</v>
      </c>
      <c r="AO7" s="16">
        <v>2.5081888234232559</v>
      </c>
      <c r="AR7" s="214" t="e">
        <f ca="1"/>
        <v>#NAME?</v>
      </c>
      <c r="AS7" s="7" t="e">
        <f ca="1"/>
        <v>#NAME?</v>
      </c>
      <c r="AT7" s="7" t="e">
        <f ca="1"/>
        <v>#NAME?</v>
      </c>
      <c r="AU7" s="7" t="e">
        <f ca="1"/>
        <v>#NAME?</v>
      </c>
      <c r="AV7" s="215" t="e">
        <f ca="1"/>
        <v>#NAME?</v>
      </c>
      <c r="AX7" t="s">
        <v>358</v>
      </c>
      <c r="AY7" s="185" t="e">
        <f ca="1">AVERAGE(AR6:AV10)</f>
        <v>#NAME?</v>
      </c>
      <c r="BA7" t="s">
        <v>363</v>
      </c>
      <c r="BB7" s="185" t="e">
        <f ca="1">AY12</f>
        <v>#NAME?</v>
      </c>
      <c r="BD7" s="214">
        <f t="shared" si="2"/>
        <v>258.60000000000002</v>
      </c>
      <c r="BE7" s="7">
        <f t="shared" si="3"/>
        <v>245.4</v>
      </c>
      <c r="BF7" s="215">
        <f t="shared" si="4"/>
        <v>279</v>
      </c>
      <c r="BH7" t="s">
        <v>34</v>
      </c>
      <c r="BI7">
        <f>QUARTILE(BD6:BD12,1)-BI6</f>
        <v>37.100000000000023</v>
      </c>
      <c r="BJ7">
        <f>QUARTILE(BE6:BE12,1)-BJ6</f>
        <v>32.199999999999989</v>
      </c>
      <c r="BK7">
        <f>QUARTILE(BF6:BF12,1)-BK6</f>
        <v>9.6999999999999886</v>
      </c>
      <c r="BU7" s="193" t="s">
        <v>474</v>
      </c>
      <c r="BV7" s="193" t="s">
        <v>475</v>
      </c>
      <c r="BW7" s="193" t="s">
        <v>51</v>
      </c>
      <c r="BX7" s="56"/>
      <c r="BY7" s="193" t="s">
        <v>474</v>
      </c>
      <c r="BZ7" s="193" t="s">
        <v>475</v>
      </c>
      <c r="CA7" s="193" t="s">
        <v>51</v>
      </c>
      <c r="CC7" t="s">
        <v>43</v>
      </c>
      <c r="CK7" t="s">
        <v>523</v>
      </c>
      <c r="CL7">
        <f>L5</f>
        <v>7</v>
      </c>
      <c r="CN7" t="s">
        <v>56</v>
      </c>
      <c r="CO7" s="112" t="e">
        <f ca="1">MDETERM(AR51:AV55)</f>
        <v>#NAME?</v>
      </c>
      <c r="CP7" s="113" t="e">
        <f ca="1">LN(CO7)</f>
        <v>#NAME?</v>
      </c>
      <c r="CQ7" s="113" t="e">
        <f ca="1">CP7*(CL8-CL5)</f>
        <v>#NAME?</v>
      </c>
      <c r="CR7" s="113">
        <f>1/(CL8-CL5)</f>
        <v>5.5555555555555552E-2</v>
      </c>
      <c r="CS7" s="120">
        <f>CR7^2</f>
        <v>3.0864197530864196E-3</v>
      </c>
    </row>
    <row r="8" spans="1:97" x14ac:dyDescent="0.25">
      <c r="A8" s="214"/>
      <c r="B8" s="229">
        <v>154</v>
      </c>
      <c r="C8" s="230">
        <v>167</v>
      </c>
      <c r="D8" s="230">
        <v>257</v>
      </c>
      <c r="E8" s="230">
        <v>275</v>
      </c>
      <c r="F8" s="231">
        <v>332</v>
      </c>
      <c r="G8" s="7">
        <f t="shared" si="0"/>
        <v>237</v>
      </c>
      <c r="J8" s="12" t="s">
        <v>476</v>
      </c>
      <c r="K8" s="12" t="s">
        <v>477</v>
      </c>
      <c r="L8" s="12" t="s">
        <v>478</v>
      </c>
      <c r="M8" s="12" t="s">
        <v>479</v>
      </c>
      <c r="N8" s="12" t="s">
        <v>480</v>
      </c>
      <c r="Q8" s="39" t="s">
        <v>485</v>
      </c>
      <c r="R8" s="214">
        <f>L5</f>
        <v>7</v>
      </c>
      <c r="S8" s="7">
        <f>DEVSQ(J9:N11)*R8</f>
        <v>1242898.5714285714</v>
      </c>
      <c r="T8" s="7">
        <f>J5*K5-1</f>
        <v>14</v>
      </c>
      <c r="U8" s="215">
        <f t="shared" si="1"/>
        <v>88778.469387755104</v>
      </c>
      <c r="W8" s="16" t="s">
        <v>486</v>
      </c>
      <c r="X8">
        <f>S12</f>
        <v>193369.71428571423</v>
      </c>
      <c r="Y8">
        <f>T12</f>
        <v>18</v>
      </c>
      <c r="Z8" s="16">
        <f>X8/Y8</f>
        <v>10742.761904761901</v>
      </c>
      <c r="AE8" s="214">
        <f t="shared" si="5"/>
        <v>258.60000000000002</v>
      </c>
      <c r="AF8" s="7">
        <f t="shared" si="6"/>
        <v>245.4</v>
      </c>
      <c r="AG8" s="215">
        <f t="shared" si="7"/>
        <v>279</v>
      </c>
      <c r="AH8" s="7"/>
      <c r="AI8" s="16" t="s">
        <v>177</v>
      </c>
      <c r="AJ8" s="16">
        <v>220968.45714285711</v>
      </c>
      <c r="AK8" s="16">
        <v>4</v>
      </c>
      <c r="AL8" s="16">
        <v>55242.114285714277</v>
      </c>
      <c r="AM8" s="16">
        <v>33.551626701681158</v>
      </c>
      <c r="AN8" s="16">
        <v>1.6606146059093755E-9</v>
      </c>
      <c r="AO8" s="16">
        <v>2.7762892892514786</v>
      </c>
      <c r="AR8" s="214" t="e">
        <f ca="1"/>
        <v>#NAME?</v>
      </c>
      <c r="AS8" s="7" t="e">
        <f ca="1"/>
        <v>#NAME?</v>
      </c>
      <c r="AT8" s="7" t="e">
        <f ca="1"/>
        <v>#NAME?</v>
      </c>
      <c r="AU8" s="7" t="e">
        <f ca="1"/>
        <v>#NAME?</v>
      </c>
      <c r="AV8" s="215" t="e">
        <f ca="1"/>
        <v>#NAME?</v>
      </c>
      <c r="AX8" t="s">
        <v>359</v>
      </c>
      <c r="AY8" s="185" t="e">
        <f ca="1">SUMSQ(AR6:AV10)</f>
        <v>#NAME?</v>
      </c>
      <c r="BA8" t="s">
        <v>364</v>
      </c>
      <c r="BB8" s="185" t="e">
        <f ca="1">BB5*(BB6-1)*BB7-2</f>
        <v>#NAME?</v>
      </c>
      <c r="BD8" s="214">
        <f t="shared" si="2"/>
        <v>331.8</v>
      </c>
      <c r="BE8" s="7">
        <f t="shared" si="3"/>
        <v>274.8</v>
      </c>
      <c r="BF8" s="215">
        <f t="shared" si="4"/>
        <v>258.39999999999998</v>
      </c>
      <c r="BH8" t="s">
        <v>35</v>
      </c>
      <c r="BI8">
        <f>MEDIAN(BD6:BD12)-QUARTILE(BD6:BD12,1)</f>
        <v>57.699999999999989</v>
      </c>
      <c r="BJ8">
        <f>MEDIAN(BE6:BE12)-QUARTILE(BE6:BE12,1)</f>
        <v>43.400000000000034</v>
      </c>
      <c r="BK8">
        <f>MEDIAN(BF6:BF12)-QUARTILE(BF6:BF12,1)</f>
        <v>5.1000000000000227</v>
      </c>
      <c r="BU8" s="132">
        <f t="shared" ref="BU8:BU14" si="8">B4</f>
        <v>250</v>
      </c>
      <c r="BV8" s="224">
        <f t="shared" ref="BV8:BV14" si="9">B11</f>
        <v>54</v>
      </c>
      <c r="BW8" s="225">
        <f t="shared" ref="BW8:BW14" si="10">B18</f>
        <v>118</v>
      </c>
      <c r="BX8" s="60"/>
      <c r="BY8" s="132">
        <f>ABS(BU8-$BU$15)</f>
        <v>65.142857142857139</v>
      </c>
      <c r="BZ8" s="224">
        <f>ABS(BV8-BV$15)</f>
        <v>0.4285714285714306</v>
      </c>
      <c r="CA8" s="225">
        <f>ABS(BW8-BW$15)</f>
        <v>30.571428571428569</v>
      </c>
      <c r="CC8" s="194" t="s">
        <v>53</v>
      </c>
      <c r="CD8" s="194" t="s">
        <v>12</v>
      </c>
      <c r="CE8" s="194" t="s">
        <v>11</v>
      </c>
      <c r="CF8" s="194" t="s">
        <v>159</v>
      </c>
      <c r="CG8" s="194" t="s">
        <v>54</v>
      </c>
      <c r="CK8" t="s">
        <v>17</v>
      </c>
      <c r="CL8">
        <f>CL5*CL7</f>
        <v>21</v>
      </c>
      <c r="CN8" t="s">
        <v>526</v>
      </c>
      <c r="CQ8" s="213" t="e">
        <f ca="1">CQ7-SUM(CQ4:CQ6)</f>
        <v>#NAME?</v>
      </c>
      <c r="CR8">
        <f>SUM(CR4:CR6)-CR7</f>
        <v>0.44444444444444442</v>
      </c>
      <c r="CS8">
        <f>SUM(CS4:CS6)-CS7</f>
        <v>8.0246913580246909E-2</v>
      </c>
    </row>
    <row r="9" spans="1:97" x14ac:dyDescent="0.25">
      <c r="A9" s="214"/>
      <c r="B9" s="229">
        <v>103</v>
      </c>
      <c r="C9" s="230">
        <v>286</v>
      </c>
      <c r="D9" s="230">
        <v>401</v>
      </c>
      <c r="E9" s="230">
        <v>291</v>
      </c>
      <c r="F9" s="231">
        <v>367</v>
      </c>
      <c r="G9" s="7">
        <f t="shared" si="0"/>
        <v>289.60000000000002</v>
      </c>
      <c r="I9" t="s">
        <v>474</v>
      </c>
      <c r="J9" s="209">
        <f>AVERAGE(B4:B10)</f>
        <v>184.85714285714286</v>
      </c>
      <c r="K9" s="210">
        <f>AVERAGE(C4:C10)</f>
        <v>259.85714285714283</v>
      </c>
      <c r="L9" s="210">
        <f>AVERAGE(D4:D10)</f>
        <v>382.85714285714283</v>
      </c>
      <c r="M9" s="210">
        <f>AVERAGE(E4:E10)</f>
        <v>362.57142857142856</v>
      </c>
      <c r="N9" s="211">
        <f>AVERAGE(F4:F10)</f>
        <v>383.71428571428572</v>
      </c>
      <c r="O9" s="25">
        <f>AVERAGE(J9:N9)</f>
        <v>314.77142857142854</v>
      </c>
      <c r="Q9" s="7" t="s">
        <v>467</v>
      </c>
      <c r="R9" s="214">
        <f>K5</f>
        <v>5</v>
      </c>
      <c r="S9" s="7">
        <f>DEVSQ(G4:G24)*R9</f>
        <v>371727.82857142854</v>
      </c>
      <c r="T9" s="7">
        <f>J5*L5-1</f>
        <v>20</v>
      </c>
      <c r="U9" s="215">
        <f t="shared" si="1"/>
        <v>18586.391428571427</v>
      </c>
      <c r="W9" s="16" t="s">
        <v>468</v>
      </c>
      <c r="X9">
        <f>S10</f>
        <v>1225615.5999999996</v>
      </c>
      <c r="Y9">
        <f>T10</f>
        <v>84</v>
      </c>
      <c r="AE9" s="214">
        <f t="shared" si="5"/>
        <v>331.8</v>
      </c>
      <c r="AF9" s="7">
        <f t="shared" si="6"/>
        <v>274.8</v>
      </c>
      <c r="AG9" s="215">
        <f t="shared" si="7"/>
        <v>258.39999999999998</v>
      </c>
      <c r="AH9" s="7"/>
      <c r="AI9" s="16" t="s">
        <v>176</v>
      </c>
      <c r="AJ9" s="16">
        <v>39515.542857142922</v>
      </c>
      <c r="AK9" s="16">
        <v>24</v>
      </c>
      <c r="AL9" s="16">
        <v>1646.4809523809552</v>
      </c>
      <c r="AM9" s="16"/>
      <c r="AN9" s="16"/>
      <c r="AO9" s="16"/>
      <c r="AR9" s="214" t="e">
        <f ca="1"/>
        <v>#NAME?</v>
      </c>
      <c r="AS9" s="7" t="e">
        <f ca="1"/>
        <v>#NAME?</v>
      </c>
      <c r="AT9" s="7" t="e">
        <f ca="1"/>
        <v>#NAME?</v>
      </c>
      <c r="AU9" s="7" t="e">
        <f ca="1"/>
        <v>#NAME?</v>
      </c>
      <c r="AV9" s="215" t="e">
        <f ca="1"/>
        <v>#NAME?</v>
      </c>
      <c r="AX9" t="s">
        <v>360</v>
      </c>
      <c r="AY9" s="185" t="e">
        <f ca="1">SUMSQ(AR11:AV11)</f>
        <v>#NAME?</v>
      </c>
      <c r="BA9" t="s">
        <v>365</v>
      </c>
      <c r="BB9" s="185" t="e">
        <f ca="1">(BB6-1)*(BB5-1-(BB6-1)*BB7)</f>
        <v>#NAME?</v>
      </c>
      <c r="BD9" s="214">
        <f t="shared" si="2"/>
        <v>372.2</v>
      </c>
      <c r="BE9" s="7">
        <f t="shared" si="3"/>
        <v>234.4</v>
      </c>
      <c r="BF9" s="215">
        <f t="shared" si="4"/>
        <v>264.60000000000002</v>
      </c>
      <c r="BH9" t="s">
        <v>36</v>
      </c>
      <c r="BI9">
        <f>QUARTILE(BD6:BD12,3)-MEDIAN(BD6:BD12)</f>
        <v>25.300000000000011</v>
      </c>
      <c r="BJ9">
        <f>QUARTILE(BE6:BE12,3)-MEDIAN(BE6:BE12)</f>
        <v>9.0999999999999943</v>
      </c>
      <c r="BK9">
        <f>QUARTILE(BF6:BF12,3)-MEDIAN(BF6:BF12)</f>
        <v>41.599999999999966</v>
      </c>
      <c r="BU9" s="214">
        <f t="shared" si="8"/>
        <v>65</v>
      </c>
      <c r="BV9" s="7">
        <f t="shared" si="9"/>
        <v>20</v>
      </c>
      <c r="BW9" s="215">
        <f t="shared" si="10"/>
        <v>83</v>
      </c>
      <c r="BX9" s="60"/>
      <c r="BY9" s="214">
        <f t="shared" ref="BY9:BY14" si="11">ABS(BU9-BU$15)</f>
        <v>119.85714285714286</v>
      </c>
      <c r="BZ9" s="7">
        <f t="shared" ref="BZ9:BZ14" si="12">ABS(BV9-BV$15)</f>
        <v>34.428571428571431</v>
      </c>
      <c r="CA9" s="215">
        <f t="shared" ref="CA9:CA14" si="13">ABS(BW9-BW$15)</f>
        <v>4.4285714285714306</v>
      </c>
      <c r="CC9" s="16" t="s">
        <v>474</v>
      </c>
      <c r="CD9" s="16">
        <v>7</v>
      </c>
      <c r="CE9" s="16">
        <v>465.14285714285711</v>
      </c>
      <c r="CF9" s="16">
        <v>66.448979591836732</v>
      </c>
      <c r="CG9" s="16">
        <v>819.7648202138007</v>
      </c>
    </row>
    <row r="10" spans="1:97" x14ac:dyDescent="0.25">
      <c r="A10" s="112"/>
      <c r="B10" s="232">
        <v>230</v>
      </c>
      <c r="C10" s="230">
        <v>306</v>
      </c>
      <c r="D10" s="233">
        <v>432</v>
      </c>
      <c r="E10" s="233">
        <v>386</v>
      </c>
      <c r="F10" s="234">
        <v>423</v>
      </c>
      <c r="G10" s="7">
        <f t="shared" si="0"/>
        <v>355.4</v>
      </c>
      <c r="I10" t="s">
        <v>475</v>
      </c>
      <c r="J10" s="214">
        <f>AVERAGE(B11:B17)</f>
        <v>54.428571428571431</v>
      </c>
      <c r="K10" s="7">
        <f>AVERAGE(C11:C17)</f>
        <v>119.14285714285714</v>
      </c>
      <c r="L10" s="7">
        <f>AVERAGE(D11:D17)</f>
        <v>317.42857142857144</v>
      </c>
      <c r="M10" s="7">
        <f>AVERAGE(E11:E17)</f>
        <v>281.57142857142856</v>
      </c>
      <c r="N10" s="215">
        <f>AVERAGE(F11:F17)</f>
        <v>309.85714285714283</v>
      </c>
      <c r="O10" s="25">
        <f>AVERAGE(J10:N10)</f>
        <v>216.48571428571427</v>
      </c>
      <c r="Q10" s="39" t="s">
        <v>469</v>
      </c>
      <c r="R10" s="214"/>
      <c r="S10" s="7">
        <f>S5-S9</f>
        <v>1225615.5999999996</v>
      </c>
      <c r="T10" s="7">
        <f>T5-T9</f>
        <v>84</v>
      </c>
      <c r="U10" s="215">
        <f t="shared" si="1"/>
        <v>14590.661904761901</v>
      </c>
      <c r="W10" s="16" t="s">
        <v>487</v>
      </c>
      <c r="X10" s="16">
        <f>S7</f>
        <v>1025800.38095238</v>
      </c>
      <c r="Y10" s="16">
        <f>T7</f>
        <v>4</v>
      </c>
      <c r="Z10" s="16">
        <f>X10/Y10</f>
        <v>256450.095238095</v>
      </c>
      <c r="AA10" s="16">
        <f>Z10/Z12</f>
        <v>114.63225504334284</v>
      </c>
      <c r="AB10">
        <f>FDIST(AA10,Y10,Y12)</f>
        <v>1.9104657472457449E-30</v>
      </c>
      <c r="AC10">
        <f>FINV(0.05,Y10,Y12)</f>
        <v>2.4989185828063061</v>
      </c>
      <c r="AE10" s="214">
        <f t="shared" si="5"/>
        <v>372.2</v>
      </c>
      <c r="AF10" s="7">
        <f t="shared" si="6"/>
        <v>234.4</v>
      </c>
      <c r="AG10" s="215">
        <f t="shared" si="7"/>
        <v>264.60000000000002</v>
      </c>
      <c r="AH10" s="7"/>
      <c r="AI10" s="16"/>
      <c r="AJ10" s="16"/>
      <c r="AK10" s="16"/>
      <c r="AL10" s="16"/>
      <c r="AM10" s="16"/>
      <c r="AN10" s="16"/>
      <c r="AO10" s="16"/>
      <c r="AR10" s="112" t="e">
        <f ca="1"/>
        <v>#NAME?</v>
      </c>
      <c r="AS10" s="113" t="e">
        <f ca="1"/>
        <v>#NAME?</v>
      </c>
      <c r="AT10" s="113" t="e">
        <f ca="1"/>
        <v>#NAME?</v>
      </c>
      <c r="AU10" s="113" t="e">
        <f ca="1"/>
        <v>#NAME?</v>
      </c>
      <c r="AV10" s="120" t="e">
        <f ca="1"/>
        <v>#NAME?</v>
      </c>
      <c r="AX10" t="s">
        <v>361</v>
      </c>
      <c r="AY10" s="185" t="e">
        <f ca="1">(AY5*(AY6-AY7))^2</f>
        <v>#NAME?</v>
      </c>
      <c r="BA10" t="s">
        <v>366</v>
      </c>
      <c r="BB10" s="123" t="e">
        <f ca="1">MIN(BB8/BB9,1)</f>
        <v>#NAME?</v>
      </c>
      <c r="BD10" s="214">
        <f t="shared" si="2"/>
        <v>237</v>
      </c>
      <c r="BE10" s="7">
        <f t="shared" si="3"/>
        <v>214.2</v>
      </c>
      <c r="BF10" s="215">
        <f t="shared" si="4"/>
        <v>353.4</v>
      </c>
      <c r="BH10" t="s">
        <v>37</v>
      </c>
      <c r="BI10">
        <f>MAX(BD6:BD12)-QUARTILE(BD6:BD12,3)</f>
        <v>15.099999999999966</v>
      </c>
      <c r="BJ10">
        <f>MAX(BE6:BE12)-QUARTILE(BE6:BE12,3)</f>
        <v>34.900000000000006</v>
      </c>
      <c r="BK10">
        <f>MAX(BF6:BF12)-QUARTILE(BF6:BF12,3)</f>
        <v>47.199999999999989</v>
      </c>
      <c r="BU10" s="214">
        <f t="shared" si="8"/>
        <v>251</v>
      </c>
      <c r="BV10" s="7">
        <f t="shared" si="9"/>
        <v>41</v>
      </c>
      <c r="BW10" s="215">
        <f t="shared" si="10"/>
        <v>38</v>
      </c>
      <c r="BX10" s="60"/>
      <c r="BY10" s="214">
        <f t="shared" si="11"/>
        <v>66.142857142857139</v>
      </c>
      <c r="BZ10" s="7">
        <f t="shared" si="12"/>
        <v>13.428571428571431</v>
      </c>
      <c r="CA10" s="215">
        <f t="shared" si="13"/>
        <v>49.428571428571431</v>
      </c>
      <c r="CC10" s="16" t="s">
        <v>475</v>
      </c>
      <c r="CD10" s="16">
        <v>7</v>
      </c>
      <c r="CE10" s="16">
        <v>291.14285714285717</v>
      </c>
      <c r="CF10" s="16">
        <v>41.591836734693878</v>
      </c>
      <c r="CG10" s="16">
        <v>2359.4246841593772</v>
      </c>
    </row>
    <row r="11" spans="1:97" ht="15.75" thickBot="1" x14ac:dyDescent="0.3">
      <c r="A11" s="212" t="s">
        <v>475</v>
      </c>
      <c r="B11" s="226">
        <v>54</v>
      </c>
      <c r="C11" s="227">
        <v>172</v>
      </c>
      <c r="D11" s="227">
        <v>307</v>
      </c>
      <c r="E11" s="227">
        <v>261</v>
      </c>
      <c r="F11" s="228">
        <v>360</v>
      </c>
      <c r="G11" s="7">
        <f t="shared" si="0"/>
        <v>230.8</v>
      </c>
      <c r="I11" t="s">
        <v>51</v>
      </c>
      <c r="J11" s="112">
        <f>AVERAGE(B18:B24)</f>
        <v>87.428571428571431</v>
      </c>
      <c r="K11" s="113">
        <f>AVERAGE(C18:C24)</f>
        <v>238.71428571428572</v>
      </c>
      <c r="L11" s="113">
        <f>AVERAGE(D18:D24)</f>
        <v>369.57142857142856</v>
      </c>
      <c r="M11" s="113">
        <f>AVERAGE(E18:E24)</f>
        <v>374.28571428571428</v>
      </c>
      <c r="N11" s="120">
        <f>AVERAGE(F18:F24)</f>
        <v>358</v>
      </c>
      <c r="O11" s="25">
        <f>AVERAGE(J11:N11)</f>
        <v>285.60000000000002</v>
      </c>
      <c r="Q11" s="39" t="s">
        <v>484</v>
      </c>
      <c r="R11" s="214"/>
      <c r="S11" s="7">
        <f>S8-S6-S7</f>
        <v>38740.076190477121</v>
      </c>
      <c r="T11" s="7">
        <f>T8-T6-T7</f>
        <v>8</v>
      </c>
      <c r="U11" s="215">
        <f t="shared" si="1"/>
        <v>4842.5095238096401</v>
      </c>
      <c r="W11" s="39" t="s">
        <v>536</v>
      </c>
      <c r="X11">
        <f>S11</f>
        <v>38740.076190477121</v>
      </c>
      <c r="Y11">
        <f>T11</f>
        <v>8</v>
      </c>
      <c r="Z11" s="16">
        <f>X11/Y11</f>
        <v>4842.5095238096401</v>
      </c>
      <c r="AA11">
        <f>Z11/Z12</f>
        <v>2.1645840539376158</v>
      </c>
      <c r="AB11">
        <f>FDIST(AA11,Y11,Y12)</f>
        <v>4.0346173311157994E-2</v>
      </c>
      <c r="AC11">
        <f>FINV(0.05,Y11,Y12)</f>
        <v>2.0698316419588703</v>
      </c>
      <c r="AE11" s="214">
        <f t="shared" si="5"/>
        <v>237</v>
      </c>
      <c r="AF11" s="7">
        <f t="shared" si="6"/>
        <v>214.2</v>
      </c>
      <c r="AG11" s="215">
        <f t="shared" si="7"/>
        <v>353.4</v>
      </c>
      <c r="AH11" s="7"/>
      <c r="AI11" s="17" t="s">
        <v>1</v>
      </c>
      <c r="AJ11" s="17">
        <v>345556.1714285714</v>
      </c>
      <c r="AK11" s="17">
        <v>34</v>
      </c>
      <c r="AL11" s="17"/>
      <c r="AM11" s="17"/>
      <c r="AN11" s="17"/>
      <c r="AO11" s="17"/>
      <c r="AQ11" t="s">
        <v>6</v>
      </c>
      <c r="AR11" t="e">
        <f ca="1">AVERAGE(AR6:AR10)</f>
        <v>#NAME?</v>
      </c>
      <c r="AS11" t="e">
        <f ca="1">AVERAGE(AS6:AS10)</f>
        <v>#NAME?</v>
      </c>
      <c r="AT11" t="e">
        <f ca="1">AVERAGE(AT6:AT10)</f>
        <v>#NAME?</v>
      </c>
      <c r="AU11" t="e">
        <f ca="1">AVERAGE(AU6:AU10)</f>
        <v>#NAME?</v>
      </c>
      <c r="AV11" t="e">
        <f ca="1">AVERAGE(AV6:AV10)</f>
        <v>#NAME?</v>
      </c>
      <c r="AX11" t="s">
        <v>362</v>
      </c>
      <c r="AY11" s="185" t="e">
        <f ca="1">(AY5-1)*(AY8-2*AY5*AY9+AY5^2*AY7^2)</f>
        <v>#NAME?</v>
      </c>
      <c r="BD11" s="214">
        <f t="shared" si="2"/>
        <v>289.60000000000002</v>
      </c>
      <c r="BE11" s="7">
        <f t="shared" si="3"/>
        <v>155.19999999999999</v>
      </c>
      <c r="BF11" s="215">
        <f t="shared" si="4"/>
        <v>333.4</v>
      </c>
      <c r="BU11" s="214">
        <f t="shared" si="8"/>
        <v>241</v>
      </c>
      <c r="BV11" s="7">
        <f t="shared" si="9"/>
        <v>200</v>
      </c>
      <c r="BW11" s="215">
        <f t="shared" si="10"/>
        <v>71</v>
      </c>
      <c r="BX11" s="60"/>
      <c r="BY11" s="214">
        <f t="shared" si="11"/>
        <v>56.142857142857139</v>
      </c>
      <c r="BZ11" s="7">
        <f t="shared" si="12"/>
        <v>145.57142857142856</v>
      </c>
      <c r="CA11" s="215">
        <f t="shared" si="13"/>
        <v>16.428571428571431</v>
      </c>
      <c r="CC11" s="17" t="s">
        <v>51</v>
      </c>
      <c r="CD11" s="17">
        <v>7</v>
      </c>
      <c r="CE11" s="17">
        <v>173.42857142857144</v>
      </c>
      <c r="CF11" s="17">
        <v>24.775510204081634</v>
      </c>
      <c r="CG11" s="17">
        <v>221.48882410106884</v>
      </c>
      <c r="CK11" t="s">
        <v>526</v>
      </c>
      <c r="CL11" s="121" t="e">
        <f ca="1">CQ8</f>
        <v>#NAME?</v>
      </c>
      <c r="CN11" t="s">
        <v>527</v>
      </c>
      <c r="CO11" s="121">
        <f>(CL6-1)*(CL6+2)/(6*(CL5-1))*CS8</f>
        <v>0.18724279835390947</v>
      </c>
    </row>
    <row r="12" spans="1:97" x14ac:dyDescent="0.25">
      <c r="A12" s="185"/>
      <c r="B12" s="229">
        <v>20</v>
      </c>
      <c r="C12" s="230">
        <v>116</v>
      </c>
      <c r="D12" s="230">
        <v>425</v>
      </c>
      <c r="E12" s="230">
        <v>398</v>
      </c>
      <c r="F12" s="231">
        <v>268</v>
      </c>
      <c r="G12" s="7">
        <f t="shared" si="0"/>
        <v>245.4</v>
      </c>
      <c r="J12">
        <f>AVERAGE(J9:J11)</f>
        <v>108.90476190476191</v>
      </c>
      <c r="K12">
        <f>AVERAGE(K9:K11)</f>
        <v>205.90476190476193</v>
      </c>
      <c r="L12">
        <f>AVERAGE(L9:L11)</f>
        <v>356.61904761904754</v>
      </c>
      <c r="M12">
        <f>AVERAGE(M9:M11)</f>
        <v>339.47619047619042</v>
      </c>
      <c r="N12">
        <f>AVERAGE(N9:N11)</f>
        <v>350.52380952380946</v>
      </c>
      <c r="O12">
        <f>AVERAGE(J9:N11)</f>
        <v>272.28571428571428</v>
      </c>
      <c r="Q12" s="16" t="s">
        <v>483</v>
      </c>
      <c r="R12" s="214"/>
      <c r="S12" s="7">
        <f>S9-S6</f>
        <v>193369.71428571423</v>
      </c>
      <c r="T12" s="7">
        <f>T9-T6</f>
        <v>18</v>
      </c>
      <c r="U12" s="215">
        <f t="shared" si="1"/>
        <v>10742.761904761901</v>
      </c>
      <c r="W12" s="16" t="s">
        <v>488</v>
      </c>
      <c r="X12" s="16">
        <f>S13</f>
        <v>161075.14285714249</v>
      </c>
      <c r="Y12" s="16">
        <f>T13</f>
        <v>72</v>
      </c>
      <c r="Z12" s="16">
        <f>X12/Y12</f>
        <v>2237.1547619047569</v>
      </c>
      <c r="AE12" s="214">
        <f t="shared" si="5"/>
        <v>289.60000000000002</v>
      </c>
      <c r="AF12" s="7">
        <f t="shared" si="6"/>
        <v>155.19999999999999</v>
      </c>
      <c r="AG12" s="215">
        <f t="shared" si="7"/>
        <v>333.4</v>
      </c>
      <c r="AH12" s="7"/>
      <c r="AQ12" t="s">
        <v>7</v>
      </c>
      <c r="AR12" t="e">
        <f ca="1">INDEX(AR6:AR10,AR5)</f>
        <v>#NAME?</v>
      </c>
      <c r="AS12" t="e">
        <f ca="1">INDEX(AS6:AS10,AS5)</f>
        <v>#NAME?</v>
      </c>
      <c r="AT12" t="e">
        <f ca="1">INDEX(AT6:AT10,AT5)</f>
        <v>#NAME?</v>
      </c>
      <c r="AU12" t="e">
        <f ca="1">INDEX(AU6:AU10,AU5)</f>
        <v>#NAME?</v>
      </c>
      <c r="AV12" t="e">
        <f ca="1">INDEX(AV6:AV10,AV5)</f>
        <v>#NAME?</v>
      </c>
      <c r="AX12" t="s">
        <v>363</v>
      </c>
      <c r="AY12" s="54" t="e">
        <f ca="1">AY10/AY11</f>
        <v>#NAME?</v>
      </c>
      <c r="BA12" t="s">
        <v>410</v>
      </c>
      <c r="BB12" s="213">
        <f>1/(BB6-1)</f>
        <v>0.25</v>
      </c>
      <c r="BD12" s="112">
        <f t="shared" si="2"/>
        <v>355.4</v>
      </c>
      <c r="BE12" s="113">
        <f t="shared" si="3"/>
        <v>160.6</v>
      </c>
      <c r="BF12" s="120">
        <f t="shared" si="4"/>
        <v>260.60000000000002</v>
      </c>
      <c r="BU12" s="214">
        <f t="shared" si="8"/>
        <v>154</v>
      </c>
      <c r="BV12" s="7">
        <f t="shared" si="9"/>
        <v>34</v>
      </c>
      <c r="BW12" s="215">
        <f t="shared" si="10"/>
        <v>123</v>
      </c>
      <c r="BX12" s="60"/>
      <c r="BY12" s="214">
        <f t="shared" si="11"/>
        <v>30.857142857142861</v>
      </c>
      <c r="BZ12" s="7">
        <f t="shared" si="12"/>
        <v>20.428571428571431</v>
      </c>
      <c r="CA12" s="215">
        <f t="shared" si="13"/>
        <v>35.571428571428569</v>
      </c>
      <c r="CK12" t="s">
        <v>27</v>
      </c>
      <c r="CL12" s="185">
        <f>(2*CL6^2+3*CL6-1)/(6*(CL6+1)*(CL5-1))*CR8</f>
        <v>0.39506172839506171</v>
      </c>
      <c r="CN12" t="s">
        <v>528</v>
      </c>
      <c r="CO12" s="185">
        <f>(CL14+2)/ABS(CO11-CL12^2)</f>
        <v>1026.6601466992654</v>
      </c>
    </row>
    <row r="13" spans="1:97" ht="15.75" thickBot="1" x14ac:dyDescent="0.3">
      <c r="A13" s="185"/>
      <c r="B13" s="229">
        <v>41</v>
      </c>
      <c r="C13" s="230">
        <v>168</v>
      </c>
      <c r="D13" s="230">
        <v>378</v>
      </c>
      <c r="E13" s="230">
        <v>317</v>
      </c>
      <c r="F13" s="231">
        <v>470</v>
      </c>
      <c r="G13" s="7">
        <f t="shared" si="0"/>
        <v>274.8</v>
      </c>
      <c r="Q13" s="16" t="s">
        <v>482</v>
      </c>
      <c r="R13" s="112"/>
      <c r="S13" s="113">
        <f>S10-S7-S11</f>
        <v>161075.14285714249</v>
      </c>
      <c r="T13" s="113">
        <f>T10-T7-T11</f>
        <v>72</v>
      </c>
      <c r="U13" s="120">
        <f t="shared" si="1"/>
        <v>2237.1547619047569</v>
      </c>
      <c r="AA13" s="16"/>
      <c r="AB13" s="16"/>
      <c r="AC13" s="16"/>
      <c r="AE13" s="112">
        <f t="shared" si="5"/>
        <v>355.4</v>
      </c>
      <c r="AF13" s="113">
        <f t="shared" si="6"/>
        <v>160.6</v>
      </c>
      <c r="AG13" s="120">
        <f t="shared" si="7"/>
        <v>260.60000000000002</v>
      </c>
      <c r="AH13" s="7"/>
      <c r="AI13" t="s">
        <v>494</v>
      </c>
      <c r="BU13" s="214">
        <f t="shared" si="8"/>
        <v>103</v>
      </c>
      <c r="BV13" s="7">
        <f t="shared" si="9"/>
        <v>29</v>
      </c>
      <c r="BW13" s="215">
        <f t="shared" si="10"/>
        <v>71</v>
      </c>
      <c r="BX13" s="60"/>
      <c r="BY13" s="214">
        <f t="shared" si="11"/>
        <v>81.857142857142861</v>
      </c>
      <c r="BZ13" s="7">
        <f t="shared" si="12"/>
        <v>25.428571428571431</v>
      </c>
      <c r="CA13" s="215">
        <f t="shared" si="13"/>
        <v>16.428571428571431</v>
      </c>
      <c r="CK13" s="24" t="s">
        <v>73</v>
      </c>
      <c r="CL13" s="185" t="e">
        <f ca="1">CL11*(1-CL12)</f>
        <v>#NAME?</v>
      </c>
      <c r="CN13" t="s">
        <v>530</v>
      </c>
      <c r="CO13" s="185">
        <f>CL14/(1-CL12-CL14/CO12)</f>
        <v>52.108907696507906</v>
      </c>
    </row>
    <row r="14" spans="1:97" ht="15.75" thickBot="1" x14ac:dyDescent="0.3">
      <c r="A14" s="185"/>
      <c r="B14" s="229">
        <v>200</v>
      </c>
      <c r="C14" s="230">
        <v>157</v>
      </c>
      <c r="D14" s="230">
        <v>283</v>
      </c>
      <c r="E14" s="230">
        <v>259</v>
      </c>
      <c r="F14" s="231">
        <v>273</v>
      </c>
      <c r="G14" s="7">
        <f t="shared" si="0"/>
        <v>234.4</v>
      </c>
      <c r="W14" s="17" t="s">
        <v>1</v>
      </c>
      <c r="X14" s="17">
        <f>S5</f>
        <v>1597343.4285714282</v>
      </c>
      <c r="Y14" s="17">
        <f>T5</f>
        <v>104</v>
      </c>
      <c r="Z14" s="17"/>
      <c r="AA14" s="17"/>
      <c r="AB14" s="17"/>
      <c r="AC14" s="17"/>
      <c r="AH14" s="7"/>
      <c r="AI14" s="194" t="s">
        <v>160</v>
      </c>
      <c r="AJ14" s="194" t="s">
        <v>111</v>
      </c>
      <c r="AK14" s="194" t="s">
        <v>41</v>
      </c>
      <c r="AL14" s="194" t="s">
        <v>115</v>
      </c>
      <c r="AM14" s="194" t="s">
        <v>98</v>
      </c>
      <c r="AN14" s="194" t="s">
        <v>83</v>
      </c>
      <c r="AO14" s="194" t="s">
        <v>161</v>
      </c>
      <c r="AR14">
        <v>1</v>
      </c>
      <c r="AS14">
        <f>AR14+1</f>
        <v>2</v>
      </c>
      <c r="AT14">
        <f>AS14+1</f>
        <v>3</v>
      </c>
      <c r="AU14">
        <f>AT14+1</f>
        <v>4</v>
      </c>
      <c r="AV14">
        <f>AU14+1</f>
        <v>5</v>
      </c>
      <c r="AX14" t="s">
        <v>356</v>
      </c>
      <c r="AY14" s="202">
        <f>$K$5</f>
        <v>5</v>
      </c>
      <c r="BA14" t="s">
        <v>355</v>
      </c>
      <c r="BB14" s="212">
        <f>$L$5</f>
        <v>7</v>
      </c>
      <c r="BD14" s="193" t="s">
        <v>503</v>
      </c>
      <c r="BE14" s="193" t="s">
        <v>504</v>
      </c>
      <c r="BF14" s="193" t="s">
        <v>507</v>
      </c>
      <c r="BG14" s="193" t="s">
        <v>505</v>
      </c>
      <c r="BH14" s="193" t="s">
        <v>506</v>
      </c>
      <c r="BI14" s="193" t="s">
        <v>512</v>
      </c>
      <c r="BJ14" s="193" t="s">
        <v>508</v>
      </c>
      <c r="BK14" s="193" t="s">
        <v>509</v>
      </c>
      <c r="BL14" s="193" t="s">
        <v>510</v>
      </c>
      <c r="BM14" s="193" t="s">
        <v>511</v>
      </c>
      <c r="BN14" s="193" t="s">
        <v>513</v>
      </c>
      <c r="BO14" s="193" t="s">
        <v>514</v>
      </c>
      <c r="BP14" s="193" t="s">
        <v>515</v>
      </c>
      <c r="BQ14" s="193" t="s">
        <v>516</v>
      </c>
      <c r="BR14" s="193" t="s">
        <v>517</v>
      </c>
      <c r="BU14" s="112">
        <f t="shared" si="8"/>
        <v>230</v>
      </c>
      <c r="BV14" s="113">
        <f t="shared" si="9"/>
        <v>3</v>
      </c>
      <c r="BW14" s="120">
        <f t="shared" si="10"/>
        <v>108</v>
      </c>
      <c r="BX14" s="60"/>
      <c r="BY14" s="112">
        <f t="shared" si="11"/>
        <v>45.142857142857139</v>
      </c>
      <c r="BZ14" s="113">
        <f t="shared" si="12"/>
        <v>51.428571428571431</v>
      </c>
      <c r="CA14" s="120">
        <f t="shared" si="13"/>
        <v>20.571428571428569</v>
      </c>
      <c r="CC14" t="s">
        <v>125</v>
      </c>
      <c r="CK14" s="24" t="s">
        <v>41</v>
      </c>
      <c r="CL14" s="185">
        <f>CL6*(CL6+1)*(CL5-1)/2</f>
        <v>30</v>
      </c>
      <c r="CN14" t="s">
        <v>531</v>
      </c>
      <c r="CO14" s="185">
        <f>CO12/(1-CL12+2/CO12)</f>
        <v>1691.6843994114142</v>
      </c>
    </row>
    <row r="15" spans="1:97" x14ac:dyDescent="0.25">
      <c r="A15" s="185"/>
      <c r="B15" s="229">
        <v>34</v>
      </c>
      <c r="C15" s="230">
        <v>86</v>
      </c>
      <c r="D15" s="230">
        <v>351</v>
      </c>
      <c r="E15" s="230">
        <v>280</v>
      </c>
      <c r="F15" s="231">
        <v>320</v>
      </c>
      <c r="G15" s="7">
        <f t="shared" si="0"/>
        <v>214.2</v>
      </c>
      <c r="AI15" s="16" t="s">
        <v>99</v>
      </c>
      <c r="AJ15" s="16">
        <v>58233.942857142829</v>
      </c>
      <c r="AK15" s="16">
        <v>6</v>
      </c>
      <c r="AL15" s="16">
        <v>9705.6571428571388</v>
      </c>
      <c r="AM15" s="16">
        <v>2.9519576278182553</v>
      </c>
      <c r="AN15" s="16">
        <v>2.6540423840703348E-2</v>
      </c>
      <c r="AO15" s="16">
        <v>2.5081888234232559</v>
      </c>
      <c r="AQ15" t="str">
        <f>A4</f>
        <v>Young</v>
      </c>
      <c r="AR15" s="209" t="e">
        <f t="array" aca="1" ref="AR15:AV19" ca="1">COV(B4:F10)</f>
        <v>#NAME?</v>
      </c>
      <c r="AS15" s="210" t="e">
        <f ca="1"/>
        <v>#NAME?</v>
      </c>
      <c r="AT15" s="210" t="e">
        <f ca="1"/>
        <v>#NAME?</v>
      </c>
      <c r="AU15" s="210" t="e">
        <f ca="1"/>
        <v>#NAME?</v>
      </c>
      <c r="AV15" s="211" t="e">
        <f ca="1"/>
        <v>#NAME?</v>
      </c>
      <c r="AX15" t="s">
        <v>357</v>
      </c>
      <c r="AY15" s="185" t="e">
        <f ca="1">AVERAGE(AR21:AV21)</f>
        <v>#NAME?</v>
      </c>
      <c r="BA15" t="s">
        <v>356</v>
      </c>
      <c r="BB15" s="185">
        <f>AY14</f>
        <v>5</v>
      </c>
      <c r="BD15" s="235">
        <v>250</v>
      </c>
      <c r="BE15" s="236">
        <v>278</v>
      </c>
      <c r="BF15" s="236">
        <v>442</v>
      </c>
      <c r="BG15" s="236">
        <v>368</v>
      </c>
      <c r="BH15" s="237">
        <v>456</v>
      </c>
      <c r="BI15" s="235">
        <v>54</v>
      </c>
      <c r="BJ15" s="236">
        <v>172</v>
      </c>
      <c r="BK15" s="236">
        <v>307</v>
      </c>
      <c r="BL15" s="236">
        <v>261</v>
      </c>
      <c r="BM15" s="237">
        <v>360</v>
      </c>
      <c r="BN15" s="235">
        <v>118</v>
      </c>
      <c r="BO15" s="236">
        <v>124</v>
      </c>
      <c r="BP15" s="236">
        <v>365</v>
      </c>
      <c r="BQ15" s="236">
        <v>311</v>
      </c>
      <c r="BR15" s="237">
        <v>331</v>
      </c>
      <c r="BT15" t="s">
        <v>6</v>
      </c>
      <c r="BU15" s="25">
        <f>AVERAGE(BU8:BU14)</f>
        <v>184.85714285714286</v>
      </c>
      <c r="BV15" s="25">
        <f>AVERAGE(BV8:BV14)</f>
        <v>54.428571428571431</v>
      </c>
      <c r="BW15" s="25">
        <f>AVERAGE(BW8:BW14)</f>
        <v>87.428571428571431</v>
      </c>
      <c r="BX15" s="243"/>
      <c r="BY15" s="243"/>
      <c r="BZ15" s="243"/>
      <c r="CA15" s="243"/>
      <c r="CC15" s="194" t="s">
        <v>160</v>
      </c>
      <c r="CD15" s="194" t="s">
        <v>111</v>
      </c>
      <c r="CE15" s="194" t="s">
        <v>41</v>
      </c>
      <c r="CF15" s="194" t="s">
        <v>115</v>
      </c>
      <c r="CG15" s="194" t="s">
        <v>98</v>
      </c>
      <c r="CH15" s="194" t="s">
        <v>83</v>
      </c>
      <c r="CI15" s="194" t="s">
        <v>161</v>
      </c>
      <c r="CK15" s="24" t="s">
        <v>48</v>
      </c>
      <c r="CL15" s="185" t="e">
        <f ca="1">CHIDIST(CL13,CL14)</f>
        <v>#NAME?</v>
      </c>
      <c r="CN15" t="s">
        <v>529</v>
      </c>
      <c r="CO15" s="185" t="e">
        <f ca="1">CL11/CO13</f>
        <v>#NAME?</v>
      </c>
    </row>
    <row r="16" spans="1:97" x14ac:dyDescent="0.25">
      <c r="A16" s="185"/>
      <c r="B16" s="229">
        <v>29</v>
      </c>
      <c r="C16" s="230">
        <v>81</v>
      </c>
      <c r="D16" s="230">
        <v>193</v>
      </c>
      <c r="E16" s="230">
        <v>240</v>
      </c>
      <c r="F16" s="231">
        <v>233</v>
      </c>
      <c r="G16" s="7">
        <f t="shared" si="0"/>
        <v>155.19999999999999</v>
      </c>
      <c r="AI16" s="16" t="s">
        <v>177</v>
      </c>
      <c r="AJ16" s="16">
        <v>412173.88571428566</v>
      </c>
      <c r="AK16" s="16">
        <v>4</v>
      </c>
      <c r="AL16" s="16">
        <v>103043.47142857141</v>
      </c>
      <c r="AM16" s="16">
        <v>31.340480814769411</v>
      </c>
      <c r="AN16" s="16">
        <v>3.2800032757234696E-9</v>
      </c>
      <c r="AO16" s="16">
        <v>2.7762892892514786</v>
      </c>
      <c r="AR16" s="214" t="e">
        <f ca="1"/>
        <v>#NAME?</v>
      </c>
      <c r="AS16" s="7" t="e">
        <f ca="1"/>
        <v>#NAME?</v>
      </c>
      <c r="AT16" s="7" t="e">
        <f ca="1"/>
        <v>#NAME?</v>
      </c>
      <c r="AU16" s="7" t="e">
        <f ca="1"/>
        <v>#NAME?</v>
      </c>
      <c r="AV16" s="215" t="e">
        <f ca="1"/>
        <v>#NAME?</v>
      </c>
      <c r="AX16" t="s">
        <v>358</v>
      </c>
      <c r="AY16" s="185" t="e">
        <f ca="1">AVERAGE(AR15:AV19)</f>
        <v>#NAME?</v>
      </c>
      <c r="BA16" t="s">
        <v>363</v>
      </c>
      <c r="BB16" s="185" t="e">
        <f ca="1">AY21</f>
        <v>#NAME?</v>
      </c>
      <c r="BD16" s="238">
        <v>65</v>
      </c>
      <c r="BE16" s="25">
        <v>207</v>
      </c>
      <c r="BF16" s="25">
        <v>341</v>
      </c>
      <c r="BG16" s="25">
        <v>382</v>
      </c>
      <c r="BH16" s="239">
        <v>298</v>
      </c>
      <c r="BI16" s="238">
        <v>20</v>
      </c>
      <c r="BJ16" s="25">
        <v>116</v>
      </c>
      <c r="BK16" s="25">
        <v>425</v>
      </c>
      <c r="BL16" s="25">
        <v>398</v>
      </c>
      <c r="BM16" s="239">
        <v>268</v>
      </c>
      <c r="BN16" s="238">
        <v>83</v>
      </c>
      <c r="BO16" s="25">
        <v>266</v>
      </c>
      <c r="BP16" s="25">
        <v>382</v>
      </c>
      <c r="BQ16" s="25">
        <v>369</v>
      </c>
      <c r="BR16" s="239">
        <v>295</v>
      </c>
      <c r="BT16" t="s">
        <v>7</v>
      </c>
      <c r="BU16" s="25">
        <f>VAR(BU8:BU15)</f>
        <v>5118.1224489795941</v>
      </c>
      <c r="BV16" s="25">
        <f>VAR(BV8:BV14)</f>
        <v>4377.6190476190477</v>
      </c>
      <c r="BW16" s="25">
        <f>VAR(BW8:BW14)</f>
        <v>937.61904761904714</v>
      </c>
      <c r="CC16" s="16" t="s">
        <v>156</v>
      </c>
      <c r="CD16" s="16">
        <v>6153.8036929057344</v>
      </c>
      <c r="CE16" s="16">
        <v>2</v>
      </c>
      <c r="CF16" s="16">
        <v>3076.9018464528672</v>
      </c>
      <c r="CG16" s="16">
        <v>2.7143718540118629</v>
      </c>
      <c r="CH16" s="16">
        <v>9.3263461825975183E-2</v>
      </c>
      <c r="CI16" s="16">
        <v>3.5545571456617879</v>
      </c>
      <c r="CK16" s="24" t="s">
        <v>32</v>
      </c>
      <c r="CL16" s="185">
        <v>0.05</v>
      </c>
      <c r="CN16" t="s">
        <v>532</v>
      </c>
      <c r="CO16" s="185" t="e">
        <f ca="1">CO12*CL11/(CL14*(CO14-CO12))</f>
        <v>#NAME?</v>
      </c>
    </row>
    <row r="17" spans="1:93" ht="15.75" thickBot="1" x14ac:dyDescent="0.3">
      <c r="A17" s="123"/>
      <c r="B17" s="232">
        <v>3</v>
      </c>
      <c r="C17" s="233">
        <v>54</v>
      </c>
      <c r="D17" s="233">
        <v>285</v>
      </c>
      <c r="E17" s="233">
        <v>216</v>
      </c>
      <c r="F17" s="234">
        <v>245</v>
      </c>
      <c r="G17" s="7">
        <f t="shared" si="0"/>
        <v>160.6</v>
      </c>
      <c r="W17" t="s">
        <v>367</v>
      </c>
      <c r="AI17" s="16" t="s">
        <v>176</v>
      </c>
      <c r="AJ17" s="16">
        <v>78908.914285714331</v>
      </c>
      <c r="AK17" s="16">
        <v>24</v>
      </c>
      <c r="AL17" s="16">
        <v>3287.8714285714304</v>
      </c>
      <c r="AM17" s="16"/>
      <c r="AN17" s="16"/>
      <c r="AO17" s="16"/>
      <c r="AR17" s="214" t="e">
        <f ca="1"/>
        <v>#NAME?</v>
      </c>
      <c r="AS17" s="7" t="e">
        <f ca="1"/>
        <v>#NAME?</v>
      </c>
      <c r="AT17" s="7" t="e">
        <f ca="1"/>
        <v>#NAME?</v>
      </c>
      <c r="AU17" s="7" t="e">
        <f ca="1"/>
        <v>#NAME?</v>
      </c>
      <c r="AV17" s="215" t="e">
        <f ca="1"/>
        <v>#NAME?</v>
      </c>
      <c r="AX17" t="s">
        <v>359</v>
      </c>
      <c r="AY17" s="185" t="e">
        <f ca="1">SUMSQ(AR15:AV19)</f>
        <v>#NAME?</v>
      </c>
      <c r="BA17" t="s">
        <v>364</v>
      </c>
      <c r="BB17" s="185" t="e">
        <f ca="1">BB14*(BB15-1)*BB16-2</f>
        <v>#NAME?</v>
      </c>
      <c r="BD17" s="238">
        <v>251</v>
      </c>
      <c r="BE17" s="25">
        <v>261</v>
      </c>
      <c r="BF17" s="25">
        <v>384</v>
      </c>
      <c r="BG17" s="25">
        <v>421</v>
      </c>
      <c r="BH17" s="239">
        <v>342</v>
      </c>
      <c r="BI17" s="238">
        <v>41</v>
      </c>
      <c r="BJ17" s="25">
        <v>168</v>
      </c>
      <c r="BK17" s="25">
        <v>378</v>
      </c>
      <c r="BL17" s="25">
        <v>317</v>
      </c>
      <c r="BM17" s="239">
        <v>470</v>
      </c>
      <c r="BN17" s="238">
        <v>38</v>
      </c>
      <c r="BO17" s="25">
        <v>207</v>
      </c>
      <c r="BP17" s="25">
        <v>289</v>
      </c>
      <c r="BQ17" s="25">
        <v>385</v>
      </c>
      <c r="BR17" s="239">
        <v>373</v>
      </c>
      <c r="CC17" s="16" t="s">
        <v>157</v>
      </c>
      <c r="CD17" s="16">
        <v>20404.069970845478</v>
      </c>
      <c r="CE17" s="16">
        <v>18</v>
      </c>
      <c r="CF17" s="16">
        <v>1133.5594428247487</v>
      </c>
      <c r="CG17" s="16"/>
      <c r="CH17" s="16"/>
      <c r="CI17" s="16"/>
      <c r="CK17" s="24" t="s">
        <v>74</v>
      </c>
      <c r="CL17" s="185">
        <f>CHIINV(CL16,CL14)</f>
        <v>43.772971825742189</v>
      </c>
      <c r="CN17" t="s">
        <v>98</v>
      </c>
      <c r="CO17" s="185" t="e">
        <f ca="1">IF(CO11&gt;CL12^2,CO15,CO16)</f>
        <v>#NAME?</v>
      </c>
    </row>
    <row r="18" spans="1:93" x14ac:dyDescent="0.25">
      <c r="A18" s="212" t="s">
        <v>51</v>
      </c>
      <c r="B18" s="229">
        <v>118</v>
      </c>
      <c r="C18" s="230">
        <v>124</v>
      </c>
      <c r="D18" s="230">
        <v>365</v>
      </c>
      <c r="E18" s="230">
        <v>311</v>
      </c>
      <c r="F18" s="231">
        <v>331</v>
      </c>
      <c r="G18" s="7">
        <f t="shared" si="0"/>
        <v>249.8</v>
      </c>
      <c r="W18" s="191" t="s">
        <v>160</v>
      </c>
      <c r="X18" s="191" t="s">
        <v>111</v>
      </c>
      <c r="Y18" s="191" t="s">
        <v>41</v>
      </c>
      <c r="Z18" s="191" t="s">
        <v>115</v>
      </c>
      <c r="AA18" s="191" t="s">
        <v>98</v>
      </c>
      <c r="AB18" s="191" t="s">
        <v>83</v>
      </c>
      <c r="AC18" s="191" t="s">
        <v>161</v>
      </c>
      <c r="AI18" s="16"/>
      <c r="AJ18" s="16"/>
      <c r="AK18" s="16"/>
      <c r="AL18" s="16"/>
      <c r="AM18" s="16"/>
      <c r="AN18" s="16"/>
      <c r="AO18" s="16"/>
      <c r="AR18" s="214" t="e">
        <f ca="1"/>
        <v>#NAME?</v>
      </c>
      <c r="AS18" s="7" t="e">
        <f ca="1"/>
        <v>#NAME?</v>
      </c>
      <c r="AT18" s="7" t="e">
        <f ca="1"/>
        <v>#NAME?</v>
      </c>
      <c r="AU18" s="7" t="e">
        <f ca="1"/>
        <v>#NAME?</v>
      </c>
      <c r="AV18" s="215" t="e">
        <f ca="1"/>
        <v>#NAME?</v>
      </c>
      <c r="AX18" t="s">
        <v>360</v>
      </c>
      <c r="AY18" s="185" t="e">
        <f ca="1">SUMSQ(AR20:AV20)</f>
        <v>#NAME?</v>
      </c>
      <c r="BA18" t="s">
        <v>365</v>
      </c>
      <c r="BB18" s="185" t="e">
        <f ca="1">(BB15-1)*(BB14-1-(BB15-1)*BB16)</f>
        <v>#NAME?</v>
      </c>
      <c r="BD18" s="238">
        <v>241</v>
      </c>
      <c r="BE18" s="25">
        <v>314</v>
      </c>
      <c r="BF18" s="25">
        <v>423</v>
      </c>
      <c r="BG18" s="25">
        <v>415</v>
      </c>
      <c r="BH18" s="239">
        <v>468</v>
      </c>
      <c r="BI18" s="238">
        <v>200</v>
      </c>
      <c r="BJ18" s="25">
        <v>157</v>
      </c>
      <c r="BK18" s="25">
        <v>283</v>
      </c>
      <c r="BL18" s="25">
        <v>259</v>
      </c>
      <c r="BM18" s="239">
        <v>273</v>
      </c>
      <c r="BN18" s="238">
        <v>71</v>
      </c>
      <c r="BO18" s="25">
        <v>211</v>
      </c>
      <c r="BP18" s="25">
        <v>356</v>
      </c>
      <c r="BQ18" s="25">
        <v>380</v>
      </c>
      <c r="BR18" s="239">
        <v>305</v>
      </c>
      <c r="CC18" s="16"/>
      <c r="CD18" s="16"/>
      <c r="CE18" s="16"/>
      <c r="CF18" s="16"/>
      <c r="CG18" s="16"/>
      <c r="CH18" s="16"/>
      <c r="CI18" s="16"/>
      <c r="CK18" s="24" t="s">
        <v>164</v>
      </c>
      <c r="CL18" s="117" t="e">
        <f ca="1">IF(CL15&lt;CL16,"yes","no")</f>
        <v>#NAME?</v>
      </c>
      <c r="CN18" t="s">
        <v>48</v>
      </c>
      <c r="CO18" s="185" t="e">
        <f ca="1">F_DIST_RT(CO17,CL14,CO12)</f>
        <v>#NAME?</v>
      </c>
    </row>
    <row r="19" spans="1:93" ht="15.75" thickBot="1" x14ac:dyDescent="0.3">
      <c r="A19" s="185"/>
      <c r="B19" s="229">
        <v>83</v>
      </c>
      <c r="C19" s="230">
        <v>266</v>
      </c>
      <c r="D19" s="230">
        <v>382</v>
      </c>
      <c r="E19" s="230">
        <v>369</v>
      </c>
      <c r="F19" s="231">
        <v>295</v>
      </c>
      <c r="G19" s="7">
        <f t="shared" si="0"/>
        <v>279</v>
      </c>
      <c r="W19" s="16" t="s">
        <v>481</v>
      </c>
      <c r="X19" s="16">
        <f>X10</f>
        <v>1025800.38095238</v>
      </c>
      <c r="Y19" s="16" t="e">
        <f ca="1">Y10*$AY$48</f>
        <v>#NAME?</v>
      </c>
      <c r="Z19" s="16" t="e">
        <f ca="1">X19/Y19</f>
        <v>#NAME?</v>
      </c>
      <c r="AA19" s="16" t="e">
        <f ca="1">Z19/Z21</f>
        <v>#NAME?</v>
      </c>
      <c r="AB19" t="e">
        <f ca="1">F_DIST_RT(AA19,Y19,Y21)</f>
        <v>#NAME?</v>
      </c>
      <c r="AC19" t="e">
        <f ca="1">F_INV_RT(0.05,Y19,Y21)</f>
        <v>#NAME?</v>
      </c>
      <c r="AI19" s="17" t="s">
        <v>1</v>
      </c>
      <c r="AJ19" s="17">
        <v>549316.74285714282</v>
      </c>
      <c r="AK19" s="17">
        <v>34</v>
      </c>
      <c r="AL19" s="17"/>
      <c r="AM19" s="17"/>
      <c r="AN19" s="17"/>
      <c r="AO19" s="17"/>
      <c r="AR19" s="112" t="e">
        <f ca="1"/>
        <v>#NAME?</v>
      </c>
      <c r="AS19" s="113" t="e">
        <f ca="1"/>
        <v>#NAME?</v>
      </c>
      <c r="AT19" s="113" t="e">
        <f ca="1"/>
        <v>#NAME?</v>
      </c>
      <c r="AU19" s="113" t="e">
        <f ca="1"/>
        <v>#NAME?</v>
      </c>
      <c r="AV19" s="120" t="e">
        <f ca="1"/>
        <v>#NAME?</v>
      </c>
      <c r="AX19" t="s">
        <v>361</v>
      </c>
      <c r="AY19" s="185" t="e">
        <f ca="1">(AY14*(AY15-AY16))^2</f>
        <v>#NAME?</v>
      </c>
      <c r="BA19" t="s">
        <v>366</v>
      </c>
      <c r="BB19" s="123" t="e">
        <f ca="1">MIN(BB17/BB18,1)</f>
        <v>#NAME?</v>
      </c>
      <c r="BD19" s="238">
        <v>154</v>
      </c>
      <c r="BE19" s="25">
        <v>167</v>
      </c>
      <c r="BF19" s="25">
        <v>257</v>
      </c>
      <c r="BG19" s="25">
        <v>275</v>
      </c>
      <c r="BH19" s="239">
        <v>332</v>
      </c>
      <c r="BI19" s="238">
        <v>34</v>
      </c>
      <c r="BJ19" s="25">
        <v>86</v>
      </c>
      <c r="BK19" s="25">
        <v>351</v>
      </c>
      <c r="BL19" s="25">
        <v>280</v>
      </c>
      <c r="BM19" s="239">
        <v>320</v>
      </c>
      <c r="BN19" s="238">
        <v>123</v>
      </c>
      <c r="BO19" s="25">
        <v>331</v>
      </c>
      <c r="BP19" s="25">
        <v>407</v>
      </c>
      <c r="BQ19" s="25">
        <v>461</v>
      </c>
      <c r="BR19" s="239">
        <v>445</v>
      </c>
      <c r="CC19" s="17" t="s">
        <v>1</v>
      </c>
      <c r="CD19" s="17">
        <v>26557.873663751212</v>
      </c>
      <c r="CE19" s="17">
        <v>20</v>
      </c>
      <c r="CF19" s="17"/>
      <c r="CG19" s="17"/>
      <c r="CH19" s="17"/>
      <c r="CI19" s="17"/>
      <c r="CN19" t="s">
        <v>119</v>
      </c>
      <c r="CO19" s="185">
        <f>FINV(CL16,CL14,CO12)</f>
        <v>1.4703025266685064</v>
      </c>
    </row>
    <row r="20" spans="1:93" x14ac:dyDescent="0.25">
      <c r="A20" s="185"/>
      <c r="B20" s="229">
        <v>38</v>
      </c>
      <c r="C20" s="230">
        <v>207</v>
      </c>
      <c r="D20" s="230">
        <v>289</v>
      </c>
      <c r="E20" s="230">
        <v>385</v>
      </c>
      <c r="F20" s="231">
        <v>373</v>
      </c>
      <c r="G20" s="7">
        <f t="shared" si="0"/>
        <v>258.39999999999998</v>
      </c>
      <c r="W20" s="39" t="s">
        <v>484</v>
      </c>
      <c r="X20">
        <f>X11</f>
        <v>38740.076190477121</v>
      </c>
      <c r="Y20" s="16" t="e">
        <f ca="1">Y11*$AY$48</f>
        <v>#NAME?</v>
      </c>
      <c r="Z20" s="16" t="e">
        <f ca="1">X20/Y20</f>
        <v>#NAME?</v>
      </c>
      <c r="AA20" t="e">
        <f ca="1">Z20/Z21</f>
        <v>#NAME?</v>
      </c>
      <c r="AB20" t="e">
        <f ca="1">F_DIST_RT(AA20,Y20,Y21)</f>
        <v>#NAME?</v>
      </c>
      <c r="AC20" t="e">
        <f ca="1">F_INV_RT(0.05,Y20,Y21)</f>
        <v>#NAME?</v>
      </c>
      <c r="AQ20" t="s">
        <v>6</v>
      </c>
      <c r="AR20" t="e">
        <f ca="1">AVERAGE(AR15:AR19)</f>
        <v>#NAME?</v>
      </c>
      <c r="AS20" t="e">
        <f ca="1">AVERAGE(AS15:AS19)</f>
        <v>#NAME?</v>
      </c>
      <c r="AT20" t="e">
        <f ca="1">AVERAGE(AT15:AT19)</f>
        <v>#NAME?</v>
      </c>
      <c r="AU20" t="e">
        <f ca="1">AVERAGE(AU15:AU19)</f>
        <v>#NAME?</v>
      </c>
      <c r="AV20" t="e">
        <f ca="1">AVERAGE(AV15:AV19)</f>
        <v>#NAME?</v>
      </c>
      <c r="AX20" t="s">
        <v>362</v>
      </c>
      <c r="AY20" s="185" t="e">
        <f ca="1">(AY14-1)*(AY17-2*AY14*AY18+AY14^2*AY16^2)</f>
        <v>#NAME?</v>
      </c>
      <c r="BD20" s="238">
        <v>103</v>
      </c>
      <c r="BE20" s="25">
        <v>286</v>
      </c>
      <c r="BF20" s="25">
        <v>401</v>
      </c>
      <c r="BG20" s="25">
        <v>291</v>
      </c>
      <c r="BH20" s="239">
        <v>367</v>
      </c>
      <c r="BI20" s="238">
        <v>29</v>
      </c>
      <c r="BJ20" s="25">
        <v>81</v>
      </c>
      <c r="BK20" s="25">
        <v>193</v>
      </c>
      <c r="BL20" s="25">
        <v>240</v>
      </c>
      <c r="BM20" s="239">
        <v>233</v>
      </c>
      <c r="BN20" s="238">
        <v>71</v>
      </c>
      <c r="BO20" s="25">
        <v>285</v>
      </c>
      <c r="BP20" s="25">
        <v>471</v>
      </c>
      <c r="BQ20" s="25">
        <v>407</v>
      </c>
      <c r="BR20" s="239">
        <v>433</v>
      </c>
      <c r="CN20" t="s">
        <v>164</v>
      </c>
      <c r="CO20" s="117" t="e">
        <f ca="1">IF(CO18&lt;CL16,"yes","no")</f>
        <v>#NAME?</v>
      </c>
    </row>
    <row r="21" spans="1:93" ht="15.75" thickBot="1" x14ac:dyDescent="0.3">
      <c r="A21" s="185"/>
      <c r="B21" s="229">
        <v>71</v>
      </c>
      <c r="C21" s="230">
        <v>211</v>
      </c>
      <c r="D21" s="230">
        <v>356</v>
      </c>
      <c r="E21" s="230">
        <v>380</v>
      </c>
      <c r="F21" s="231">
        <v>305</v>
      </c>
      <c r="G21" s="7">
        <f t="shared" si="0"/>
        <v>264.60000000000002</v>
      </c>
      <c r="W21" s="16" t="s">
        <v>176</v>
      </c>
      <c r="X21">
        <f>X12</f>
        <v>161075.14285714249</v>
      </c>
      <c r="Y21" s="16" t="e">
        <f ca="1">Y12*$AY$48</f>
        <v>#NAME?</v>
      </c>
      <c r="Z21" s="16" t="e">
        <f ca="1">X21/Y21</f>
        <v>#NAME?</v>
      </c>
      <c r="AI21" t="s">
        <v>495</v>
      </c>
      <c r="AQ21" t="s">
        <v>7</v>
      </c>
      <c r="AR21" t="e">
        <f ca="1">INDEX(AR15:AR19,AR14)</f>
        <v>#NAME?</v>
      </c>
      <c r="AS21" t="e">
        <f ca="1">INDEX(AS15:AS19,AS14)</f>
        <v>#NAME?</v>
      </c>
      <c r="AT21" t="e">
        <f ca="1">INDEX(AT15:AT19,AT14)</f>
        <v>#NAME?</v>
      </c>
      <c r="AU21" t="e">
        <f ca="1">INDEX(AU15:AU19,AU14)</f>
        <v>#NAME?</v>
      </c>
      <c r="AV21" t="e">
        <f ca="1">INDEX(AV15:AV19,AV14)</f>
        <v>#NAME?</v>
      </c>
      <c r="AX21" t="s">
        <v>363</v>
      </c>
      <c r="AY21" s="54" t="e">
        <f ca="1">AY19/AY20</f>
        <v>#NAME?</v>
      </c>
      <c r="BA21" t="s">
        <v>410</v>
      </c>
      <c r="BB21" s="213">
        <f>1/(BB15-1)</f>
        <v>0.25</v>
      </c>
      <c r="BD21" s="240">
        <v>230</v>
      </c>
      <c r="BE21" s="241">
        <v>306</v>
      </c>
      <c r="BF21" s="241">
        <v>432</v>
      </c>
      <c r="BG21" s="241">
        <v>386</v>
      </c>
      <c r="BH21" s="242">
        <v>423</v>
      </c>
      <c r="BI21" s="240">
        <v>3</v>
      </c>
      <c r="BJ21" s="241">
        <v>54</v>
      </c>
      <c r="BK21" s="241">
        <v>285</v>
      </c>
      <c r="BL21" s="241">
        <v>216</v>
      </c>
      <c r="BM21" s="242">
        <v>245</v>
      </c>
      <c r="BN21" s="240">
        <v>108</v>
      </c>
      <c r="BO21" s="241">
        <v>247</v>
      </c>
      <c r="BP21" s="241">
        <v>317</v>
      </c>
      <c r="BQ21" s="241">
        <v>307</v>
      </c>
      <c r="BR21" s="242">
        <v>324</v>
      </c>
    </row>
    <row r="22" spans="1:93" x14ac:dyDescent="0.25">
      <c r="A22" s="185"/>
      <c r="B22" s="229">
        <v>123</v>
      </c>
      <c r="C22" s="230">
        <v>331</v>
      </c>
      <c r="D22" s="230">
        <v>407</v>
      </c>
      <c r="E22" s="230">
        <v>461</v>
      </c>
      <c r="F22" s="231">
        <v>445</v>
      </c>
      <c r="G22" s="7">
        <f t="shared" si="0"/>
        <v>353.4</v>
      </c>
      <c r="AI22" s="194" t="s">
        <v>160</v>
      </c>
      <c r="AJ22" s="194" t="s">
        <v>111</v>
      </c>
      <c r="AK22" s="194" t="s">
        <v>41</v>
      </c>
      <c r="AL22" s="194" t="s">
        <v>115</v>
      </c>
      <c r="AM22" s="194" t="s">
        <v>98</v>
      </c>
      <c r="AN22" s="194" t="s">
        <v>83</v>
      </c>
      <c r="AO22" s="194" t="s">
        <v>161</v>
      </c>
      <c r="BU22" t="s">
        <v>477</v>
      </c>
      <c r="CC22" t="s">
        <v>158</v>
      </c>
    </row>
    <row r="23" spans="1:93" ht="15.75" thickBot="1" x14ac:dyDescent="0.3">
      <c r="A23" s="185"/>
      <c r="B23" s="229">
        <v>71</v>
      </c>
      <c r="C23" s="230">
        <v>285</v>
      </c>
      <c r="D23" s="230">
        <v>471</v>
      </c>
      <c r="E23" s="230">
        <v>407</v>
      </c>
      <c r="F23" s="231">
        <v>433</v>
      </c>
      <c r="G23" s="7">
        <f t="shared" si="0"/>
        <v>333.4</v>
      </c>
      <c r="W23" t="s">
        <v>470</v>
      </c>
      <c r="AI23" s="16" t="s">
        <v>99</v>
      </c>
      <c r="AJ23" s="16">
        <v>50063.599999999977</v>
      </c>
      <c r="AK23" s="16">
        <v>6</v>
      </c>
      <c r="AL23" s="16">
        <v>8343.9333333333288</v>
      </c>
      <c r="AM23" s="16">
        <v>4.6952211118360836</v>
      </c>
      <c r="AN23" s="16">
        <v>2.7144649208904891E-3</v>
      </c>
      <c r="AO23" s="16">
        <v>2.5081888234232559</v>
      </c>
      <c r="AR23">
        <v>1</v>
      </c>
      <c r="AS23">
        <f>AR23+1</f>
        <v>2</v>
      </c>
      <c r="AT23">
        <f>AS23+1</f>
        <v>3</v>
      </c>
      <c r="AU23">
        <f>AT23+1</f>
        <v>4</v>
      </c>
      <c r="AV23">
        <f>AU23+1</f>
        <v>5</v>
      </c>
      <c r="AX23" t="s">
        <v>356</v>
      </c>
      <c r="AY23" s="202">
        <f>$K$5</f>
        <v>5</v>
      </c>
      <c r="BA23" t="s">
        <v>355</v>
      </c>
      <c r="BB23" s="212">
        <f>$L$5</f>
        <v>7</v>
      </c>
      <c r="BE23" s="193" t="s">
        <v>503</v>
      </c>
      <c r="BF23" s="193" t="s">
        <v>504</v>
      </c>
      <c r="BG23" s="193" t="s">
        <v>507</v>
      </c>
      <c r="BH23" s="193" t="s">
        <v>505</v>
      </c>
      <c r="BI23" s="193" t="s">
        <v>506</v>
      </c>
      <c r="BJ23" s="193" t="s">
        <v>512</v>
      </c>
      <c r="BK23" s="193" t="s">
        <v>508</v>
      </c>
      <c r="BL23" s="193" t="s">
        <v>509</v>
      </c>
      <c r="BM23" s="193" t="s">
        <v>510</v>
      </c>
      <c r="BN23" s="193" t="s">
        <v>511</v>
      </c>
      <c r="BO23" s="193" t="s">
        <v>513</v>
      </c>
      <c r="BP23" s="193" t="s">
        <v>514</v>
      </c>
      <c r="BQ23" s="193" t="s">
        <v>515</v>
      </c>
      <c r="BR23" s="193" t="s">
        <v>516</v>
      </c>
      <c r="BS23" s="193" t="s">
        <v>517</v>
      </c>
    </row>
    <row r="24" spans="1:93" ht="15.75" thickBot="1" x14ac:dyDescent="0.3">
      <c r="A24" s="123"/>
      <c r="B24" s="232">
        <v>108</v>
      </c>
      <c r="C24" s="233">
        <v>247</v>
      </c>
      <c r="D24" s="233">
        <v>317</v>
      </c>
      <c r="E24" s="233">
        <v>307</v>
      </c>
      <c r="F24" s="234">
        <v>324</v>
      </c>
      <c r="G24" s="7">
        <f t="shared" si="0"/>
        <v>260.60000000000002</v>
      </c>
      <c r="W24" s="191" t="s">
        <v>160</v>
      </c>
      <c r="X24" s="191" t="s">
        <v>111</v>
      </c>
      <c r="Y24" s="191" t="s">
        <v>41</v>
      </c>
      <c r="Z24" s="191" t="s">
        <v>115</v>
      </c>
      <c r="AA24" s="191" t="s">
        <v>98</v>
      </c>
      <c r="AB24" s="191" t="s">
        <v>83</v>
      </c>
      <c r="AC24" s="191" t="s">
        <v>161</v>
      </c>
      <c r="AI24" s="16" t="s">
        <v>177</v>
      </c>
      <c r="AJ24" s="16">
        <v>431398.11428571434</v>
      </c>
      <c r="AK24" s="16">
        <v>4</v>
      </c>
      <c r="AL24" s="16">
        <v>107849.52857142859</v>
      </c>
      <c r="AM24" s="16">
        <v>60.688090762566894</v>
      </c>
      <c r="AN24" s="16">
        <v>3.3537021761768956E-12</v>
      </c>
      <c r="AO24" s="16">
        <v>2.7762892892514786</v>
      </c>
      <c r="AQ24" t="str">
        <f>A11</f>
        <v>Middle</v>
      </c>
      <c r="AR24" s="209" t="e">
        <f t="array" aca="1" ref="AR24:AV28" ca="1">COV(B11:F17)</f>
        <v>#NAME?</v>
      </c>
      <c r="AS24" s="210" t="e">
        <f ca="1"/>
        <v>#NAME?</v>
      </c>
      <c r="AT24" s="210" t="e">
        <f ca="1"/>
        <v>#NAME?</v>
      </c>
      <c r="AU24" s="210" t="e">
        <f ca="1"/>
        <v>#NAME?</v>
      </c>
      <c r="AV24" s="211" t="e">
        <f ca="1"/>
        <v>#NAME?</v>
      </c>
      <c r="AX24" t="s">
        <v>357</v>
      </c>
      <c r="AY24" s="185" t="e">
        <f ca="1">AVERAGE(AR30:AV30)</f>
        <v>#NAME?</v>
      </c>
      <c r="BA24" t="s">
        <v>356</v>
      </c>
      <c r="BB24" s="185">
        <f>AY23</f>
        <v>5</v>
      </c>
      <c r="BD24" t="s">
        <v>33</v>
      </c>
      <c r="BE24">
        <f>MIN(BD15:BD21)</f>
        <v>65</v>
      </c>
      <c r="BF24">
        <f t="shared" ref="BF24:BS24" si="14">MIN(BE15:BE21)</f>
        <v>167</v>
      </c>
      <c r="BG24">
        <f t="shared" si="14"/>
        <v>257</v>
      </c>
      <c r="BH24">
        <f t="shared" si="14"/>
        <v>275</v>
      </c>
      <c r="BI24">
        <f t="shared" si="14"/>
        <v>298</v>
      </c>
      <c r="BJ24">
        <f t="shared" si="14"/>
        <v>3</v>
      </c>
      <c r="BK24">
        <f t="shared" si="14"/>
        <v>54</v>
      </c>
      <c r="BL24">
        <f t="shared" si="14"/>
        <v>193</v>
      </c>
      <c r="BM24">
        <f t="shared" si="14"/>
        <v>216</v>
      </c>
      <c r="BN24">
        <f t="shared" si="14"/>
        <v>233</v>
      </c>
      <c r="BO24">
        <f t="shared" si="14"/>
        <v>38</v>
      </c>
      <c r="BP24">
        <f t="shared" si="14"/>
        <v>124</v>
      </c>
      <c r="BQ24">
        <f t="shared" si="14"/>
        <v>289</v>
      </c>
      <c r="BR24">
        <f t="shared" si="14"/>
        <v>307</v>
      </c>
      <c r="BS24">
        <f t="shared" si="14"/>
        <v>295</v>
      </c>
      <c r="BU24" s="193" t="s">
        <v>474</v>
      </c>
      <c r="BV24" s="193" t="s">
        <v>475</v>
      </c>
      <c r="BW24" s="193" t="s">
        <v>51</v>
      </c>
      <c r="BX24" s="56"/>
      <c r="BY24" s="193" t="s">
        <v>474</v>
      </c>
      <c r="BZ24" s="193" t="s">
        <v>475</v>
      </c>
      <c r="CA24" s="193" t="s">
        <v>51</v>
      </c>
      <c r="CC24" t="s">
        <v>43</v>
      </c>
    </row>
    <row r="25" spans="1:93" x14ac:dyDescent="0.25">
      <c r="W25" s="16" t="s">
        <v>481</v>
      </c>
      <c r="X25" s="16">
        <f>X10</f>
        <v>1025800.38095238</v>
      </c>
      <c r="Y25" s="16" t="e">
        <f ca="1">Y10*$BB$47</f>
        <v>#NAME?</v>
      </c>
      <c r="Z25" s="16" t="e">
        <f ca="1">X25/Y25</f>
        <v>#NAME?</v>
      </c>
      <c r="AA25" s="16" t="e">
        <f ca="1">Z25/Z27</f>
        <v>#NAME?</v>
      </c>
      <c r="AB25" t="e">
        <f ca="1">F_DIST_RT(AA25,Y25,Y27)</f>
        <v>#NAME?</v>
      </c>
      <c r="AC25" t="e">
        <f ca="1">F_INV_RT(0.05,Y25,Y27)</f>
        <v>#NAME?</v>
      </c>
      <c r="AI25" s="16" t="s">
        <v>176</v>
      </c>
      <c r="AJ25" s="16">
        <v>42650.685714285704</v>
      </c>
      <c r="AK25" s="16">
        <v>24</v>
      </c>
      <c r="AL25" s="16">
        <v>1777.1119047619043</v>
      </c>
      <c r="AM25" s="16"/>
      <c r="AN25" s="16"/>
      <c r="AO25" s="16"/>
      <c r="AR25" s="214" t="e">
        <f ca="1"/>
        <v>#NAME?</v>
      </c>
      <c r="AS25" s="7" t="e">
        <f ca="1"/>
        <v>#NAME?</v>
      </c>
      <c r="AT25" s="7" t="e">
        <f ca="1"/>
        <v>#NAME?</v>
      </c>
      <c r="AU25" s="7" t="e">
        <f ca="1"/>
        <v>#NAME?</v>
      </c>
      <c r="AV25" s="215" t="e">
        <f ca="1"/>
        <v>#NAME?</v>
      </c>
      <c r="AX25" t="s">
        <v>358</v>
      </c>
      <c r="AY25" s="185" t="e">
        <f ca="1">AVERAGE(AR24:AV28)</f>
        <v>#NAME?</v>
      </c>
      <c r="BA25" t="s">
        <v>363</v>
      </c>
      <c r="BB25" s="185" t="e">
        <f ca="1">AY30</f>
        <v>#NAME?</v>
      </c>
      <c r="BD25" t="s">
        <v>34</v>
      </c>
      <c r="BE25">
        <f>QUARTILE(BD15:BD21,1)-BE24</f>
        <v>63.5</v>
      </c>
      <c r="BF25">
        <f t="shared" ref="BF25:BS25" si="15">QUARTILE(BE15:BE21,1)-BF24</f>
        <v>67</v>
      </c>
      <c r="BG25">
        <f t="shared" si="15"/>
        <v>105.5</v>
      </c>
      <c r="BH25">
        <f t="shared" si="15"/>
        <v>54.5</v>
      </c>
      <c r="BI25">
        <f t="shared" si="15"/>
        <v>39</v>
      </c>
      <c r="BJ25">
        <f t="shared" si="15"/>
        <v>21.5</v>
      </c>
      <c r="BK25">
        <f t="shared" si="15"/>
        <v>29.5</v>
      </c>
      <c r="BL25">
        <f t="shared" si="15"/>
        <v>91</v>
      </c>
      <c r="BM25">
        <f t="shared" si="15"/>
        <v>33.5</v>
      </c>
      <c r="BN25">
        <f t="shared" si="15"/>
        <v>23.5</v>
      </c>
      <c r="BO25">
        <f t="shared" si="15"/>
        <v>33</v>
      </c>
      <c r="BP25">
        <f t="shared" si="15"/>
        <v>85</v>
      </c>
      <c r="BQ25">
        <f t="shared" si="15"/>
        <v>47.5</v>
      </c>
      <c r="BR25">
        <f t="shared" si="15"/>
        <v>33</v>
      </c>
      <c r="BS25">
        <f t="shared" si="15"/>
        <v>19.5</v>
      </c>
      <c r="BU25" s="132">
        <f t="shared" ref="BU25:BU31" si="16">C4</f>
        <v>278</v>
      </c>
      <c r="BV25" s="224">
        <f t="shared" ref="BV25:BV31" si="17">C11</f>
        <v>172</v>
      </c>
      <c r="BW25" s="225">
        <f t="shared" ref="BW25:BW31" si="18">C18</f>
        <v>124</v>
      </c>
      <c r="BX25" s="60"/>
      <c r="BY25" s="132">
        <f>ABS(BU25-BU$32)</f>
        <v>18.142857142857167</v>
      </c>
      <c r="BZ25" s="224">
        <f>ABS(BV25-BV$32)</f>
        <v>52.857142857142861</v>
      </c>
      <c r="CA25" s="225">
        <f>ABS(BW25-BW$32)</f>
        <v>114.71428571428572</v>
      </c>
      <c r="CC25" s="194" t="s">
        <v>53</v>
      </c>
      <c r="CD25" s="194" t="s">
        <v>12</v>
      </c>
      <c r="CE25" s="194" t="s">
        <v>11</v>
      </c>
      <c r="CF25" s="194" t="s">
        <v>159</v>
      </c>
      <c r="CG25" s="194" t="s">
        <v>54</v>
      </c>
    </row>
    <row r="26" spans="1:93" x14ac:dyDescent="0.25">
      <c r="W26" s="39" t="s">
        <v>484</v>
      </c>
      <c r="X26">
        <f>X11</f>
        <v>38740.076190477121</v>
      </c>
      <c r="Y26" s="16" t="e">
        <f ca="1">Y11*$BB$47</f>
        <v>#NAME?</v>
      </c>
      <c r="Z26" s="16" t="e">
        <f ca="1">X26/Y26</f>
        <v>#NAME?</v>
      </c>
      <c r="AA26" t="e">
        <f ca="1">Z26/Z27</f>
        <v>#NAME?</v>
      </c>
      <c r="AB26" t="e">
        <f ca="1">F_DIST_RT(AA26,Y26,Y27)</f>
        <v>#NAME?</v>
      </c>
      <c r="AC26" t="e">
        <f ca="1">F_INV_RT(0.05,Y26,Y27)</f>
        <v>#NAME?</v>
      </c>
      <c r="AI26" s="16"/>
      <c r="AJ26" s="16"/>
      <c r="AK26" s="16"/>
      <c r="AL26" s="16"/>
      <c r="AM26" s="16"/>
      <c r="AN26" s="16"/>
      <c r="AO26" s="16"/>
      <c r="AR26" s="214" t="e">
        <f ca="1"/>
        <v>#NAME?</v>
      </c>
      <c r="AS26" s="7" t="e">
        <f ca="1"/>
        <v>#NAME?</v>
      </c>
      <c r="AT26" s="7" t="e">
        <f ca="1"/>
        <v>#NAME?</v>
      </c>
      <c r="AU26" s="7" t="e">
        <f ca="1"/>
        <v>#NAME?</v>
      </c>
      <c r="AV26" s="215" t="e">
        <f ca="1"/>
        <v>#NAME?</v>
      </c>
      <c r="AX26" t="s">
        <v>359</v>
      </c>
      <c r="AY26" s="185" t="e">
        <f ca="1">SUMSQ(AR24:AV28)</f>
        <v>#NAME?</v>
      </c>
      <c r="BA26" t="s">
        <v>364</v>
      </c>
      <c r="BB26" s="185" t="e">
        <f ca="1">BB23*(BB24-1)*BB25-2</f>
        <v>#NAME?</v>
      </c>
      <c r="BD26" t="s">
        <v>35</v>
      </c>
      <c r="BE26">
        <f>MEDIAN(BD15:BD21)-QUARTILE(BD15:BD21,1)</f>
        <v>101.5</v>
      </c>
      <c r="BF26">
        <f t="shared" ref="BF26:BS26" si="19">MEDIAN(BE15:BE21)-QUARTILE(BE15:BE21,1)</f>
        <v>44</v>
      </c>
      <c r="BG26">
        <f t="shared" si="19"/>
        <v>38.5</v>
      </c>
      <c r="BH26">
        <f t="shared" si="19"/>
        <v>52.5</v>
      </c>
      <c r="BI26">
        <f t="shared" si="19"/>
        <v>30</v>
      </c>
      <c r="BJ26">
        <f t="shared" si="19"/>
        <v>9.5</v>
      </c>
      <c r="BK26">
        <f t="shared" si="19"/>
        <v>32.5</v>
      </c>
      <c r="BL26">
        <f t="shared" si="19"/>
        <v>23</v>
      </c>
      <c r="BM26">
        <f t="shared" si="19"/>
        <v>11.5</v>
      </c>
      <c r="BN26">
        <f t="shared" si="19"/>
        <v>16.5</v>
      </c>
      <c r="BO26">
        <f t="shared" si="19"/>
        <v>12</v>
      </c>
      <c r="BP26">
        <f t="shared" si="19"/>
        <v>38</v>
      </c>
      <c r="BQ26">
        <f t="shared" si="19"/>
        <v>28.5</v>
      </c>
      <c r="BR26">
        <f t="shared" si="19"/>
        <v>40</v>
      </c>
      <c r="BS26">
        <f t="shared" si="19"/>
        <v>16.5</v>
      </c>
      <c r="BU26" s="214">
        <f t="shared" si="16"/>
        <v>207</v>
      </c>
      <c r="BV26" s="7">
        <f t="shared" si="17"/>
        <v>116</v>
      </c>
      <c r="BW26" s="215">
        <f t="shared" si="18"/>
        <v>266</v>
      </c>
      <c r="BX26" s="60"/>
      <c r="BY26" s="214">
        <f t="shared" ref="BY26:BY31" si="20">ABS(BU26-BU$32)</f>
        <v>52.857142857142833</v>
      </c>
      <c r="BZ26" s="7">
        <f t="shared" ref="BZ26:BZ31" si="21">ABS(BV26-BV$32)</f>
        <v>3.1428571428571388</v>
      </c>
      <c r="CA26" s="215">
        <f t="shared" ref="CA26:CA31" si="22">ABS(BW26-BW$32)</f>
        <v>27.285714285714278</v>
      </c>
      <c r="CC26" s="16" t="s">
        <v>474</v>
      </c>
      <c r="CD26" s="16">
        <v>7</v>
      </c>
      <c r="CE26" s="16">
        <v>291.4285714285715</v>
      </c>
      <c r="CF26" s="16">
        <v>41.632653061224502</v>
      </c>
      <c r="CG26" s="16">
        <v>892.98542274052397</v>
      </c>
    </row>
    <row r="27" spans="1:93" ht="15.75" thickBot="1" x14ac:dyDescent="0.3">
      <c r="W27" s="16" t="s">
        <v>176</v>
      </c>
      <c r="X27">
        <f>X12</f>
        <v>161075.14285714249</v>
      </c>
      <c r="Y27" s="16" t="e">
        <f ca="1">Y12*$BB$47</f>
        <v>#NAME?</v>
      </c>
      <c r="Z27" s="16" t="e">
        <f ca="1">X27/Y27</f>
        <v>#NAME?</v>
      </c>
      <c r="AI27" s="17" t="s">
        <v>1</v>
      </c>
      <c r="AJ27" s="17">
        <v>524112.4</v>
      </c>
      <c r="AK27" s="17">
        <v>34</v>
      </c>
      <c r="AL27" s="17"/>
      <c r="AM27" s="17"/>
      <c r="AN27" s="17"/>
      <c r="AO27" s="17"/>
      <c r="AR27" s="214" t="e">
        <f ca="1"/>
        <v>#NAME?</v>
      </c>
      <c r="AS27" s="7" t="e">
        <f ca="1"/>
        <v>#NAME?</v>
      </c>
      <c r="AT27" s="7" t="e">
        <f ca="1"/>
        <v>#NAME?</v>
      </c>
      <c r="AU27" s="7" t="e">
        <f ca="1"/>
        <v>#NAME?</v>
      </c>
      <c r="AV27" s="215" t="e">
        <f ca="1"/>
        <v>#NAME?</v>
      </c>
      <c r="AX27" t="s">
        <v>360</v>
      </c>
      <c r="AY27" s="185" t="e">
        <f ca="1">SUMSQ(AR29:AV29)</f>
        <v>#NAME?</v>
      </c>
      <c r="BA27" t="s">
        <v>365</v>
      </c>
      <c r="BB27" s="185" t="e">
        <f ca="1">(BB24-1)*(BB23-1-(BB24-1)*BB25)</f>
        <v>#NAME?</v>
      </c>
      <c r="BD27" t="s">
        <v>36</v>
      </c>
      <c r="BE27">
        <f>QUARTILE(BD15:BD21,3)-MEDIAN(BD15:BD21)</f>
        <v>15.5</v>
      </c>
      <c r="BF27">
        <f t="shared" ref="BF27:BS27" si="23">QUARTILE(BE15:BE21,3)-MEDIAN(BE15:BE21)</f>
        <v>18</v>
      </c>
      <c r="BG27">
        <f t="shared" si="23"/>
        <v>26.5</v>
      </c>
      <c r="BH27">
        <f t="shared" si="23"/>
        <v>18.5</v>
      </c>
      <c r="BI27">
        <f t="shared" si="23"/>
        <v>72.5</v>
      </c>
      <c r="BJ27">
        <f t="shared" si="23"/>
        <v>13.5</v>
      </c>
      <c r="BK27">
        <f t="shared" si="23"/>
        <v>46.5</v>
      </c>
      <c r="BL27">
        <f t="shared" si="23"/>
        <v>57.5</v>
      </c>
      <c r="BM27">
        <f t="shared" si="23"/>
        <v>37.5</v>
      </c>
      <c r="BN27">
        <f t="shared" si="23"/>
        <v>67</v>
      </c>
      <c r="BO27">
        <f t="shared" si="23"/>
        <v>30</v>
      </c>
      <c r="BP27">
        <f t="shared" si="23"/>
        <v>28.5</v>
      </c>
      <c r="BQ27">
        <f t="shared" si="23"/>
        <v>29.5</v>
      </c>
      <c r="BR27">
        <f t="shared" si="23"/>
        <v>16</v>
      </c>
      <c r="BS27">
        <f t="shared" si="23"/>
        <v>72</v>
      </c>
      <c r="BU27" s="214">
        <f t="shared" si="16"/>
        <v>261</v>
      </c>
      <c r="BV27" s="7">
        <f t="shared" si="17"/>
        <v>168</v>
      </c>
      <c r="BW27" s="215">
        <f t="shared" si="18"/>
        <v>207</v>
      </c>
      <c r="BX27" s="60"/>
      <c r="BY27" s="214">
        <f t="shared" si="20"/>
        <v>1.1428571428571672</v>
      </c>
      <c r="BZ27" s="7">
        <f t="shared" si="21"/>
        <v>48.857142857142861</v>
      </c>
      <c r="CA27" s="215">
        <f t="shared" si="22"/>
        <v>31.714285714285722</v>
      </c>
      <c r="CC27" s="16" t="s">
        <v>475</v>
      </c>
      <c r="CD27" s="16">
        <v>7</v>
      </c>
      <c r="CE27" s="16">
        <v>279.14285714285711</v>
      </c>
      <c r="CF27" s="16">
        <v>39.877551020408156</v>
      </c>
      <c r="CG27" s="16">
        <v>381.55393586005874</v>
      </c>
    </row>
    <row r="28" spans="1:93" ht="15.75" thickBot="1" x14ac:dyDescent="0.3">
      <c r="AR28" s="112" t="e">
        <f ca="1"/>
        <v>#NAME?</v>
      </c>
      <c r="AS28" s="113" t="e">
        <f ca="1"/>
        <v>#NAME?</v>
      </c>
      <c r="AT28" s="113" t="e">
        <f ca="1"/>
        <v>#NAME?</v>
      </c>
      <c r="AU28" s="113" t="e">
        <f ca="1"/>
        <v>#NAME?</v>
      </c>
      <c r="AV28" s="120" t="e">
        <f ca="1"/>
        <v>#NAME?</v>
      </c>
      <c r="AX28" t="s">
        <v>361</v>
      </c>
      <c r="AY28" s="185" t="e">
        <f ca="1">(AY23*(AY24-AY25))^2</f>
        <v>#NAME?</v>
      </c>
      <c r="BA28" t="s">
        <v>366</v>
      </c>
      <c r="BB28" s="123" t="e">
        <f ca="1">MIN(BB26/BB27,1)</f>
        <v>#NAME?</v>
      </c>
      <c r="BD28" t="s">
        <v>37</v>
      </c>
      <c r="BE28">
        <f>MAX(BD15:BD21)-QUARTILE(BD15:BD21,3)</f>
        <v>5.5</v>
      </c>
      <c r="BF28">
        <f t="shared" ref="BF28:BS28" si="24">MAX(BE15:BE21)-QUARTILE(BE15:BE21,3)</f>
        <v>18</v>
      </c>
      <c r="BG28">
        <f t="shared" si="24"/>
        <v>14.5</v>
      </c>
      <c r="BH28">
        <f t="shared" si="24"/>
        <v>20.5</v>
      </c>
      <c r="BI28">
        <f t="shared" si="24"/>
        <v>28.5</v>
      </c>
      <c r="BJ28">
        <f t="shared" si="24"/>
        <v>152.5</v>
      </c>
      <c r="BK28">
        <f t="shared" si="24"/>
        <v>9.5</v>
      </c>
      <c r="BL28">
        <f t="shared" si="24"/>
        <v>60.5</v>
      </c>
      <c r="BM28">
        <f t="shared" si="24"/>
        <v>99.5</v>
      </c>
      <c r="BN28">
        <f t="shared" si="24"/>
        <v>130</v>
      </c>
      <c r="BO28">
        <f t="shared" si="24"/>
        <v>10</v>
      </c>
      <c r="BP28">
        <f t="shared" si="24"/>
        <v>55.5</v>
      </c>
      <c r="BQ28">
        <f t="shared" si="24"/>
        <v>76.5</v>
      </c>
      <c r="BR28">
        <f t="shared" si="24"/>
        <v>65</v>
      </c>
      <c r="BS28">
        <f t="shared" si="24"/>
        <v>42</v>
      </c>
      <c r="BU28" s="214">
        <f t="shared" si="16"/>
        <v>314</v>
      </c>
      <c r="BV28" s="7">
        <f t="shared" si="17"/>
        <v>157</v>
      </c>
      <c r="BW28" s="215">
        <f t="shared" si="18"/>
        <v>211</v>
      </c>
      <c r="BX28" s="60"/>
      <c r="BY28" s="214">
        <f t="shared" si="20"/>
        <v>54.142857142857167</v>
      </c>
      <c r="BZ28" s="7">
        <f t="shared" si="21"/>
        <v>37.857142857142861</v>
      </c>
      <c r="CA28" s="215">
        <f t="shared" si="22"/>
        <v>27.714285714285722</v>
      </c>
      <c r="CC28" s="17" t="s">
        <v>51</v>
      </c>
      <c r="CD28" s="17">
        <v>7</v>
      </c>
      <c r="CE28" s="17">
        <v>348.28571428571428</v>
      </c>
      <c r="CF28" s="17">
        <v>49.755102040816325</v>
      </c>
      <c r="CG28" s="17">
        <v>1512.7395529640442</v>
      </c>
    </row>
    <row r="29" spans="1:93" x14ac:dyDescent="0.25">
      <c r="AI29" t="s">
        <v>472</v>
      </c>
      <c r="AL29">
        <f>(AL9+AL17+AL25)/3</f>
        <v>2237.1547619047633</v>
      </c>
      <c r="AQ29" t="s">
        <v>6</v>
      </c>
      <c r="AR29" t="e">
        <f ca="1">AVERAGE(AR24:AR28)</f>
        <v>#NAME?</v>
      </c>
      <c r="AS29" t="e">
        <f ca="1">AVERAGE(AS24:AS28)</f>
        <v>#NAME?</v>
      </c>
      <c r="AT29" t="e">
        <f ca="1">AVERAGE(AT24:AT28)</f>
        <v>#NAME?</v>
      </c>
      <c r="AU29" t="e">
        <f ca="1">AVERAGE(AU24:AU28)</f>
        <v>#NAME?</v>
      </c>
      <c r="AV29" t="e">
        <f ca="1">AVERAGE(AV24:AV28)</f>
        <v>#NAME?</v>
      </c>
      <c r="AX29" t="s">
        <v>362</v>
      </c>
      <c r="AY29" s="185" t="e">
        <f ca="1">(AY23-1)*(AY26-2*AY23*AY27+AY23^2*AY25^2)</f>
        <v>#NAME?</v>
      </c>
      <c r="BU29" s="214">
        <f t="shared" si="16"/>
        <v>167</v>
      </c>
      <c r="BV29" s="7">
        <f t="shared" si="17"/>
        <v>86</v>
      </c>
      <c r="BW29" s="215">
        <f t="shared" si="18"/>
        <v>331</v>
      </c>
      <c r="BX29" s="60"/>
      <c r="BY29" s="214">
        <f t="shared" si="20"/>
        <v>92.857142857142833</v>
      </c>
      <c r="BZ29" s="7">
        <f t="shared" si="21"/>
        <v>33.142857142857139</v>
      </c>
      <c r="CA29" s="215">
        <f t="shared" si="22"/>
        <v>92.285714285714278</v>
      </c>
    </row>
    <row r="30" spans="1:93" x14ac:dyDescent="0.25">
      <c r="AQ30" t="s">
        <v>7</v>
      </c>
      <c r="AR30" t="e">
        <f ca="1">INDEX(AR24:AR28,AR23)</f>
        <v>#NAME?</v>
      </c>
      <c r="AS30" t="e">
        <f ca="1">INDEX(AS24:AS28,AS23)</f>
        <v>#NAME?</v>
      </c>
      <c r="AT30" t="e">
        <f ca="1">INDEX(AT24:AT28,AT23)</f>
        <v>#NAME?</v>
      </c>
      <c r="AU30" t="e">
        <f ca="1">INDEX(AU24:AU28,AU23)</f>
        <v>#NAME?</v>
      </c>
      <c r="AV30" t="e">
        <f ca="1">INDEX(AV24:AV28,AV23)</f>
        <v>#NAME?</v>
      </c>
      <c r="AX30" t="s">
        <v>363</v>
      </c>
      <c r="AY30" s="54" t="e">
        <f ca="1">AY28/AY29</f>
        <v>#NAME?</v>
      </c>
      <c r="BA30" t="s">
        <v>410</v>
      </c>
      <c r="BB30" s="213">
        <f>1/(BB24-1)</f>
        <v>0.25</v>
      </c>
      <c r="BU30" s="214">
        <f t="shared" si="16"/>
        <v>286</v>
      </c>
      <c r="BV30" s="7">
        <f t="shared" si="17"/>
        <v>81</v>
      </c>
      <c r="BW30" s="215">
        <f t="shared" si="18"/>
        <v>285</v>
      </c>
      <c r="BX30" s="60"/>
      <c r="BY30" s="214">
        <f t="shared" si="20"/>
        <v>26.142857142857167</v>
      </c>
      <c r="BZ30" s="7">
        <f t="shared" si="21"/>
        <v>38.142857142857139</v>
      </c>
      <c r="CA30" s="215">
        <f t="shared" si="22"/>
        <v>46.285714285714278</v>
      </c>
    </row>
    <row r="31" spans="1:93" ht="15.75" thickBot="1" x14ac:dyDescent="0.3">
      <c r="AI31" t="s">
        <v>538</v>
      </c>
      <c r="BU31" s="112">
        <f t="shared" si="16"/>
        <v>306</v>
      </c>
      <c r="BV31" s="113">
        <f t="shared" si="17"/>
        <v>54</v>
      </c>
      <c r="BW31" s="120">
        <f t="shared" si="18"/>
        <v>247</v>
      </c>
      <c r="BX31" s="60"/>
      <c r="BY31" s="112">
        <f t="shared" si="20"/>
        <v>46.142857142857167</v>
      </c>
      <c r="BZ31" s="113">
        <f t="shared" si="21"/>
        <v>65.142857142857139</v>
      </c>
      <c r="CA31" s="120">
        <f t="shared" si="22"/>
        <v>8.2857142857142776</v>
      </c>
      <c r="CC31" t="s">
        <v>125</v>
      </c>
    </row>
    <row r="32" spans="1:93" x14ac:dyDescent="0.25">
      <c r="AR32">
        <v>1</v>
      </c>
      <c r="AS32">
        <f>AR32+1</f>
        <v>2</v>
      </c>
      <c r="AT32">
        <f>AS32+1</f>
        <v>3</v>
      </c>
      <c r="AU32">
        <f>AT32+1</f>
        <v>4</v>
      </c>
      <c r="AV32">
        <f>AU32+1</f>
        <v>5</v>
      </c>
      <c r="AX32" t="s">
        <v>356</v>
      </c>
      <c r="AY32" s="202">
        <f>$K$5</f>
        <v>5</v>
      </c>
      <c r="BA32" t="s">
        <v>355</v>
      </c>
      <c r="BB32" s="212">
        <f>$L$5</f>
        <v>7</v>
      </c>
      <c r="BT32" t="s">
        <v>6</v>
      </c>
      <c r="BU32" s="25">
        <f>AVERAGE(BU25:BU31)</f>
        <v>259.85714285714283</v>
      </c>
      <c r="BV32" s="25">
        <f>AVERAGE(BV25:BV31)</f>
        <v>119.14285714285714</v>
      </c>
      <c r="BW32" s="25">
        <f>AVERAGE(BW25:BW31)</f>
        <v>238.71428571428572</v>
      </c>
      <c r="BX32" s="243"/>
      <c r="BY32" s="243"/>
      <c r="BZ32" s="243"/>
      <c r="CA32" s="243"/>
      <c r="CC32" s="194" t="s">
        <v>160</v>
      </c>
      <c r="CD32" s="194" t="s">
        <v>111</v>
      </c>
      <c r="CE32" s="194" t="s">
        <v>41</v>
      </c>
      <c r="CF32" s="194" t="s">
        <v>115</v>
      </c>
      <c r="CG32" s="194" t="s">
        <v>98</v>
      </c>
      <c r="CH32" s="194" t="s">
        <v>83</v>
      </c>
      <c r="CI32" s="194" t="s">
        <v>161</v>
      </c>
    </row>
    <row r="33" spans="17:87" ht="15.75" thickBot="1" x14ac:dyDescent="0.3">
      <c r="Q33" t="s">
        <v>555</v>
      </c>
      <c r="AI33" t="s">
        <v>537</v>
      </c>
      <c r="AQ33" t="str">
        <f>A18</f>
        <v>Old</v>
      </c>
      <c r="AR33" s="209" t="e">
        <f t="array" aca="1" ref="AR33:AV37" ca="1">COV(B18:F24)</f>
        <v>#NAME?</v>
      </c>
      <c r="AS33" s="210" t="e">
        <f ca="1"/>
        <v>#NAME?</v>
      </c>
      <c r="AT33" s="210" t="e">
        <f ca="1"/>
        <v>#NAME?</v>
      </c>
      <c r="AU33" s="210" t="e">
        <f ca="1"/>
        <v>#NAME?</v>
      </c>
      <c r="AV33" s="211" t="e">
        <f ca="1"/>
        <v>#NAME?</v>
      </c>
      <c r="AX33" t="s">
        <v>357</v>
      </c>
      <c r="AY33" s="185" t="e">
        <f ca="1">AVERAGE(AR39:AV39)</f>
        <v>#NAME?</v>
      </c>
      <c r="BA33" t="s">
        <v>356</v>
      </c>
      <c r="BB33" s="185">
        <f>AY32</f>
        <v>5</v>
      </c>
      <c r="BT33" t="s">
        <v>7</v>
      </c>
      <c r="BU33" s="25">
        <f>VAR(BU25:BU32)</f>
        <v>2498.693877551023</v>
      </c>
      <c r="BV33" s="25">
        <f>VAR(BV25:BV31)</f>
        <v>2236.8095238095243</v>
      </c>
      <c r="BW33" s="25">
        <f>VAR(BW25:BW31)</f>
        <v>4400.9047619047633</v>
      </c>
      <c r="CC33" s="16" t="s">
        <v>156</v>
      </c>
      <c r="CD33" s="16">
        <v>388.78134110786777</v>
      </c>
      <c r="CE33" s="16">
        <v>2</v>
      </c>
      <c r="CF33" s="16">
        <v>194.39067055393389</v>
      </c>
      <c r="CG33" s="16">
        <v>0.20922628490538858</v>
      </c>
      <c r="CH33" s="16">
        <v>0.8131567763088754</v>
      </c>
      <c r="CI33" s="16">
        <v>3.5545571456617879</v>
      </c>
    </row>
    <row r="34" spans="17:87" x14ac:dyDescent="0.25">
      <c r="AI34" s="191" t="s">
        <v>160</v>
      </c>
      <c r="AJ34" s="191" t="s">
        <v>111</v>
      </c>
      <c r="AK34" s="191" t="s">
        <v>41</v>
      </c>
      <c r="AL34" s="191" t="s">
        <v>115</v>
      </c>
      <c r="AM34" s="191" t="s">
        <v>98</v>
      </c>
      <c r="AN34" s="191" t="s">
        <v>83</v>
      </c>
      <c r="AO34" s="191" t="s">
        <v>161</v>
      </c>
      <c r="AR34" s="214" t="e">
        <f ca="1"/>
        <v>#NAME?</v>
      </c>
      <c r="AS34" s="7" t="e">
        <f ca="1"/>
        <v>#NAME?</v>
      </c>
      <c r="AT34" s="7" t="e">
        <f ca="1"/>
        <v>#NAME?</v>
      </c>
      <c r="AU34" s="7" t="e">
        <f ca="1"/>
        <v>#NAME?</v>
      </c>
      <c r="AV34" s="215" t="e">
        <f ca="1"/>
        <v>#NAME?</v>
      </c>
      <c r="AX34" t="s">
        <v>358</v>
      </c>
      <c r="AY34" s="185" t="e">
        <f ca="1">AVERAGE(AR33:AV37)</f>
        <v>#NAME?</v>
      </c>
      <c r="BA34" t="s">
        <v>363</v>
      </c>
      <c r="BB34" s="185" t="e">
        <f ca="1">AY39</f>
        <v>#NAME?</v>
      </c>
      <c r="CC34" s="16" t="s">
        <v>157</v>
      </c>
      <c r="CD34" s="16">
        <v>16723.673469387752</v>
      </c>
      <c r="CE34" s="16">
        <v>18</v>
      </c>
      <c r="CF34" s="16">
        <v>929.0929705215417</v>
      </c>
      <c r="CG34" s="16"/>
      <c r="CH34" s="16"/>
      <c r="CI34" s="16"/>
    </row>
    <row r="35" spans="17:87" x14ac:dyDescent="0.25">
      <c r="R35" s="12" t="s">
        <v>110</v>
      </c>
      <c r="S35" s="12" t="s">
        <v>111</v>
      </c>
      <c r="T35" s="12" t="s">
        <v>41</v>
      </c>
      <c r="U35" s="12" t="s">
        <v>115</v>
      </c>
      <c r="AI35" s="16" t="s">
        <v>177</v>
      </c>
      <c r="AJ35" s="16">
        <f>AJ8</f>
        <v>220968.45714285711</v>
      </c>
      <c r="AK35" s="16" t="e">
        <f ca="1">AK8*AY53</f>
        <v>#NAME?</v>
      </c>
      <c r="AL35" s="16" t="e">
        <f ca="1">AJ35/AK35</f>
        <v>#NAME?</v>
      </c>
      <c r="AM35" s="16" t="e">
        <f ca="1">AL35/AL36</f>
        <v>#NAME?</v>
      </c>
      <c r="AN35" s="16" t="e">
        <f ca="1">F_DIST_RT(AM35,AK35,AK36)</f>
        <v>#NAME?</v>
      </c>
      <c r="AO35" s="16" t="e">
        <f ca="1">F_INV_RT(0.05,AK35,AK36)</f>
        <v>#NAME?</v>
      </c>
      <c r="AR35" s="214" t="e">
        <f ca="1"/>
        <v>#NAME?</v>
      </c>
      <c r="AS35" s="7" t="e">
        <f ca="1"/>
        <v>#NAME?</v>
      </c>
      <c r="AT35" s="7" t="e">
        <f ca="1"/>
        <v>#NAME?</v>
      </c>
      <c r="AU35" s="7" t="e">
        <f ca="1"/>
        <v>#NAME?</v>
      </c>
      <c r="AV35" s="215" t="e">
        <f ca="1"/>
        <v>#NAME?</v>
      </c>
      <c r="AX35" t="s">
        <v>359</v>
      </c>
      <c r="AY35" s="185" t="e">
        <f ca="1">SUMSQ(AR33:AV37)</f>
        <v>#NAME?</v>
      </c>
      <c r="BA35" t="s">
        <v>364</v>
      </c>
      <c r="BB35" s="185" t="e">
        <f ca="1">BB32*(BB33-1)*BB34-2</f>
        <v>#NAME?</v>
      </c>
      <c r="CC35" s="16"/>
      <c r="CD35" s="16"/>
      <c r="CE35" s="16"/>
      <c r="CF35" s="16"/>
      <c r="CG35" s="16"/>
      <c r="CH35" s="16"/>
      <c r="CI35" s="16"/>
    </row>
    <row r="36" spans="17:87" ht="15.75" thickBot="1" x14ac:dyDescent="0.3">
      <c r="Q36" s="39" t="s">
        <v>489</v>
      </c>
      <c r="R36" s="209">
        <f>L5</f>
        <v>7</v>
      </c>
      <c r="S36" s="210">
        <f>DEVSQ(J9:J11)*R36</f>
        <v>64383.523809523816</v>
      </c>
      <c r="T36" s="210">
        <f>J5-1</f>
        <v>2</v>
      </c>
      <c r="U36" s="211">
        <f>S36/T36</f>
        <v>32191.761904761908</v>
      </c>
      <c r="AI36" s="244" t="s">
        <v>176</v>
      </c>
      <c r="AJ36" s="244">
        <f>AJ9</f>
        <v>39515.542857142922</v>
      </c>
      <c r="AK36" s="244" t="e">
        <f ca="1">AK9*AY53</f>
        <v>#NAME?</v>
      </c>
      <c r="AL36" s="244" t="e">
        <f ca="1">AJ36/AK36</f>
        <v>#NAME?</v>
      </c>
      <c r="AM36" s="244"/>
      <c r="AN36" s="244"/>
      <c r="AO36" s="244"/>
      <c r="AR36" s="214" t="e">
        <f ca="1"/>
        <v>#NAME?</v>
      </c>
      <c r="AS36" s="7" t="e">
        <f ca="1"/>
        <v>#NAME?</v>
      </c>
      <c r="AT36" s="7" t="e">
        <f ca="1"/>
        <v>#NAME?</v>
      </c>
      <c r="AU36" s="7" t="e">
        <f ca="1"/>
        <v>#NAME?</v>
      </c>
      <c r="AV36" s="215" t="e">
        <f ca="1"/>
        <v>#NAME?</v>
      </c>
      <c r="AX36" t="s">
        <v>360</v>
      </c>
      <c r="AY36" s="185" t="e">
        <f ca="1">SUMSQ(AR38:AV38)</f>
        <v>#NAME?</v>
      </c>
      <c r="BA36" t="s">
        <v>365</v>
      </c>
      <c r="BB36" s="185" t="e">
        <f ca="1">(BB33-1)*(BB32-1-(BB33-1)*BB34)</f>
        <v>#NAME?</v>
      </c>
      <c r="CC36" s="17" t="s">
        <v>1</v>
      </c>
      <c r="CD36" s="17">
        <v>17112.454810495619</v>
      </c>
      <c r="CE36" s="17">
        <v>20</v>
      </c>
      <c r="CF36" s="17"/>
      <c r="CG36" s="17"/>
      <c r="CH36" s="17"/>
      <c r="CI36" s="17"/>
    </row>
    <row r="37" spans="17:87" x14ac:dyDescent="0.25">
      <c r="Q37" s="39" t="s">
        <v>490</v>
      </c>
      <c r="R37" s="214">
        <f>L5</f>
        <v>7</v>
      </c>
      <c r="S37" s="7">
        <f>DEVSQ(N9:N11)*R37</f>
        <v>19678.952380952396</v>
      </c>
      <c r="T37" s="7">
        <f>J5-1</f>
        <v>2</v>
      </c>
      <c r="U37" s="215">
        <f>S37/T37</f>
        <v>9839.4761904761981</v>
      </c>
      <c r="AR37" s="112" t="e">
        <f ca="1"/>
        <v>#NAME?</v>
      </c>
      <c r="AS37" s="113" t="e">
        <f ca="1"/>
        <v>#NAME?</v>
      </c>
      <c r="AT37" s="113" t="e">
        <f ca="1"/>
        <v>#NAME?</v>
      </c>
      <c r="AU37" s="113" t="e">
        <f ca="1"/>
        <v>#NAME?</v>
      </c>
      <c r="AV37" s="120" t="e">
        <f ca="1"/>
        <v>#NAME?</v>
      </c>
      <c r="AX37" t="s">
        <v>361</v>
      </c>
      <c r="AY37" s="185" t="e">
        <f ca="1">(AY32*(AY33-AY34))^2</f>
        <v>#NAME?</v>
      </c>
      <c r="BA37" t="s">
        <v>366</v>
      </c>
      <c r="BB37" s="123" t="e">
        <f ca="1">MIN(BB35/BB36,1)</f>
        <v>#NAME?</v>
      </c>
    </row>
    <row r="38" spans="17:87" ht="15.75" thickBot="1" x14ac:dyDescent="0.3">
      <c r="Q38" s="25" t="s">
        <v>176</v>
      </c>
      <c r="R38" s="112"/>
      <c r="S38" s="113">
        <f>S5-S8</f>
        <v>354444.85714285681</v>
      </c>
      <c r="T38" s="113">
        <f>T5-T8</f>
        <v>90</v>
      </c>
      <c r="U38" s="120">
        <f>S38/T38</f>
        <v>3938.2761904761869</v>
      </c>
      <c r="AI38" t="s">
        <v>540</v>
      </c>
      <c r="AQ38" t="s">
        <v>6</v>
      </c>
      <c r="AR38" t="e">
        <f ca="1">AVERAGE(AR33:AR37)</f>
        <v>#NAME?</v>
      </c>
      <c r="AS38" t="e">
        <f ca="1">AVERAGE(AS33:AS37)</f>
        <v>#NAME?</v>
      </c>
      <c r="AT38" t="e">
        <f ca="1">AVERAGE(AT33:AT37)</f>
        <v>#NAME?</v>
      </c>
      <c r="AU38" t="e">
        <f ca="1">AVERAGE(AU33:AU37)</f>
        <v>#NAME?</v>
      </c>
      <c r="AV38" t="e">
        <f ca="1">AVERAGE(AV33:AV37)</f>
        <v>#NAME?</v>
      </c>
      <c r="AX38" t="s">
        <v>362</v>
      </c>
      <c r="AY38" s="185" t="e">
        <f ca="1">(AY32-1)*(AY35-2*AY32*AY36+AY32^2*AY34^2)</f>
        <v>#NAME?</v>
      </c>
    </row>
    <row r="39" spans="17:87" x14ac:dyDescent="0.25">
      <c r="AI39" s="194" t="s">
        <v>160</v>
      </c>
      <c r="AJ39" s="194" t="s">
        <v>111</v>
      </c>
      <c r="AK39" s="194" t="s">
        <v>41</v>
      </c>
      <c r="AL39" s="194" t="s">
        <v>115</v>
      </c>
      <c r="AM39" s="194" t="s">
        <v>98</v>
      </c>
      <c r="AN39" s="194" t="s">
        <v>83</v>
      </c>
      <c r="AO39" s="194" t="s">
        <v>161</v>
      </c>
      <c r="AQ39" t="s">
        <v>7</v>
      </c>
      <c r="AR39" t="e">
        <f ca="1">INDEX(AR33:AR37,AR32)</f>
        <v>#NAME?</v>
      </c>
      <c r="AS39" t="e">
        <f ca="1">INDEX(AS33:AS37,AS32)</f>
        <v>#NAME?</v>
      </c>
      <c r="AT39" t="e">
        <f ca="1">INDEX(AT33:AT37,AT32)</f>
        <v>#NAME?</v>
      </c>
      <c r="AU39" t="e">
        <f ca="1">INDEX(AU33:AU37,AU32)</f>
        <v>#NAME?</v>
      </c>
      <c r="AV39" t="e">
        <f ca="1">INDEX(AV33:AV37,AV32)</f>
        <v>#NAME?</v>
      </c>
      <c r="AX39" t="s">
        <v>363</v>
      </c>
      <c r="AY39" s="54" t="e">
        <f ca="1">AY37/AY38</f>
        <v>#NAME?</v>
      </c>
      <c r="BA39" t="s">
        <v>410</v>
      </c>
      <c r="BB39" s="213">
        <f>1/(BB33-1)</f>
        <v>0.25</v>
      </c>
      <c r="BU39" t="s">
        <v>478</v>
      </c>
      <c r="CC39" t="s">
        <v>158</v>
      </c>
    </row>
    <row r="40" spans="17:87" ht="15.75" thickBot="1" x14ac:dyDescent="0.3">
      <c r="Q40" t="s">
        <v>125</v>
      </c>
      <c r="AI40" s="16" t="s">
        <v>177</v>
      </c>
      <c r="AJ40" s="16">
        <f>AJ16</f>
        <v>412173.88571428566</v>
      </c>
      <c r="AK40" s="16" t="e">
        <f ca="1">AK16*AY54</f>
        <v>#NAME?</v>
      </c>
      <c r="AL40" s="16" t="e">
        <f ca="1">AJ40/AK40</f>
        <v>#NAME?</v>
      </c>
      <c r="AM40" s="16" t="e">
        <f ca="1">AL40/AL41</f>
        <v>#NAME?</v>
      </c>
      <c r="AN40" s="16" t="e">
        <f ca="1">F_DIST_RT(AM40,AK40,AK41)</f>
        <v>#NAME?</v>
      </c>
      <c r="AO40" s="16" t="e">
        <f ca="1">F_INV_RT(0.05,AK40,AK41)</f>
        <v>#NAME?</v>
      </c>
    </row>
    <row r="41" spans="17:87" ht="15.75" thickBot="1" x14ac:dyDescent="0.3">
      <c r="Q41" s="191" t="s">
        <v>160</v>
      </c>
      <c r="R41" s="191" t="s">
        <v>111</v>
      </c>
      <c r="S41" s="191" t="s">
        <v>41</v>
      </c>
      <c r="T41" s="191" t="s">
        <v>115</v>
      </c>
      <c r="U41" s="191" t="s">
        <v>98</v>
      </c>
      <c r="V41" s="191" t="s">
        <v>83</v>
      </c>
      <c r="AI41" s="244" t="s">
        <v>176</v>
      </c>
      <c r="AJ41" s="244">
        <f>AJ17</f>
        <v>78908.914285714331</v>
      </c>
      <c r="AK41" s="244" t="e">
        <f ca="1">AK17*AY54</f>
        <v>#NAME?</v>
      </c>
      <c r="AL41" s="244" t="e">
        <f ca="1">AJ41/AK41</f>
        <v>#NAME?</v>
      </c>
      <c r="AM41" s="244"/>
      <c r="AN41" s="244"/>
      <c r="AO41" s="244"/>
      <c r="AR41">
        <v>1</v>
      </c>
      <c r="AS41">
        <f>AR41+1</f>
        <v>2</v>
      </c>
      <c r="AT41">
        <f>AS41+1</f>
        <v>3</v>
      </c>
      <c r="AU41">
        <f>AT41+1</f>
        <v>4</v>
      </c>
      <c r="AV41">
        <f>AU41+1</f>
        <v>5</v>
      </c>
      <c r="AX41" t="s">
        <v>356</v>
      </c>
      <c r="AY41" s="202">
        <f>$K$5</f>
        <v>5</v>
      </c>
      <c r="BA41" t="s">
        <v>355</v>
      </c>
      <c r="BB41" s="212">
        <f>$L$5</f>
        <v>7</v>
      </c>
      <c r="BU41" s="193" t="s">
        <v>474</v>
      </c>
      <c r="BV41" s="193" t="s">
        <v>475</v>
      </c>
      <c r="BW41" s="193" t="s">
        <v>51</v>
      </c>
      <c r="BX41" s="56"/>
      <c r="BY41" s="193" t="s">
        <v>474</v>
      </c>
      <c r="BZ41" s="193" t="s">
        <v>475</v>
      </c>
      <c r="CA41" s="193" t="s">
        <v>51</v>
      </c>
      <c r="CC41" t="s">
        <v>43</v>
      </c>
    </row>
    <row r="42" spans="17:87" x14ac:dyDescent="0.25">
      <c r="Q42" s="39" t="s">
        <v>489</v>
      </c>
      <c r="R42">
        <f t="shared" ref="R42:S44" si="25">S36</f>
        <v>64383.523809523816</v>
      </c>
      <c r="S42">
        <f t="shared" si="25"/>
        <v>2</v>
      </c>
      <c r="T42">
        <f>R42/S42</f>
        <v>32191.761904761908</v>
      </c>
      <c r="U42">
        <f>T42/T44</f>
        <v>8.1740742263354367</v>
      </c>
      <c r="V42">
        <f>FDIST(U42,S42,S44)</f>
        <v>5.4709901625173965E-4</v>
      </c>
      <c r="AQ42" t="s">
        <v>159</v>
      </c>
      <c r="AR42" s="209" t="e">
        <f t="shared" ref="AR42:AV46" ca="1" si="26">(AR15+AR24+AR33)/$J$5</f>
        <v>#NAME?</v>
      </c>
      <c r="AS42" s="210" t="e">
        <f t="shared" ca="1" si="26"/>
        <v>#NAME?</v>
      </c>
      <c r="AT42" s="210" t="e">
        <f t="shared" ca="1" si="26"/>
        <v>#NAME?</v>
      </c>
      <c r="AU42" s="210" t="e">
        <f t="shared" ca="1" si="26"/>
        <v>#NAME?</v>
      </c>
      <c r="AV42" s="211" t="e">
        <f t="shared" ca="1" si="26"/>
        <v>#NAME?</v>
      </c>
      <c r="AX42" t="s">
        <v>357</v>
      </c>
      <c r="AY42" s="185" t="e">
        <f ca="1">AVERAGE(AR48:AV48)</f>
        <v>#NAME?</v>
      </c>
      <c r="BA42" t="s">
        <v>491</v>
      </c>
      <c r="BB42" s="185">
        <f>AY41</f>
        <v>5</v>
      </c>
      <c r="BU42" s="132">
        <f t="shared" ref="BU42:BU48" si="27">D4</f>
        <v>442</v>
      </c>
      <c r="BV42" s="224">
        <f t="shared" ref="BV42:BV48" si="28">D12</f>
        <v>425</v>
      </c>
      <c r="BW42" s="225">
        <f t="shared" ref="BW42:BW48" si="29">D18</f>
        <v>365</v>
      </c>
      <c r="BX42" s="60"/>
      <c r="BY42" s="132">
        <f>ABS(BU42-BU$49)</f>
        <v>59.142857142857167</v>
      </c>
      <c r="BZ42" s="224">
        <f t="shared" ref="BZ42:CA48" si="30">ABS(BV42-BV$49)</f>
        <v>99.285714285714278</v>
      </c>
      <c r="CA42" s="225">
        <f t="shared" si="30"/>
        <v>4.5714285714285552</v>
      </c>
      <c r="CC42" s="194" t="s">
        <v>53</v>
      </c>
      <c r="CD42" s="194" t="s">
        <v>12</v>
      </c>
      <c r="CE42" s="194" t="s">
        <v>11</v>
      </c>
      <c r="CF42" s="194" t="s">
        <v>159</v>
      </c>
      <c r="CG42" s="194" t="s">
        <v>54</v>
      </c>
    </row>
    <row r="43" spans="17:87" ht="15.75" thickBot="1" x14ac:dyDescent="0.3">
      <c r="Q43" s="39" t="s">
        <v>490</v>
      </c>
      <c r="R43">
        <f t="shared" si="25"/>
        <v>19678.952380952396</v>
      </c>
      <c r="S43">
        <f t="shared" si="25"/>
        <v>2</v>
      </c>
      <c r="T43">
        <f>R43/S43</f>
        <v>9839.4761904761981</v>
      </c>
      <c r="U43" s="16">
        <f>T43/T44</f>
        <v>2.4984220797593379</v>
      </c>
      <c r="V43">
        <f>FDIST(U43,S43,S44)</f>
        <v>8.7902233898368043E-2</v>
      </c>
      <c r="AI43" t="s">
        <v>553</v>
      </c>
      <c r="AR43" s="214" t="e">
        <f t="shared" ca="1" si="26"/>
        <v>#NAME?</v>
      </c>
      <c r="AS43" s="7" t="e">
        <f t="shared" ca="1" si="26"/>
        <v>#NAME?</v>
      </c>
      <c r="AT43" s="7" t="e">
        <f t="shared" ca="1" si="26"/>
        <v>#NAME?</v>
      </c>
      <c r="AU43" s="7" t="e">
        <f t="shared" ca="1" si="26"/>
        <v>#NAME?</v>
      </c>
      <c r="AV43" s="215" t="e">
        <f t="shared" ca="1" si="26"/>
        <v>#NAME?</v>
      </c>
      <c r="AX43" t="s">
        <v>358</v>
      </c>
      <c r="AY43" s="185" t="e">
        <f ca="1">AVERAGE(AR42:AV46)</f>
        <v>#NAME?</v>
      </c>
      <c r="BA43" t="s">
        <v>492</v>
      </c>
      <c r="BB43" s="185">
        <f>J5</f>
        <v>3</v>
      </c>
      <c r="BU43" s="214">
        <f t="shared" si="27"/>
        <v>341</v>
      </c>
      <c r="BV43" s="7">
        <f t="shared" si="28"/>
        <v>378</v>
      </c>
      <c r="BW43" s="215">
        <f t="shared" si="29"/>
        <v>382</v>
      </c>
      <c r="BX43" s="60"/>
      <c r="BY43" s="214">
        <f t="shared" ref="BY43:BY48" si="31">ABS(BU43-BU$49)</f>
        <v>41.857142857142833</v>
      </c>
      <c r="BZ43" s="7">
        <f t="shared" si="30"/>
        <v>52.285714285714278</v>
      </c>
      <c r="CA43" s="215">
        <f t="shared" si="30"/>
        <v>12.428571428571445</v>
      </c>
      <c r="CC43" s="16" t="s">
        <v>474</v>
      </c>
      <c r="CD43" s="16">
        <v>7</v>
      </c>
      <c r="CE43" s="16">
        <v>335.4285714285715</v>
      </c>
      <c r="CF43" s="16">
        <v>47.918367346938787</v>
      </c>
      <c r="CG43" s="16">
        <v>1562.2779397473269</v>
      </c>
    </row>
    <row r="44" spans="17:87" x14ac:dyDescent="0.25">
      <c r="Q44" s="113" t="s">
        <v>176</v>
      </c>
      <c r="R44" s="113">
        <f t="shared" si="25"/>
        <v>354444.85714285681</v>
      </c>
      <c r="S44" s="113">
        <f t="shared" si="25"/>
        <v>90</v>
      </c>
      <c r="T44" s="113">
        <f>R44/S44</f>
        <v>3938.2761904761869</v>
      </c>
      <c r="U44" s="113"/>
      <c r="V44" s="113"/>
      <c r="AI44" s="194" t="s">
        <v>160</v>
      </c>
      <c r="AJ44" s="194" t="s">
        <v>111</v>
      </c>
      <c r="AK44" s="194" t="s">
        <v>41</v>
      </c>
      <c r="AL44" s="194" t="s">
        <v>115</v>
      </c>
      <c r="AM44" s="194" t="s">
        <v>98</v>
      </c>
      <c r="AN44" s="194" t="s">
        <v>83</v>
      </c>
      <c r="AO44" s="194" t="s">
        <v>161</v>
      </c>
      <c r="AR44" s="214" t="e">
        <f t="shared" ca="1" si="26"/>
        <v>#NAME?</v>
      </c>
      <c r="AS44" s="7" t="e">
        <f t="shared" ca="1" si="26"/>
        <v>#NAME?</v>
      </c>
      <c r="AT44" s="7" t="e">
        <f t="shared" ca="1" si="26"/>
        <v>#NAME?</v>
      </c>
      <c r="AU44" s="7" t="e">
        <f t="shared" ca="1" si="26"/>
        <v>#NAME?</v>
      </c>
      <c r="AV44" s="215" t="e">
        <f t="shared" ca="1" si="26"/>
        <v>#NAME?</v>
      </c>
      <c r="AX44" t="s">
        <v>359</v>
      </c>
      <c r="AY44" s="185" t="e">
        <f ca="1">SUMSQ(AR42:AV46)</f>
        <v>#NAME?</v>
      </c>
      <c r="BA44" t="s">
        <v>363</v>
      </c>
      <c r="BB44" s="185" t="e">
        <f ca="1">AY48</f>
        <v>#NAME?</v>
      </c>
      <c r="BU44" s="214">
        <f t="shared" si="27"/>
        <v>384</v>
      </c>
      <c r="BV44" s="7">
        <f t="shared" si="28"/>
        <v>283</v>
      </c>
      <c r="BW44" s="215">
        <f t="shared" si="29"/>
        <v>289</v>
      </c>
      <c r="BX44" s="60"/>
      <c r="BY44" s="214">
        <f t="shared" si="31"/>
        <v>1.1428571428571672</v>
      </c>
      <c r="BZ44" s="7">
        <f t="shared" si="30"/>
        <v>42.714285714285722</v>
      </c>
      <c r="CA44" s="215">
        <f t="shared" si="30"/>
        <v>80.571428571428555</v>
      </c>
      <c r="CC44" s="16" t="s">
        <v>475</v>
      </c>
      <c r="CD44" s="16">
        <v>7</v>
      </c>
      <c r="CE44" s="16">
        <v>432.28571428571428</v>
      </c>
      <c r="CF44" s="16">
        <v>61.755102040816325</v>
      </c>
      <c r="CG44" s="16">
        <v>1528.930029154518</v>
      </c>
    </row>
    <row r="45" spans="17:87" ht="15.75" thickBot="1" x14ac:dyDescent="0.3">
      <c r="AI45" s="16" t="s">
        <v>177</v>
      </c>
      <c r="AJ45" s="16">
        <f>AJ24</f>
        <v>431398.11428571434</v>
      </c>
      <c r="AK45" s="16" t="e">
        <f ca="1">AK23*AZ55</f>
        <v>#NAME?</v>
      </c>
      <c r="AL45" s="16" t="e">
        <f ca="1">AJ45/AK45</f>
        <v>#NAME?</v>
      </c>
      <c r="AM45" s="16" t="e">
        <f ca="1">AL45/AL46</f>
        <v>#NAME?</v>
      </c>
      <c r="AN45" s="16" t="e">
        <f ca="1">F_DIST_RT(AM45,AK45,AK46)</f>
        <v>#NAME?</v>
      </c>
      <c r="AO45" s="16" t="e">
        <f ca="1">F_INV_RT(0.05,AK45,AK46)</f>
        <v>#NAME?</v>
      </c>
      <c r="AR45" s="214" t="e">
        <f t="shared" ca="1" si="26"/>
        <v>#NAME?</v>
      </c>
      <c r="AS45" s="7" t="e">
        <f t="shared" ca="1" si="26"/>
        <v>#NAME?</v>
      </c>
      <c r="AT45" s="7" t="e">
        <f t="shared" ca="1" si="26"/>
        <v>#NAME?</v>
      </c>
      <c r="AU45" s="7" t="e">
        <f t="shared" ca="1" si="26"/>
        <v>#NAME?</v>
      </c>
      <c r="AV45" s="215" t="e">
        <f t="shared" ca="1" si="26"/>
        <v>#NAME?</v>
      </c>
      <c r="AX45" t="s">
        <v>360</v>
      </c>
      <c r="AY45" s="185" t="e">
        <f ca="1">SUMSQ(AR47:AV47)</f>
        <v>#NAME?</v>
      </c>
      <c r="BA45" t="s">
        <v>364</v>
      </c>
      <c r="BB45" s="185" t="e">
        <f ca="1">(BB43*BB41-BB43+1)*(BB42-1)*BB44-2</f>
        <v>#NAME?</v>
      </c>
      <c r="BU45" s="214">
        <f t="shared" si="27"/>
        <v>423</v>
      </c>
      <c r="BV45" s="7">
        <f t="shared" si="28"/>
        <v>351</v>
      </c>
      <c r="BW45" s="215">
        <f t="shared" si="29"/>
        <v>356</v>
      </c>
      <c r="BX45" s="60"/>
      <c r="BY45" s="214">
        <f t="shared" si="31"/>
        <v>40.142857142857167</v>
      </c>
      <c r="BZ45" s="7">
        <f t="shared" si="30"/>
        <v>25.285714285714278</v>
      </c>
      <c r="CA45" s="215">
        <f t="shared" si="30"/>
        <v>13.571428571428555</v>
      </c>
      <c r="CC45" s="17" t="s">
        <v>51</v>
      </c>
      <c r="CD45" s="17">
        <v>7</v>
      </c>
      <c r="CE45" s="17">
        <v>302.57142857142856</v>
      </c>
      <c r="CF45" s="17">
        <v>43.224489795918366</v>
      </c>
      <c r="CG45" s="17">
        <v>1370.8697764820211</v>
      </c>
    </row>
    <row r="46" spans="17:87" x14ac:dyDescent="0.25">
      <c r="Q46" t="s">
        <v>554</v>
      </c>
      <c r="AI46" s="244" t="s">
        <v>176</v>
      </c>
      <c r="AJ46" s="244">
        <f>AJ25</f>
        <v>42650.685714285704</v>
      </c>
      <c r="AK46" s="244" t="e">
        <f ca="1">AK24*AZ55</f>
        <v>#NAME?</v>
      </c>
      <c r="AL46" s="244" t="e">
        <f ca="1">AJ46/AK46</f>
        <v>#NAME?</v>
      </c>
      <c r="AM46" s="244"/>
      <c r="AN46" s="244"/>
      <c r="AO46" s="244"/>
      <c r="AR46" s="112" t="e">
        <f t="shared" ca="1" si="26"/>
        <v>#NAME?</v>
      </c>
      <c r="AS46" s="113" t="e">
        <f t="shared" ca="1" si="26"/>
        <v>#NAME?</v>
      </c>
      <c r="AT46" s="113" t="e">
        <f t="shared" ca="1" si="26"/>
        <v>#NAME?</v>
      </c>
      <c r="AU46" s="113" t="e">
        <f t="shared" ca="1" si="26"/>
        <v>#NAME?</v>
      </c>
      <c r="AV46" s="120" t="e">
        <f t="shared" ca="1" si="26"/>
        <v>#NAME?</v>
      </c>
      <c r="AX46" t="s">
        <v>361</v>
      </c>
      <c r="AY46" s="185" t="e">
        <f ca="1">(AY41*(AY42-AY43))^2</f>
        <v>#NAME?</v>
      </c>
      <c r="BA46" t="s">
        <v>365</v>
      </c>
      <c r="BB46" s="185" t="e">
        <f ca="1">(BB42-1)*(BB41*BB43-BB43-(BB42-1)*BB44)</f>
        <v>#NAME?</v>
      </c>
      <c r="BU46" s="214">
        <f t="shared" si="27"/>
        <v>257</v>
      </c>
      <c r="BV46" s="7">
        <f t="shared" si="28"/>
        <v>193</v>
      </c>
      <c r="BW46" s="215">
        <f t="shared" si="29"/>
        <v>407</v>
      </c>
      <c r="BX46" s="60"/>
      <c r="BY46" s="214">
        <f t="shared" si="31"/>
        <v>125.85714285714283</v>
      </c>
      <c r="BZ46" s="7">
        <f t="shared" si="30"/>
        <v>132.71428571428572</v>
      </c>
      <c r="CA46" s="215">
        <f t="shared" si="30"/>
        <v>37.428571428571445</v>
      </c>
    </row>
    <row r="47" spans="17:87" x14ac:dyDescent="0.25">
      <c r="AQ47" t="s">
        <v>6</v>
      </c>
      <c r="AR47" t="e">
        <f ca="1">AVERAGE(AR42:AR46)</f>
        <v>#NAME?</v>
      </c>
      <c r="AS47" t="e">
        <f ca="1">AVERAGE(AS42:AS46)</f>
        <v>#NAME?</v>
      </c>
      <c r="AT47" t="e">
        <f ca="1">AVERAGE(AT42:AT46)</f>
        <v>#NAME?</v>
      </c>
      <c r="AU47" t="e">
        <f ca="1">AVERAGE(AU42:AU46)</f>
        <v>#NAME?</v>
      </c>
      <c r="AV47" t="e">
        <f ca="1">AVERAGE(AV42:AV46)</f>
        <v>#NAME?</v>
      </c>
      <c r="AX47" t="s">
        <v>362</v>
      </c>
      <c r="AY47" s="185" t="e">
        <f ca="1">(AY41-1)*(AY44-2*AY41*AY45+AY41^2*AY43^2)</f>
        <v>#NAME?</v>
      </c>
      <c r="BA47" t="s">
        <v>366</v>
      </c>
      <c r="BB47" s="123" t="e">
        <f ca="1">MIN(BB45/BB46,1)</f>
        <v>#NAME?</v>
      </c>
      <c r="BU47" s="214">
        <f t="shared" si="27"/>
        <v>401</v>
      </c>
      <c r="BV47" s="7">
        <f t="shared" si="28"/>
        <v>285</v>
      </c>
      <c r="BW47" s="215">
        <f t="shared" si="29"/>
        <v>471</v>
      </c>
      <c r="BX47" s="60"/>
      <c r="BY47" s="214">
        <f t="shared" si="31"/>
        <v>18.142857142857167</v>
      </c>
      <c r="BZ47" s="7">
        <f t="shared" si="30"/>
        <v>40.714285714285722</v>
      </c>
      <c r="CA47" s="215">
        <f t="shared" si="30"/>
        <v>101.42857142857144</v>
      </c>
    </row>
    <row r="48" spans="17:87" ht="15.75" thickBot="1" x14ac:dyDescent="0.3">
      <c r="R48" s="268" t="s">
        <v>111</v>
      </c>
      <c r="S48" s="268" t="s">
        <v>41</v>
      </c>
      <c r="AQ48" t="s">
        <v>7</v>
      </c>
      <c r="AR48" t="e">
        <f ca="1">INDEX(AR42:AR46,AR41)</f>
        <v>#NAME?</v>
      </c>
      <c r="AS48" t="e">
        <f ca="1">INDEX(AS42:AS46,AS41)</f>
        <v>#NAME?</v>
      </c>
      <c r="AT48" t="e">
        <f ca="1">INDEX(AT42:AT46,AT41)</f>
        <v>#NAME?</v>
      </c>
      <c r="AU48" t="e">
        <f ca="1">INDEX(AU42:AU46,AU41)</f>
        <v>#NAME?</v>
      </c>
      <c r="AV48" t="e">
        <f ca="1">INDEX(AV42:AV46,AV41)</f>
        <v>#NAME?</v>
      </c>
      <c r="AX48" t="s">
        <v>363</v>
      </c>
      <c r="AY48" s="54" t="e">
        <f ca="1">AY46/AY47</f>
        <v>#NAME?</v>
      </c>
      <c r="BU48" s="112">
        <f t="shared" si="27"/>
        <v>432</v>
      </c>
      <c r="BV48" s="113">
        <f t="shared" si="28"/>
        <v>365</v>
      </c>
      <c r="BW48" s="120">
        <f t="shared" si="29"/>
        <v>317</v>
      </c>
      <c r="BX48" s="60"/>
      <c r="BY48" s="112">
        <f t="shared" si="31"/>
        <v>49.142857142857167</v>
      </c>
      <c r="BZ48" s="113">
        <f t="shared" si="30"/>
        <v>39.285714285714278</v>
      </c>
      <c r="CA48" s="120">
        <f t="shared" si="30"/>
        <v>52.571428571428555</v>
      </c>
      <c r="CC48" t="s">
        <v>125</v>
      </c>
    </row>
    <row r="49" spans="17:87" x14ac:dyDescent="0.25">
      <c r="R49" s="275">
        <f>S12+S13</f>
        <v>354444.85714285669</v>
      </c>
      <c r="S49" s="276">
        <f>T12+T13</f>
        <v>90</v>
      </c>
      <c r="BA49" t="s">
        <v>410</v>
      </c>
      <c r="BB49" s="213">
        <f>1/(BB42-1)</f>
        <v>0.25</v>
      </c>
      <c r="BT49" t="s">
        <v>6</v>
      </c>
      <c r="BU49" s="25">
        <f>AVERAGE(BU42:BU48)</f>
        <v>382.85714285714283</v>
      </c>
      <c r="BV49" s="25">
        <f>AVERAGE(BV42:BV48)</f>
        <v>325.71428571428572</v>
      </c>
      <c r="BW49" s="25">
        <f>AVERAGE(BW42:BW48)</f>
        <v>369.57142857142856</v>
      </c>
      <c r="BX49" s="243"/>
      <c r="BY49" s="243"/>
      <c r="BZ49" s="243"/>
      <c r="CA49" s="243"/>
      <c r="CC49" s="194" t="s">
        <v>160</v>
      </c>
      <c r="CD49" s="194" t="s">
        <v>111</v>
      </c>
      <c r="CE49" s="194" t="s">
        <v>41</v>
      </c>
      <c r="CF49" s="194" t="s">
        <v>115</v>
      </c>
      <c r="CG49" s="194" t="s">
        <v>98</v>
      </c>
      <c r="CH49" s="194" t="s">
        <v>83</v>
      </c>
      <c r="CI49" s="194" t="s">
        <v>161</v>
      </c>
    </row>
    <row r="50" spans="17:87" x14ac:dyDescent="0.25">
      <c r="BT50" t="s">
        <v>7</v>
      </c>
      <c r="BU50" s="25">
        <f>VAR(BU42:BU49)</f>
        <v>3635.2653061224678</v>
      </c>
      <c r="BV50" s="25">
        <f>VAR(BV42:BV48)</f>
        <v>5978.2380952380872</v>
      </c>
      <c r="BW50" s="25">
        <f>VAR(BW42:BW48)</f>
        <v>3550.6190476190532</v>
      </c>
      <c r="CC50" s="16" t="s">
        <v>156</v>
      </c>
      <c r="CD50" s="16">
        <v>1299.3663751214772</v>
      </c>
      <c r="CE50" s="16">
        <v>2</v>
      </c>
      <c r="CF50" s="16">
        <v>649.68318756073859</v>
      </c>
      <c r="CG50" s="16">
        <v>0.43680313833584755</v>
      </c>
      <c r="CH50" s="16">
        <v>0.65276750542828776</v>
      </c>
      <c r="CI50" s="16">
        <v>3.5545571456617879</v>
      </c>
    </row>
    <row r="51" spans="17:87" x14ac:dyDescent="0.25">
      <c r="AQ51" t="s">
        <v>56</v>
      </c>
      <c r="AR51" s="209" t="e">
        <f t="array" ref="AR51:AV55" ca="1">(AR15:AV19+AR24:AV28+AR33:AV37)*(CL7-1)/(CL8-CL5)</f>
        <v>#NAME?</v>
      </c>
      <c r="AS51" s="210" t="e">
        <f ca="1"/>
        <v>#NAME?</v>
      </c>
      <c r="AT51" s="210" t="e">
        <f ca="1"/>
        <v>#NAME?</v>
      </c>
      <c r="AU51" s="210" t="e">
        <f ca="1"/>
        <v>#NAME?</v>
      </c>
      <c r="AV51" s="211" t="e">
        <f ca="1"/>
        <v>#NAME?</v>
      </c>
      <c r="AX51" t="s">
        <v>473</v>
      </c>
      <c r="CC51" s="16" t="s">
        <v>157</v>
      </c>
      <c r="CD51" s="16">
        <v>26772.4664723032</v>
      </c>
      <c r="CE51" s="16">
        <v>18</v>
      </c>
      <c r="CF51" s="16">
        <v>1487.3592484612889</v>
      </c>
      <c r="CG51" s="16"/>
      <c r="CH51" s="16"/>
      <c r="CI51" s="16"/>
    </row>
    <row r="52" spans="17:87" x14ac:dyDescent="0.25">
      <c r="Q52" t="s">
        <v>646</v>
      </c>
      <c r="AR52" s="214" t="e">
        <f ca="1"/>
        <v>#NAME?</v>
      </c>
      <c r="AS52" s="7" t="e">
        <f ca="1"/>
        <v>#NAME?</v>
      </c>
      <c r="AT52" s="7" t="e">
        <f ca="1"/>
        <v>#NAME?</v>
      </c>
      <c r="AU52" s="7" t="e">
        <f ca="1"/>
        <v>#NAME?</v>
      </c>
      <c r="AV52" s="215" t="e">
        <f ca="1"/>
        <v>#NAME?</v>
      </c>
      <c r="AY52" s="12" t="s">
        <v>449</v>
      </c>
      <c r="AZ52" s="12" t="s">
        <v>451</v>
      </c>
      <c r="CC52" s="16"/>
      <c r="CD52" s="16"/>
      <c r="CE52" s="16"/>
      <c r="CF52" s="16"/>
      <c r="CG52" s="16"/>
      <c r="CH52" s="16"/>
      <c r="CI52" s="16"/>
    </row>
    <row r="53" spans="17:87" ht="15.75" thickBot="1" x14ac:dyDescent="0.3">
      <c r="AR53" s="214" t="e">
        <f ca="1"/>
        <v>#NAME?</v>
      </c>
      <c r="AS53" s="7" t="e">
        <f ca="1"/>
        <v>#NAME?</v>
      </c>
      <c r="AT53" s="7" t="e">
        <f ca="1"/>
        <v>#NAME?</v>
      </c>
      <c r="AU53" s="7" t="e">
        <f ca="1"/>
        <v>#NAME?</v>
      </c>
      <c r="AV53" s="215" t="e">
        <f ca="1"/>
        <v>#NAME?</v>
      </c>
      <c r="AX53" t="s">
        <v>474</v>
      </c>
      <c r="AY53" s="209" t="e">
        <f ca="1">AY21</f>
        <v>#NAME?</v>
      </c>
      <c r="AZ53" s="211" t="e">
        <f ca="1">BB19</f>
        <v>#NAME?</v>
      </c>
      <c r="CC53" s="17" t="s">
        <v>1</v>
      </c>
      <c r="CD53" s="17">
        <v>28071.832847424677</v>
      </c>
      <c r="CE53" s="17">
        <v>20</v>
      </c>
      <c r="CF53" s="17"/>
      <c r="CG53" s="17"/>
      <c r="CH53" s="17"/>
      <c r="CI53" s="17"/>
    </row>
    <row r="54" spans="17:87" ht="15.75" thickBot="1" x14ac:dyDescent="0.3">
      <c r="Q54" t="s">
        <v>125</v>
      </c>
      <c r="AR54" s="214" t="e">
        <f ca="1"/>
        <v>#NAME?</v>
      </c>
      <c r="AS54" s="7" t="e">
        <f ca="1"/>
        <v>#NAME?</v>
      </c>
      <c r="AT54" s="7" t="e">
        <f ca="1"/>
        <v>#NAME?</v>
      </c>
      <c r="AU54" s="7" t="e">
        <f ca="1"/>
        <v>#NAME?</v>
      </c>
      <c r="AV54" s="215" t="e">
        <f ca="1"/>
        <v>#NAME?</v>
      </c>
      <c r="AX54" t="s">
        <v>475</v>
      </c>
      <c r="AY54" s="214" t="e">
        <f ca="1">AY30</f>
        <v>#NAME?</v>
      </c>
      <c r="AZ54" s="215" t="e">
        <f ca="1">BB28</f>
        <v>#NAME?</v>
      </c>
    </row>
    <row r="55" spans="17:87" x14ac:dyDescent="0.25">
      <c r="Q55" s="191" t="s">
        <v>160</v>
      </c>
      <c r="R55" s="191" t="s">
        <v>111</v>
      </c>
      <c r="S55" s="191" t="s">
        <v>41</v>
      </c>
      <c r="T55" s="191" t="s">
        <v>115</v>
      </c>
      <c r="U55" s="191" t="s">
        <v>98</v>
      </c>
      <c r="V55" s="191" t="s">
        <v>83</v>
      </c>
      <c r="AR55" s="112" t="e">
        <f ca="1"/>
        <v>#NAME?</v>
      </c>
      <c r="AS55" s="113" t="e">
        <f ca="1"/>
        <v>#NAME?</v>
      </c>
      <c r="AT55" s="113" t="e">
        <f ca="1"/>
        <v>#NAME?</v>
      </c>
      <c r="AU55" s="113" t="e">
        <f ca="1"/>
        <v>#NAME?</v>
      </c>
      <c r="AV55" s="120" t="e">
        <f ca="1"/>
        <v>#NAME?</v>
      </c>
      <c r="AX55" t="s">
        <v>51</v>
      </c>
      <c r="AY55" s="112" t="e">
        <f ca="1">AY39</f>
        <v>#NAME?</v>
      </c>
      <c r="AZ55" s="120" t="e">
        <f ca="1">BB37</f>
        <v>#NAME?</v>
      </c>
    </row>
    <row r="56" spans="17:87" x14ac:dyDescent="0.25">
      <c r="Q56" s="39" t="s">
        <v>489</v>
      </c>
      <c r="R56">
        <f t="shared" ref="R56:T57" si="32">R42</f>
        <v>64383.523809523816</v>
      </c>
      <c r="S56">
        <f t="shared" si="32"/>
        <v>2</v>
      </c>
      <c r="T56">
        <f t="shared" si="32"/>
        <v>32191.761904761908</v>
      </c>
      <c r="U56">
        <f>T56/T58</f>
        <v>4.6807738020301644</v>
      </c>
      <c r="V56" t="e">
        <f ca="1">F_DIST_RT(U56,S56,S58)</f>
        <v>#NAME?</v>
      </c>
      <c r="BU56" t="s">
        <v>479</v>
      </c>
      <c r="CC56" t="s">
        <v>158</v>
      </c>
    </row>
    <row r="57" spans="17:87" x14ac:dyDescent="0.25">
      <c r="Q57" s="39" t="s">
        <v>490</v>
      </c>
      <c r="R57">
        <f t="shared" si="32"/>
        <v>19678.952380952396</v>
      </c>
      <c r="S57">
        <f t="shared" si="32"/>
        <v>2</v>
      </c>
      <c r="T57">
        <f t="shared" si="32"/>
        <v>9839.4761904761981</v>
      </c>
      <c r="U57" s="16">
        <f>T57/T58</f>
        <v>1.4306878422602816</v>
      </c>
      <c r="V57" t="e">
        <f ca="1">F_DIST_RT(U57,S57,S58)</f>
        <v>#NAME?</v>
      </c>
    </row>
    <row r="58" spans="17:87" ht="15.75" thickBot="1" x14ac:dyDescent="0.3">
      <c r="Q58" s="113" t="str">
        <f>Q44</f>
        <v>Error</v>
      </c>
      <c r="R58" s="113">
        <f>S12+S13</f>
        <v>354444.85714285669</v>
      </c>
      <c r="S58" s="113">
        <f>R58^2/(S12^2/T12+S13^2/T13)</f>
        <v>51.537291015226842</v>
      </c>
      <c r="T58" s="113">
        <f>R58/S58</f>
        <v>6877.4444709974168</v>
      </c>
      <c r="U58" s="113"/>
      <c r="V58" s="113"/>
      <c r="BU58" s="193" t="s">
        <v>474</v>
      </c>
      <c r="BV58" s="193" t="s">
        <v>475</v>
      </c>
      <c r="BW58" s="193" t="s">
        <v>51</v>
      </c>
      <c r="BX58" s="56"/>
      <c r="BY58" s="193" t="s">
        <v>474</v>
      </c>
      <c r="BZ58" s="193" t="s">
        <v>475</v>
      </c>
      <c r="CA58" s="193" t="s">
        <v>51</v>
      </c>
      <c r="CC58" t="s">
        <v>43</v>
      </c>
    </row>
    <row r="59" spans="17:87" x14ac:dyDescent="0.25">
      <c r="BU59" s="132">
        <f t="shared" ref="BU59:BU65" si="33">E4</f>
        <v>368</v>
      </c>
      <c r="BV59" s="224">
        <f t="shared" ref="BV59:BV65" si="34">E12</f>
        <v>398</v>
      </c>
      <c r="BW59" s="225">
        <f t="shared" ref="BW59:BW65" si="35">E18</f>
        <v>311</v>
      </c>
      <c r="BX59" s="60"/>
      <c r="BY59" s="132">
        <f>ABS(BU59-BU$66)</f>
        <v>5.4285714285714448</v>
      </c>
      <c r="BZ59" s="224">
        <f>ABS(BV59-BV$66)</f>
        <v>109.28571428571428</v>
      </c>
      <c r="CA59" s="225">
        <f>ABS(BW59-BW$66)</f>
        <v>63.285714285714278</v>
      </c>
      <c r="CC59" s="194" t="s">
        <v>53</v>
      </c>
      <c r="CD59" s="194" t="s">
        <v>12</v>
      </c>
      <c r="CE59" s="194" t="s">
        <v>11</v>
      </c>
      <c r="CF59" s="194" t="s">
        <v>159</v>
      </c>
      <c r="CG59" s="194" t="s">
        <v>54</v>
      </c>
    </row>
    <row r="60" spans="17:87" x14ac:dyDescent="0.25">
      <c r="BU60" s="214">
        <f t="shared" si="33"/>
        <v>382</v>
      </c>
      <c r="BV60" s="7">
        <f t="shared" si="34"/>
        <v>317</v>
      </c>
      <c r="BW60" s="215">
        <f t="shared" si="35"/>
        <v>369</v>
      </c>
      <c r="BX60" s="60"/>
      <c r="BY60" s="214">
        <f t="shared" ref="BY60:BY65" si="36">ABS(BU60-BU$66)</f>
        <v>19.428571428571445</v>
      </c>
      <c r="BZ60" s="7">
        <f t="shared" ref="BZ60:BZ65" si="37">ABS(BV60-BV$66)</f>
        <v>28.285714285714278</v>
      </c>
      <c r="CA60" s="215">
        <f t="shared" ref="CA60:CA65" si="38">ABS(BW60-BW$66)</f>
        <v>5.2857142857142776</v>
      </c>
      <c r="CC60" s="16" t="s">
        <v>474</v>
      </c>
      <c r="CD60" s="16">
        <v>7</v>
      </c>
      <c r="CE60" s="16">
        <v>318.28571428571433</v>
      </c>
      <c r="CF60" s="16">
        <v>45.469387755102048</v>
      </c>
      <c r="CG60" s="16">
        <v>906.24295432458678</v>
      </c>
    </row>
    <row r="61" spans="17:87" x14ac:dyDescent="0.25">
      <c r="BU61" s="214">
        <f t="shared" si="33"/>
        <v>421</v>
      </c>
      <c r="BV61" s="7">
        <f t="shared" si="34"/>
        <v>259</v>
      </c>
      <c r="BW61" s="215">
        <f t="shared" si="35"/>
        <v>385</v>
      </c>
      <c r="BX61" s="60"/>
      <c r="BY61" s="214">
        <f t="shared" si="36"/>
        <v>58.428571428571445</v>
      </c>
      <c r="BZ61" s="7">
        <f t="shared" si="37"/>
        <v>29.714285714285722</v>
      </c>
      <c r="CA61" s="215">
        <f t="shared" si="38"/>
        <v>10.714285714285722</v>
      </c>
      <c r="CC61" s="16" t="s">
        <v>475</v>
      </c>
      <c r="CD61" s="16">
        <v>7</v>
      </c>
      <c r="CE61" s="16">
        <v>319.71428571428572</v>
      </c>
      <c r="CF61" s="16">
        <v>45.673469387755105</v>
      </c>
      <c r="CG61" s="16">
        <v>1209.4946550048592</v>
      </c>
    </row>
    <row r="62" spans="17:87" ht="15.75" thickBot="1" x14ac:dyDescent="0.3">
      <c r="BU62" s="214">
        <f t="shared" si="33"/>
        <v>415</v>
      </c>
      <c r="BV62" s="7">
        <f t="shared" si="34"/>
        <v>280</v>
      </c>
      <c r="BW62" s="215">
        <f t="shared" si="35"/>
        <v>380</v>
      </c>
      <c r="BX62" s="60"/>
      <c r="BY62" s="214">
        <f t="shared" si="36"/>
        <v>52.428571428571445</v>
      </c>
      <c r="BZ62" s="7">
        <f t="shared" si="37"/>
        <v>8.7142857142857224</v>
      </c>
      <c r="CA62" s="215">
        <f t="shared" si="38"/>
        <v>5.7142857142857224</v>
      </c>
      <c r="CC62" s="17" t="s">
        <v>51</v>
      </c>
      <c r="CD62" s="17">
        <v>7</v>
      </c>
      <c r="CE62" s="17">
        <v>271.71428571428572</v>
      </c>
      <c r="CF62" s="17">
        <v>38.816326530612244</v>
      </c>
      <c r="CG62" s="17">
        <v>1125.0796890184645</v>
      </c>
    </row>
    <row r="63" spans="17:87" x14ac:dyDescent="0.25">
      <c r="BU63" s="214">
        <f t="shared" si="33"/>
        <v>275</v>
      </c>
      <c r="BV63" s="7">
        <f t="shared" si="34"/>
        <v>240</v>
      </c>
      <c r="BW63" s="215">
        <f t="shared" si="35"/>
        <v>461</v>
      </c>
      <c r="BX63" s="60"/>
      <c r="BY63" s="214">
        <f t="shared" si="36"/>
        <v>87.571428571428555</v>
      </c>
      <c r="BZ63" s="7">
        <f t="shared" si="37"/>
        <v>48.714285714285722</v>
      </c>
      <c r="CA63" s="215">
        <f t="shared" si="38"/>
        <v>86.714285714285722</v>
      </c>
    </row>
    <row r="64" spans="17:87" x14ac:dyDescent="0.25">
      <c r="BU64" s="214">
        <f t="shared" si="33"/>
        <v>291</v>
      </c>
      <c r="BV64" s="7">
        <f t="shared" si="34"/>
        <v>216</v>
      </c>
      <c r="BW64" s="215">
        <f t="shared" si="35"/>
        <v>407</v>
      </c>
      <c r="BX64" s="60"/>
      <c r="BY64" s="214">
        <f t="shared" si="36"/>
        <v>71.571428571428555</v>
      </c>
      <c r="BZ64" s="7">
        <f t="shared" si="37"/>
        <v>72.714285714285722</v>
      </c>
      <c r="CA64" s="215">
        <f t="shared" si="38"/>
        <v>32.714285714285722</v>
      </c>
    </row>
    <row r="65" spans="72:87" ht="15.75" thickBot="1" x14ac:dyDescent="0.3">
      <c r="BU65" s="112">
        <f t="shared" si="33"/>
        <v>386</v>
      </c>
      <c r="BV65" s="113">
        <f t="shared" si="34"/>
        <v>311</v>
      </c>
      <c r="BW65" s="120">
        <f t="shared" si="35"/>
        <v>307</v>
      </c>
      <c r="BX65" s="60"/>
      <c r="BY65" s="112">
        <f t="shared" si="36"/>
        <v>23.428571428571445</v>
      </c>
      <c r="BZ65" s="113">
        <f t="shared" si="37"/>
        <v>22.285714285714278</v>
      </c>
      <c r="CA65" s="120">
        <f t="shared" si="38"/>
        <v>67.285714285714278</v>
      </c>
      <c r="CC65" t="s">
        <v>125</v>
      </c>
    </row>
    <row r="66" spans="72:87" x14ac:dyDescent="0.25">
      <c r="BT66" t="s">
        <v>6</v>
      </c>
      <c r="BU66" s="25">
        <f>AVERAGE(BU59:BU65)</f>
        <v>362.57142857142856</v>
      </c>
      <c r="BV66" s="25">
        <f>AVERAGE(BV59:BV65)</f>
        <v>288.71428571428572</v>
      </c>
      <c r="BW66" s="25">
        <f>AVERAGE(BW59:BW65)</f>
        <v>374.28571428571428</v>
      </c>
      <c r="BX66" s="243"/>
      <c r="BY66" s="243"/>
      <c r="BZ66" s="243"/>
      <c r="CA66" s="243"/>
      <c r="CC66" s="194" t="s">
        <v>160</v>
      </c>
      <c r="CD66" s="194" t="s">
        <v>111</v>
      </c>
      <c r="CE66" s="194" t="s">
        <v>41</v>
      </c>
      <c r="CF66" s="194" t="s">
        <v>115</v>
      </c>
      <c r="CG66" s="194" t="s">
        <v>98</v>
      </c>
      <c r="CH66" s="194" t="s">
        <v>83</v>
      </c>
      <c r="CI66" s="194" t="s">
        <v>161</v>
      </c>
    </row>
    <row r="67" spans="72:87" x14ac:dyDescent="0.25">
      <c r="BT67" t="s">
        <v>7</v>
      </c>
      <c r="BU67" s="25">
        <f>VAR(BU59:BU66)</f>
        <v>2844.2448979592218</v>
      </c>
      <c r="BV67" s="25">
        <f>VAR(BV59:BV65)</f>
        <v>3643.2380952380868</v>
      </c>
      <c r="BW67" s="25">
        <f>VAR(BW59:BW65)</f>
        <v>2882.9047619047537</v>
      </c>
      <c r="CC67" s="16" t="s">
        <v>156</v>
      </c>
      <c r="CD67" s="16">
        <v>213.09232264334059</v>
      </c>
      <c r="CE67" s="16">
        <v>2</v>
      </c>
      <c r="CF67" s="16">
        <v>106.5461613216703</v>
      </c>
      <c r="CG67" s="16">
        <v>9.8628973662895122E-2</v>
      </c>
      <c r="CH67" s="16">
        <v>0.90656507578072709</v>
      </c>
      <c r="CI67" s="16">
        <v>3.5545571456617879</v>
      </c>
    </row>
    <row r="68" spans="72:87" x14ac:dyDescent="0.25">
      <c r="CC68" s="16" t="s">
        <v>157</v>
      </c>
      <c r="CD68" s="16">
        <v>19444.903790087457</v>
      </c>
      <c r="CE68" s="16">
        <v>18</v>
      </c>
      <c r="CF68" s="16">
        <v>1080.2724327826365</v>
      </c>
      <c r="CG68" s="16"/>
      <c r="CH68" s="16"/>
      <c r="CI68" s="16"/>
    </row>
    <row r="69" spans="72:87" x14ac:dyDescent="0.25">
      <c r="CC69" s="16"/>
      <c r="CD69" s="16"/>
      <c r="CE69" s="16"/>
      <c r="CF69" s="16"/>
      <c r="CG69" s="16"/>
      <c r="CH69" s="16"/>
      <c r="CI69" s="16"/>
    </row>
    <row r="70" spans="72:87" ht="15.75" thickBot="1" x14ac:dyDescent="0.3">
      <c r="CC70" s="17" t="s">
        <v>1</v>
      </c>
      <c r="CD70" s="17">
        <v>19657.996112730798</v>
      </c>
      <c r="CE70" s="17">
        <v>20</v>
      </c>
      <c r="CF70" s="17"/>
      <c r="CG70" s="17"/>
      <c r="CH70" s="17"/>
      <c r="CI70" s="17"/>
    </row>
    <row r="73" spans="72:87" x14ac:dyDescent="0.25">
      <c r="BU73" t="s">
        <v>480</v>
      </c>
      <c r="CC73" t="s">
        <v>158</v>
      </c>
    </row>
    <row r="75" spans="72:87" ht="15.75" thickBot="1" x14ac:dyDescent="0.3">
      <c r="BU75" s="193" t="s">
        <v>474</v>
      </c>
      <c r="BV75" s="193" t="s">
        <v>475</v>
      </c>
      <c r="BW75" s="193" t="s">
        <v>51</v>
      </c>
      <c r="BX75" s="56"/>
      <c r="BY75" s="193" t="s">
        <v>474</v>
      </c>
      <c r="BZ75" s="193" t="s">
        <v>475</v>
      </c>
      <c r="CA75" s="193" t="s">
        <v>51</v>
      </c>
      <c r="CC75" t="s">
        <v>43</v>
      </c>
    </row>
    <row r="76" spans="72:87" x14ac:dyDescent="0.25">
      <c r="BU76" s="132">
        <f t="shared" ref="BU76:BU82" si="39">F4</f>
        <v>456</v>
      </c>
      <c r="BV76" s="224">
        <f t="shared" ref="BV76:BV82" si="40">F12</f>
        <v>268</v>
      </c>
      <c r="BW76" s="225">
        <f t="shared" ref="BW76:BW82" si="41">F18</f>
        <v>331</v>
      </c>
      <c r="BX76" s="60"/>
      <c r="BY76" s="132">
        <f>ABS(BU76-BU$83)</f>
        <v>72.285714285714278</v>
      </c>
      <c r="BZ76" s="224">
        <f>ABS(BV76-BV$83)</f>
        <v>37.714285714285722</v>
      </c>
      <c r="CA76" s="225">
        <f>ABS(BW76-BW$83)</f>
        <v>27</v>
      </c>
      <c r="CC76" s="194" t="s">
        <v>53</v>
      </c>
      <c r="CD76" s="194" t="s">
        <v>12</v>
      </c>
      <c r="CE76" s="194" t="s">
        <v>11</v>
      </c>
      <c r="CF76" s="194" t="s">
        <v>159</v>
      </c>
      <c r="CG76" s="194" t="s">
        <v>54</v>
      </c>
    </row>
    <row r="77" spans="72:87" x14ac:dyDescent="0.25">
      <c r="BU77" s="214">
        <f t="shared" si="39"/>
        <v>298</v>
      </c>
      <c r="BV77" s="7">
        <f t="shared" si="40"/>
        <v>470</v>
      </c>
      <c r="BW77" s="215">
        <f t="shared" si="41"/>
        <v>295</v>
      </c>
      <c r="BX77" s="60"/>
      <c r="BY77" s="214">
        <f t="shared" ref="BY77:BY82" si="42">ABS(BU77-BU$83)</f>
        <v>85.714285714285722</v>
      </c>
      <c r="BZ77" s="7">
        <f t="shared" ref="BZ77:BZ82" si="43">ABS(BV77-BV$83)</f>
        <v>164.28571428571428</v>
      </c>
      <c r="CA77" s="215">
        <f t="shared" ref="CA77:CA82" si="44">ABS(BW77-BW$83)</f>
        <v>63</v>
      </c>
      <c r="CC77" s="16" t="s">
        <v>474</v>
      </c>
      <c r="CD77" s="16">
        <v>7</v>
      </c>
      <c r="CE77" s="16">
        <v>391.71428571428572</v>
      </c>
      <c r="CF77" s="16">
        <v>55.95918367346939</v>
      </c>
      <c r="CG77" s="16">
        <v>665.56948493683194</v>
      </c>
    </row>
    <row r="78" spans="72:87" x14ac:dyDescent="0.25">
      <c r="BU78" s="214">
        <f t="shared" si="39"/>
        <v>342</v>
      </c>
      <c r="BV78" s="7">
        <f t="shared" si="40"/>
        <v>273</v>
      </c>
      <c r="BW78" s="215">
        <f t="shared" si="41"/>
        <v>373</v>
      </c>
      <c r="BX78" s="60"/>
      <c r="BY78" s="214">
        <f t="shared" si="42"/>
        <v>41.714285714285722</v>
      </c>
      <c r="BZ78" s="7">
        <f t="shared" si="43"/>
        <v>32.714285714285722</v>
      </c>
      <c r="CA78" s="215">
        <f t="shared" si="44"/>
        <v>15</v>
      </c>
      <c r="CC78" s="16" t="s">
        <v>475</v>
      </c>
      <c r="CD78" s="16">
        <v>7</v>
      </c>
      <c r="CE78" s="16">
        <v>407.71428571428572</v>
      </c>
      <c r="CF78" s="16">
        <v>58.244897959183675</v>
      </c>
      <c r="CG78" s="16">
        <v>2592.0252672497572</v>
      </c>
    </row>
    <row r="79" spans="72:87" ht="15.75" thickBot="1" x14ac:dyDescent="0.3">
      <c r="BU79" s="214">
        <f t="shared" si="39"/>
        <v>468</v>
      </c>
      <c r="BV79" s="7">
        <f t="shared" si="40"/>
        <v>320</v>
      </c>
      <c r="BW79" s="215">
        <f t="shared" si="41"/>
        <v>305</v>
      </c>
      <c r="BX79" s="60"/>
      <c r="BY79" s="214">
        <f t="shared" si="42"/>
        <v>84.285714285714278</v>
      </c>
      <c r="BZ79" s="7">
        <f t="shared" si="43"/>
        <v>14.285714285714278</v>
      </c>
      <c r="CA79" s="215">
        <f t="shared" si="44"/>
        <v>53</v>
      </c>
      <c r="CC79" s="17" t="s">
        <v>51</v>
      </c>
      <c r="CD79" s="17">
        <v>7</v>
      </c>
      <c r="CE79" s="17">
        <v>354</v>
      </c>
      <c r="CF79" s="17">
        <v>50.571428571428569</v>
      </c>
      <c r="CG79" s="17">
        <v>696.61904761904771</v>
      </c>
    </row>
    <row r="80" spans="72:87" x14ac:dyDescent="0.25">
      <c r="BU80" s="214">
        <f t="shared" si="39"/>
        <v>332</v>
      </c>
      <c r="BV80" s="7">
        <f t="shared" si="40"/>
        <v>233</v>
      </c>
      <c r="BW80" s="215">
        <f t="shared" si="41"/>
        <v>445</v>
      </c>
      <c r="BX80" s="60"/>
      <c r="BY80" s="214">
        <f t="shared" si="42"/>
        <v>51.714285714285722</v>
      </c>
      <c r="BZ80" s="7">
        <f t="shared" si="43"/>
        <v>72.714285714285722</v>
      </c>
      <c r="CA80" s="215">
        <f t="shared" si="44"/>
        <v>87</v>
      </c>
    </row>
    <row r="81" spans="72:87" x14ac:dyDescent="0.25">
      <c r="BU81" s="214">
        <f t="shared" si="39"/>
        <v>367</v>
      </c>
      <c r="BV81" s="7">
        <f t="shared" si="40"/>
        <v>245</v>
      </c>
      <c r="BW81" s="215">
        <f t="shared" si="41"/>
        <v>433</v>
      </c>
      <c r="BX81" s="60"/>
      <c r="BY81" s="214">
        <f t="shared" si="42"/>
        <v>16.714285714285722</v>
      </c>
      <c r="BZ81" s="7">
        <f t="shared" si="43"/>
        <v>60.714285714285722</v>
      </c>
      <c r="CA81" s="215">
        <f t="shared" si="44"/>
        <v>75</v>
      </c>
    </row>
    <row r="82" spans="72:87" ht="15.75" thickBot="1" x14ac:dyDescent="0.3">
      <c r="BU82" s="112">
        <f t="shared" si="39"/>
        <v>423</v>
      </c>
      <c r="BV82" s="113">
        <f t="shared" si="40"/>
        <v>331</v>
      </c>
      <c r="BW82" s="120">
        <f t="shared" si="41"/>
        <v>324</v>
      </c>
      <c r="BX82" s="60"/>
      <c r="BY82" s="112">
        <f t="shared" si="42"/>
        <v>39.285714285714278</v>
      </c>
      <c r="BZ82" s="113">
        <f t="shared" si="43"/>
        <v>25.285714285714278</v>
      </c>
      <c r="CA82" s="120">
        <f t="shared" si="44"/>
        <v>34</v>
      </c>
      <c r="CC82" t="s">
        <v>125</v>
      </c>
    </row>
    <row r="83" spans="72:87" x14ac:dyDescent="0.25">
      <c r="BT83" t="s">
        <v>6</v>
      </c>
      <c r="BU83" s="25">
        <f>AVERAGE(BU76:BU82)</f>
        <v>383.71428571428572</v>
      </c>
      <c r="BV83" s="25">
        <f>AVERAGE(BV76:BV82)</f>
        <v>305.71428571428572</v>
      </c>
      <c r="BW83" s="25">
        <f>AVERAGE(BW76:BW82)</f>
        <v>358</v>
      </c>
      <c r="BX83" s="243"/>
      <c r="BY83" s="243"/>
      <c r="BZ83" s="243"/>
      <c r="CA83" s="243"/>
      <c r="CC83" s="194" t="s">
        <v>160</v>
      </c>
      <c r="CD83" s="194" t="s">
        <v>111</v>
      </c>
      <c r="CE83" s="194" t="s">
        <v>41</v>
      </c>
      <c r="CF83" s="194" t="s">
        <v>115</v>
      </c>
      <c r="CG83" s="194" t="s">
        <v>98</v>
      </c>
      <c r="CH83" s="194" t="s">
        <v>83</v>
      </c>
      <c r="CI83" s="194" t="s">
        <v>161</v>
      </c>
    </row>
    <row r="84" spans="72:87" x14ac:dyDescent="0.25">
      <c r="BT84" t="s">
        <v>7</v>
      </c>
      <c r="BU84" s="25">
        <f>VAR(BU76:BU83)</f>
        <v>3701.9183673469483</v>
      </c>
      <c r="BV84" s="25">
        <f>VAR(BV76:BV82)</f>
        <v>6549.9047619047533</v>
      </c>
      <c r="BW84" s="25">
        <f>VAR(BW76:BW82)</f>
        <v>3680.3333333333335</v>
      </c>
      <c r="CC84" s="16" t="s">
        <v>156</v>
      </c>
      <c r="CD84" s="16">
        <v>217.3138969873653</v>
      </c>
      <c r="CE84" s="16">
        <v>2</v>
      </c>
      <c r="CF84" s="16">
        <v>108.65694849368265</v>
      </c>
      <c r="CG84" s="16">
        <v>8.243632286576677E-2</v>
      </c>
      <c r="CH84" s="16">
        <v>0.92121569737530185</v>
      </c>
      <c r="CI84" s="16">
        <v>3.5545571456617879</v>
      </c>
    </row>
    <row r="85" spans="72:87" x14ac:dyDescent="0.25">
      <c r="CC85" s="16" t="s">
        <v>157</v>
      </c>
      <c r="CD85" s="16">
        <v>23725.282798833821</v>
      </c>
      <c r="CE85" s="16">
        <v>18</v>
      </c>
      <c r="CF85" s="16">
        <v>1318.071266601879</v>
      </c>
      <c r="CG85" s="16"/>
      <c r="CH85" s="16"/>
      <c r="CI85" s="16"/>
    </row>
    <row r="86" spans="72:87" x14ac:dyDescent="0.25">
      <c r="CC86" s="16"/>
      <c r="CD86" s="16"/>
      <c r="CE86" s="16"/>
      <c r="CF86" s="16"/>
      <c r="CG86" s="16"/>
      <c r="CH86" s="16"/>
      <c r="CI86" s="16"/>
    </row>
    <row r="87" spans="72:87" ht="15.75" thickBot="1" x14ac:dyDescent="0.3">
      <c r="CC87" s="17" t="s">
        <v>1</v>
      </c>
      <c r="CD87" s="17">
        <v>23942.596695821187</v>
      </c>
      <c r="CE87" s="17">
        <v>20</v>
      </c>
      <c r="CF87" s="17"/>
      <c r="CG87" s="17"/>
      <c r="CH87" s="17"/>
      <c r="CI87" s="17"/>
    </row>
    <row r="90" spans="72:87" x14ac:dyDescent="0.25">
      <c r="BU90" t="s">
        <v>519</v>
      </c>
      <c r="CC90" t="s">
        <v>158</v>
      </c>
    </row>
    <row r="92" spans="72:87" ht="15.75" thickBot="1" x14ac:dyDescent="0.3">
      <c r="BU92" s="193" t="s">
        <v>474</v>
      </c>
      <c r="BV92" s="193" t="s">
        <v>475</v>
      </c>
      <c r="BW92" s="193" t="s">
        <v>51</v>
      </c>
      <c r="BX92" s="56"/>
      <c r="BY92" s="193" t="s">
        <v>474</v>
      </c>
      <c r="BZ92" s="193" t="s">
        <v>475</v>
      </c>
      <c r="CA92" s="193" t="s">
        <v>51</v>
      </c>
      <c r="CC92" t="s">
        <v>43</v>
      </c>
    </row>
    <row r="93" spans="72:87" x14ac:dyDescent="0.25">
      <c r="BU93" s="132">
        <f t="shared" ref="BU93:BW99" si="45">BD6</f>
        <v>358.8</v>
      </c>
      <c r="BV93" s="224">
        <f t="shared" si="45"/>
        <v>230.8</v>
      </c>
      <c r="BW93" s="225">
        <f t="shared" si="45"/>
        <v>249.8</v>
      </c>
      <c r="BX93" s="60"/>
      <c r="BY93" s="132">
        <f>ABS(BU93-BU$100)</f>
        <v>44.028571428571411</v>
      </c>
      <c r="BZ93" s="224">
        <f>ABS(BV93-BV$100)</f>
        <v>14.314285714285745</v>
      </c>
      <c r="CA93" s="225">
        <f>ABS(BW93-BW$100)</f>
        <v>35.799999999999955</v>
      </c>
      <c r="CC93" s="194" t="s">
        <v>53</v>
      </c>
      <c r="CD93" s="194" t="s">
        <v>12</v>
      </c>
      <c r="CE93" s="194" t="s">
        <v>11</v>
      </c>
      <c r="CF93" s="194" t="s">
        <v>159</v>
      </c>
      <c r="CG93" s="194" t="s">
        <v>54</v>
      </c>
    </row>
    <row r="94" spans="72:87" x14ac:dyDescent="0.25">
      <c r="BU94" s="214">
        <f t="shared" si="45"/>
        <v>258.60000000000002</v>
      </c>
      <c r="BV94" s="7">
        <f t="shared" si="45"/>
        <v>245.4</v>
      </c>
      <c r="BW94" s="215">
        <f t="shared" si="45"/>
        <v>279</v>
      </c>
      <c r="BX94" s="60"/>
      <c r="BY94" s="214">
        <f t="shared" ref="BY94:BY99" si="46">ABS(BU94-BU$100)</f>
        <v>56.171428571428578</v>
      </c>
      <c r="BZ94" s="7">
        <f t="shared" ref="BZ94:BZ99" si="47">ABS(BV94-BV$100)</f>
        <v>28.914285714285739</v>
      </c>
      <c r="CA94" s="215">
        <f t="shared" ref="CA94:CA99" si="48">ABS(BW94-BW$100)</f>
        <v>6.5999999999999659</v>
      </c>
      <c r="CC94" s="16" t="s">
        <v>474</v>
      </c>
      <c r="CD94" s="16">
        <v>7</v>
      </c>
      <c r="CE94" s="16">
        <v>318.22857142857134</v>
      </c>
      <c r="CF94" s="16">
        <v>45.461224489795903</v>
      </c>
      <c r="CG94" s="16">
        <v>424.56229348882454</v>
      </c>
    </row>
    <row r="95" spans="72:87" x14ac:dyDescent="0.25">
      <c r="BU95" s="214">
        <f t="shared" si="45"/>
        <v>331.8</v>
      </c>
      <c r="BV95" s="7">
        <f t="shared" si="45"/>
        <v>274.8</v>
      </c>
      <c r="BW95" s="215">
        <f t="shared" si="45"/>
        <v>258.39999999999998</v>
      </c>
      <c r="BX95" s="60"/>
      <c r="BY95" s="214">
        <f t="shared" si="46"/>
        <v>17.028571428571411</v>
      </c>
      <c r="BZ95" s="7">
        <f t="shared" si="47"/>
        <v>58.314285714285745</v>
      </c>
      <c r="CA95" s="215">
        <f t="shared" si="48"/>
        <v>27.199999999999989</v>
      </c>
      <c r="CC95" s="16" t="s">
        <v>475</v>
      </c>
      <c r="CD95" s="16">
        <v>7</v>
      </c>
      <c r="CE95" s="16">
        <v>238.9142857142858</v>
      </c>
      <c r="CF95" s="16">
        <v>34.130612244897968</v>
      </c>
      <c r="CG95" s="16">
        <v>582.08295432458692</v>
      </c>
    </row>
    <row r="96" spans="72:87" ht="15.75" thickBot="1" x14ac:dyDescent="0.3">
      <c r="BU96" s="214">
        <f t="shared" si="45"/>
        <v>372.2</v>
      </c>
      <c r="BV96" s="7">
        <f t="shared" si="45"/>
        <v>234.4</v>
      </c>
      <c r="BW96" s="215">
        <f t="shared" si="45"/>
        <v>264.60000000000002</v>
      </c>
      <c r="BX96" s="60"/>
      <c r="BY96" s="214">
        <f t="shared" si="46"/>
        <v>57.428571428571388</v>
      </c>
      <c r="BZ96" s="7">
        <f t="shared" si="47"/>
        <v>17.914285714285739</v>
      </c>
      <c r="CA96" s="215">
        <f t="shared" si="48"/>
        <v>20.999999999999943</v>
      </c>
      <c r="CC96" s="17" t="s">
        <v>51</v>
      </c>
      <c r="CD96" s="17">
        <v>7</v>
      </c>
      <c r="CE96" s="17">
        <v>231.19999999999982</v>
      </c>
      <c r="CF96" s="17">
        <v>33.028571428571404</v>
      </c>
      <c r="CG96" s="17">
        <v>396.08571428571531</v>
      </c>
    </row>
    <row r="97" spans="72:87" x14ac:dyDescent="0.25">
      <c r="BU97" s="214">
        <f t="shared" si="45"/>
        <v>237</v>
      </c>
      <c r="BV97" s="7">
        <f t="shared" si="45"/>
        <v>214.2</v>
      </c>
      <c r="BW97" s="215">
        <f t="shared" si="45"/>
        <v>353.4</v>
      </c>
      <c r="BX97" s="60"/>
      <c r="BY97" s="214">
        <f t="shared" si="46"/>
        <v>77.771428571428601</v>
      </c>
      <c r="BZ97" s="7">
        <f t="shared" si="47"/>
        <v>2.2857142857142776</v>
      </c>
      <c r="CA97" s="215">
        <f t="shared" si="48"/>
        <v>67.800000000000011</v>
      </c>
    </row>
    <row r="98" spans="72:87" x14ac:dyDescent="0.25">
      <c r="BU98" s="214">
        <f t="shared" si="45"/>
        <v>289.60000000000002</v>
      </c>
      <c r="BV98" s="7">
        <f t="shared" si="45"/>
        <v>155.19999999999999</v>
      </c>
      <c r="BW98" s="215">
        <f t="shared" si="45"/>
        <v>333.4</v>
      </c>
      <c r="BX98" s="60"/>
      <c r="BY98" s="214">
        <f t="shared" si="46"/>
        <v>25.171428571428578</v>
      </c>
      <c r="BZ98" s="7">
        <f t="shared" si="47"/>
        <v>61.285714285714278</v>
      </c>
      <c r="CA98" s="215">
        <f t="shared" si="48"/>
        <v>47.800000000000011</v>
      </c>
    </row>
    <row r="99" spans="72:87" ht="15.75" thickBot="1" x14ac:dyDescent="0.3">
      <c r="BU99" s="112">
        <f t="shared" si="45"/>
        <v>355.4</v>
      </c>
      <c r="BV99" s="113">
        <f t="shared" si="45"/>
        <v>160.6</v>
      </c>
      <c r="BW99" s="120">
        <f t="shared" si="45"/>
        <v>260.60000000000002</v>
      </c>
      <c r="BX99" s="60"/>
      <c r="BY99" s="112">
        <f t="shared" si="46"/>
        <v>40.628571428571377</v>
      </c>
      <c r="BZ99" s="113">
        <f t="shared" si="47"/>
        <v>55.885714285714272</v>
      </c>
      <c r="CA99" s="120">
        <f t="shared" si="48"/>
        <v>24.999999999999943</v>
      </c>
      <c r="CC99" t="s">
        <v>125</v>
      </c>
    </row>
    <row r="100" spans="72:87" x14ac:dyDescent="0.25">
      <c r="BT100" t="s">
        <v>6</v>
      </c>
      <c r="BU100" s="25">
        <f>AVERAGE(BU93:BU99)</f>
        <v>314.7714285714286</v>
      </c>
      <c r="BV100" s="25">
        <f>AVERAGE(BV93:BV99)</f>
        <v>216.48571428571427</v>
      </c>
      <c r="BW100" s="25">
        <f>AVERAGE(BW93:BW99)</f>
        <v>285.59999999999997</v>
      </c>
      <c r="BX100" s="243"/>
      <c r="BY100" s="243"/>
      <c r="BZ100" s="243"/>
      <c r="CA100" s="243"/>
      <c r="CC100" s="194" t="s">
        <v>160</v>
      </c>
      <c r="CD100" s="194" t="s">
        <v>111</v>
      </c>
      <c r="CE100" s="194" t="s">
        <v>41</v>
      </c>
      <c r="CF100" s="194" t="s">
        <v>115</v>
      </c>
      <c r="CG100" s="194" t="s">
        <v>98</v>
      </c>
      <c r="CH100" s="194" t="s">
        <v>83</v>
      </c>
      <c r="CI100" s="194" t="s">
        <v>161</v>
      </c>
    </row>
    <row r="101" spans="72:87" x14ac:dyDescent="0.25">
      <c r="BT101" t="s">
        <v>7</v>
      </c>
      <c r="BU101" s="25">
        <f>VAR(BU93:BU100)</f>
        <v>2430.6334693877393</v>
      </c>
      <c r="BV101" s="25">
        <f>VAR(BV93:BV99)</f>
        <v>1941.1314285714373</v>
      </c>
      <c r="BW101" s="25">
        <f>VAR(BW93:BW99)</f>
        <v>1668.7866666666814</v>
      </c>
      <c r="CC101" s="16" t="s">
        <v>156</v>
      </c>
      <c r="CD101" s="16">
        <v>663.05896987366395</v>
      </c>
      <c r="CE101" s="16">
        <v>2</v>
      </c>
      <c r="CF101" s="16">
        <v>331.52948493683198</v>
      </c>
      <c r="CG101" s="16">
        <v>0.70903721503526029</v>
      </c>
      <c r="CH101" s="16">
        <v>0.50535561227403336</v>
      </c>
      <c r="CI101" s="16">
        <v>3.5545571456617879</v>
      </c>
    </row>
    <row r="102" spans="72:87" x14ac:dyDescent="0.25">
      <c r="CC102" s="16" t="s">
        <v>157</v>
      </c>
      <c r="CD102" s="16">
        <v>8416.3857725947582</v>
      </c>
      <c r="CE102" s="16">
        <v>18</v>
      </c>
      <c r="CF102" s="16">
        <v>467.57698736637548</v>
      </c>
      <c r="CG102" s="16"/>
      <c r="CH102" s="16"/>
      <c r="CI102" s="16"/>
    </row>
    <row r="103" spans="72:87" x14ac:dyDescent="0.25">
      <c r="CC103" s="16"/>
      <c r="CD103" s="16"/>
      <c r="CE103" s="16"/>
      <c r="CF103" s="16"/>
      <c r="CG103" s="16"/>
      <c r="CH103" s="16"/>
      <c r="CI103" s="16"/>
    </row>
    <row r="104" spans="72:87" ht="15.75" thickBot="1" x14ac:dyDescent="0.3">
      <c r="CC104" s="17" t="s">
        <v>1</v>
      </c>
      <c r="CD104" s="17">
        <v>9079.4447424684222</v>
      </c>
      <c r="CE104" s="17">
        <v>20</v>
      </c>
      <c r="CF104" s="17"/>
      <c r="CG104" s="17"/>
      <c r="CH104" s="17"/>
      <c r="CI104" s="17"/>
    </row>
  </sheetData>
  <pageMargins left="0.7" right="0.7" top="0.75" bottom="0.75" header="0.3" footer="0.3"/>
  <ignoredErrors>
    <ignoredError sqref="L5 J9:N11" formulaRange="1"/>
  </ignoredError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W25"/>
  <sheetViews>
    <sheetView workbookViewId="0"/>
  </sheetViews>
  <sheetFormatPr defaultRowHeight="15" x14ac:dyDescent="0.25"/>
  <cols>
    <col min="1" max="1" width="18.140625" customWidth="1"/>
    <col min="9" max="9" width="17.5703125" customWidth="1"/>
    <col min="17" max="17" width="18.28515625" customWidth="1"/>
    <col min="18" max="23" width="9.42578125" customWidth="1"/>
  </cols>
  <sheetData>
    <row r="1" spans="1:21" x14ac:dyDescent="0.25">
      <c r="A1" t="s">
        <v>647</v>
      </c>
      <c r="I1" t="s">
        <v>648</v>
      </c>
      <c r="Q1" t="s">
        <v>649</v>
      </c>
    </row>
    <row r="2" spans="1:21" ht="15.75" thickBot="1" x14ac:dyDescent="0.3"/>
    <row r="3" spans="1:21" x14ac:dyDescent="0.25">
      <c r="A3" s="194" t="s">
        <v>43</v>
      </c>
      <c r="B3" s="194" t="s">
        <v>12</v>
      </c>
      <c r="C3" s="194" t="s">
        <v>11</v>
      </c>
      <c r="D3" s="194" t="s">
        <v>159</v>
      </c>
      <c r="E3" s="194" t="s">
        <v>54</v>
      </c>
      <c r="I3" s="291" t="s">
        <v>43</v>
      </c>
      <c r="J3" s="291" t="s">
        <v>12</v>
      </c>
      <c r="K3" s="291" t="s">
        <v>11</v>
      </c>
      <c r="L3" s="291" t="s">
        <v>159</v>
      </c>
      <c r="M3" s="291" t="s">
        <v>54</v>
      </c>
      <c r="Q3" s="291" t="s">
        <v>43</v>
      </c>
      <c r="R3" s="291" t="s">
        <v>12</v>
      </c>
      <c r="S3" s="291" t="s">
        <v>11</v>
      </c>
      <c r="T3" s="291" t="s">
        <v>159</v>
      </c>
      <c r="U3" s="291" t="s">
        <v>54</v>
      </c>
    </row>
    <row r="4" spans="1:21" x14ac:dyDescent="0.25">
      <c r="A4" s="16" t="s">
        <v>541</v>
      </c>
      <c r="B4" s="16">
        <v>5</v>
      </c>
      <c r="C4" s="16">
        <v>1794</v>
      </c>
      <c r="D4" s="16">
        <v>358.8</v>
      </c>
      <c r="E4" s="16">
        <v>8705.2000000000116</v>
      </c>
      <c r="I4" s="16" t="s">
        <v>541</v>
      </c>
      <c r="J4" s="16">
        <v>5</v>
      </c>
      <c r="K4" s="16">
        <v>1154</v>
      </c>
      <c r="L4" s="16">
        <v>230.8</v>
      </c>
      <c r="M4" s="16">
        <v>14531.699999999997</v>
      </c>
      <c r="Q4" s="16" t="s">
        <v>541</v>
      </c>
      <c r="R4" s="16">
        <v>5</v>
      </c>
      <c r="S4" s="16">
        <v>1249</v>
      </c>
      <c r="T4" s="16">
        <v>249.8</v>
      </c>
      <c r="U4" s="16">
        <v>14201.699999999997</v>
      </c>
    </row>
    <row r="5" spans="1:21" x14ac:dyDescent="0.25">
      <c r="A5" s="16" t="s">
        <v>542</v>
      </c>
      <c r="B5" s="16">
        <v>5</v>
      </c>
      <c r="C5" s="16">
        <v>1293</v>
      </c>
      <c r="D5" s="16">
        <v>258.60000000000002</v>
      </c>
      <c r="E5" s="16">
        <v>15928.300000000003</v>
      </c>
      <c r="I5" s="16" t="s">
        <v>542</v>
      </c>
      <c r="J5" s="16">
        <v>5</v>
      </c>
      <c r="K5" s="16">
        <v>1227</v>
      </c>
      <c r="L5" s="16">
        <v>245.4</v>
      </c>
      <c r="M5" s="16">
        <v>30900.800000000003</v>
      </c>
      <c r="Q5" s="16" t="s">
        <v>542</v>
      </c>
      <c r="R5" s="16">
        <v>5</v>
      </c>
      <c r="S5" s="16">
        <v>1395</v>
      </c>
      <c r="T5" s="16">
        <v>279</v>
      </c>
      <c r="U5" s="16">
        <v>14387.5</v>
      </c>
    </row>
    <row r="6" spans="1:21" x14ac:dyDescent="0.25">
      <c r="A6" s="16" t="s">
        <v>543</v>
      </c>
      <c r="B6" s="16">
        <v>5</v>
      </c>
      <c r="C6" s="16">
        <v>1659</v>
      </c>
      <c r="D6" s="16">
        <v>331.8</v>
      </c>
      <c r="E6" s="16">
        <v>5581.7000000000116</v>
      </c>
      <c r="I6" s="16" t="s">
        <v>543</v>
      </c>
      <c r="J6" s="16">
        <v>5</v>
      </c>
      <c r="K6" s="16">
        <v>1374</v>
      </c>
      <c r="L6" s="16">
        <v>274.8</v>
      </c>
      <c r="M6" s="16">
        <v>29150.699999999997</v>
      </c>
      <c r="Q6" s="16" t="s">
        <v>543</v>
      </c>
      <c r="R6" s="16">
        <v>5</v>
      </c>
      <c r="S6" s="16">
        <v>1292</v>
      </c>
      <c r="T6" s="16">
        <v>258.39999999999998</v>
      </c>
      <c r="U6" s="16">
        <v>20328.800000000003</v>
      </c>
    </row>
    <row r="7" spans="1:21" x14ac:dyDescent="0.25">
      <c r="A7" s="16" t="s">
        <v>544</v>
      </c>
      <c r="B7" s="16">
        <v>5</v>
      </c>
      <c r="C7" s="16">
        <v>1861</v>
      </c>
      <c r="D7" s="16">
        <v>372.2</v>
      </c>
      <c r="E7" s="16">
        <v>8547.7000000000116</v>
      </c>
      <c r="I7" s="16" t="s">
        <v>544</v>
      </c>
      <c r="J7" s="16">
        <v>5</v>
      </c>
      <c r="K7" s="16">
        <v>1172</v>
      </c>
      <c r="L7" s="16">
        <v>234.4</v>
      </c>
      <c r="M7" s="16">
        <v>2907.8000000000029</v>
      </c>
      <c r="Q7" s="16" t="s">
        <v>544</v>
      </c>
      <c r="R7" s="16">
        <v>5</v>
      </c>
      <c r="S7" s="16">
        <v>1323</v>
      </c>
      <c r="T7" s="16">
        <v>264.60000000000002</v>
      </c>
      <c r="U7" s="16">
        <v>15914.300000000003</v>
      </c>
    </row>
    <row r="8" spans="1:21" x14ac:dyDescent="0.25">
      <c r="A8" s="16" t="s">
        <v>545</v>
      </c>
      <c r="B8" s="16">
        <v>5</v>
      </c>
      <c r="C8" s="16">
        <v>1185</v>
      </c>
      <c r="D8" s="16">
        <v>237</v>
      </c>
      <c r="E8" s="16">
        <v>5664.5</v>
      </c>
      <c r="I8" s="16" t="s">
        <v>545</v>
      </c>
      <c r="J8" s="16">
        <v>5</v>
      </c>
      <c r="K8" s="16">
        <v>1071</v>
      </c>
      <c r="L8" s="16">
        <v>214.2</v>
      </c>
      <c r="M8" s="16">
        <v>20786.199999999997</v>
      </c>
      <c r="Q8" s="16" t="s">
        <v>545</v>
      </c>
      <c r="R8" s="16">
        <v>5</v>
      </c>
      <c r="S8" s="16">
        <v>1767</v>
      </c>
      <c r="T8" s="16">
        <v>353.4</v>
      </c>
      <c r="U8" s="16">
        <v>19106.799999999988</v>
      </c>
    </row>
    <row r="9" spans="1:21" x14ac:dyDescent="0.25">
      <c r="A9" s="16" t="s">
        <v>546</v>
      </c>
      <c r="B9" s="16">
        <v>5</v>
      </c>
      <c r="C9" s="16">
        <v>1448</v>
      </c>
      <c r="D9" s="16">
        <v>289.60000000000002</v>
      </c>
      <c r="E9" s="16">
        <v>13308.800000000003</v>
      </c>
      <c r="I9" s="16" t="s">
        <v>546</v>
      </c>
      <c r="J9" s="16">
        <v>5</v>
      </c>
      <c r="K9" s="16">
        <v>776</v>
      </c>
      <c r="L9" s="16">
        <v>155.19999999999999</v>
      </c>
      <c r="M9" s="16">
        <v>9026.2000000000007</v>
      </c>
      <c r="Q9" s="16" t="s">
        <v>546</v>
      </c>
      <c r="R9" s="16">
        <v>5</v>
      </c>
      <c r="S9" s="16">
        <v>1667</v>
      </c>
      <c r="T9" s="16">
        <v>333.4</v>
      </c>
      <c r="U9" s="16">
        <v>26366.799999999988</v>
      </c>
    </row>
    <row r="10" spans="1:21" x14ac:dyDescent="0.25">
      <c r="A10" s="16" t="s">
        <v>547</v>
      </c>
      <c r="B10" s="16">
        <v>5</v>
      </c>
      <c r="C10" s="16">
        <v>1777</v>
      </c>
      <c r="D10" s="16">
        <v>355.4</v>
      </c>
      <c r="E10" s="16">
        <v>7384.7999999999884</v>
      </c>
      <c r="I10" s="16" t="s">
        <v>547</v>
      </c>
      <c r="J10" s="16">
        <v>5</v>
      </c>
      <c r="K10" s="16">
        <v>803</v>
      </c>
      <c r="L10" s="16">
        <v>160.6</v>
      </c>
      <c r="M10" s="16">
        <v>15467.3</v>
      </c>
      <c r="Q10" s="16" t="s">
        <v>547</v>
      </c>
      <c r="R10" s="16">
        <v>5</v>
      </c>
      <c r="S10" s="16">
        <v>1303</v>
      </c>
      <c r="T10" s="16">
        <v>260.60000000000002</v>
      </c>
      <c r="U10" s="16">
        <v>8206.3000000000029</v>
      </c>
    </row>
    <row r="11" spans="1:21" x14ac:dyDescent="0.25">
      <c r="A11" s="16"/>
      <c r="B11" s="16"/>
      <c r="C11" s="16"/>
      <c r="D11" s="16"/>
      <c r="E11" s="16"/>
      <c r="I11" s="16"/>
      <c r="J11" s="16"/>
      <c r="K11" s="16"/>
      <c r="L11" s="16"/>
      <c r="M11" s="16"/>
      <c r="Q11" s="16"/>
      <c r="R11" s="16"/>
      <c r="S11" s="16"/>
      <c r="T11" s="16"/>
      <c r="U11" s="16"/>
    </row>
    <row r="12" spans="1:21" x14ac:dyDescent="0.25">
      <c r="A12" s="16" t="s">
        <v>548</v>
      </c>
      <c r="B12" s="16">
        <v>7</v>
      </c>
      <c r="C12" s="16">
        <v>1294</v>
      </c>
      <c r="D12" s="16">
        <v>184.85714285714286</v>
      </c>
      <c r="E12" s="16">
        <v>5971.1428571428551</v>
      </c>
      <c r="I12" s="16" t="s">
        <v>548</v>
      </c>
      <c r="J12" s="16">
        <v>7</v>
      </c>
      <c r="K12" s="16">
        <v>381</v>
      </c>
      <c r="L12" s="16">
        <v>54.428571428571431</v>
      </c>
      <c r="M12" s="16">
        <v>4377.6190476190477</v>
      </c>
      <c r="Q12" s="16" t="s">
        <v>548</v>
      </c>
      <c r="R12" s="16">
        <v>7</v>
      </c>
      <c r="S12" s="16">
        <v>612</v>
      </c>
      <c r="T12" s="16">
        <v>87.428571428571431</v>
      </c>
      <c r="U12" s="16">
        <v>937.61904761904714</v>
      </c>
    </row>
    <row r="13" spans="1:21" x14ac:dyDescent="0.25">
      <c r="A13" s="16" t="s">
        <v>549</v>
      </c>
      <c r="B13" s="16">
        <v>7</v>
      </c>
      <c r="C13" s="16">
        <v>1819</v>
      </c>
      <c r="D13" s="16">
        <v>259.85714285714283</v>
      </c>
      <c r="E13" s="16">
        <v>2915.1428571428601</v>
      </c>
      <c r="I13" s="16" t="s">
        <v>549</v>
      </c>
      <c r="J13" s="16">
        <v>7</v>
      </c>
      <c r="K13" s="16">
        <v>834</v>
      </c>
      <c r="L13" s="16">
        <v>119.14285714285714</v>
      </c>
      <c r="M13" s="16">
        <v>2236.8095238095243</v>
      </c>
      <c r="Q13" s="16" t="s">
        <v>549</v>
      </c>
      <c r="R13" s="16">
        <v>7</v>
      </c>
      <c r="S13" s="16">
        <v>1671</v>
      </c>
      <c r="T13" s="16">
        <v>238.71428571428572</v>
      </c>
      <c r="U13" s="16">
        <v>4400.9047619047633</v>
      </c>
    </row>
    <row r="14" spans="1:21" x14ac:dyDescent="0.25">
      <c r="A14" s="16" t="s">
        <v>550</v>
      </c>
      <c r="B14" s="16">
        <v>7</v>
      </c>
      <c r="C14" s="16">
        <v>2680</v>
      </c>
      <c r="D14" s="16">
        <v>382.85714285714283</v>
      </c>
      <c r="E14" s="16">
        <v>4241.1428571428596</v>
      </c>
      <c r="I14" s="16" t="s">
        <v>550</v>
      </c>
      <c r="J14" s="16">
        <v>7</v>
      </c>
      <c r="K14" s="16">
        <v>2222</v>
      </c>
      <c r="L14" s="16">
        <v>317.42857142857144</v>
      </c>
      <c r="M14" s="16">
        <v>5699.2857142857201</v>
      </c>
      <c r="Q14" s="16" t="s">
        <v>550</v>
      </c>
      <c r="R14" s="16">
        <v>7</v>
      </c>
      <c r="S14" s="16">
        <v>2587</v>
      </c>
      <c r="T14" s="16">
        <v>369.57142857142856</v>
      </c>
      <c r="U14" s="16">
        <v>3550.6190476190532</v>
      </c>
    </row>
    <row r="15" spans="1:21" x14ac:dyDescent="0.25">
      <c r="A15" s="16" t="s">
        <v>551</v>
      </c>
      <c r="B15" s="16">
        <v>7</v>
      </c>
      <c r="C15" s="16">
        <v>2538</v>
      </c>
      <c r="D15" s="16">
        <v>362.57142857142856</v>
      </c>
      <c r="E15" s="16">
        <v>3318.2857142857197</v>
      </c>
      <c r="I15" s="16" t="s">
        <v>551</v>
      </c>
      <c r="J15" s="16">
        <v>7</v>
      </c>
      <c r="K15" s="16">
        <v>1971</v>
      </c>
      <c r="L15" s="16">
        <v>281.57142857142856</v>
      </c>
      <c r="M15" s="16">
        <v>3628.9523809523866</v>
      </c>
      <c r="Q15" s="16" t="s">
        <v>551</v>
      </c>
      <c r="R15" s="16">
        <v>7</v>
      </c>
      <c r="S15" s="16">
        <v>2620</v>
      </c>
      <c r="T15" s="16">
        <v>374.28571428571428</v>
      </c>
      <c r="U15" s="16">
        <v>2882.9047619047537</v>
      </c>
    </row>
    <row r="16" spans="1:21" ht="15.75" thickBot="1" x14ac:dyDescent="0.3">
      <c r="A16" s="17" t="s">
        <v>552</v>
      </c>
      <c r="B16" s="17">
        <v>7</v>
      </c>
      <c r="C16" s="17">
        <v>2686</v>
      </c>
      <c r="D16" s="17">
        <v>383.71428571428572</v>
      </c>
      <c r="E16" s="17">
        <v>4318.9047619047533</v>
      </c>
      <c r="I16" s="17" t="s">
        <v>552</v>
      </c>
      <c r="J16" s="17">
        <v>7</v>
      </c>
      <c r="K16" s="17">
        <v>2169</v>
      </c>
      <c r="L16" s="17">
        <v>309.85714285714283</v>
      </c>
      <c r="M16" s="17">
        <v>6914.4761904761936</v>
      </c>
      <c r="Q16" s="17" t="s">
        <v>552</v>
      </c>
      <c r="R16" s="17">
        <v>7</v>
      </c>
      <c r="S16" s="17">
        <v>2506</v>
      </c>
      <c r="T16" s="17">
        <v>358</v>
      </c>
      <c r="U16" s="17">
        <v>3680.3333333333335</v>
      </c>
    </row>
    <row r="19" spans="1:23" ht="15.75" thickBot="1" x14ac:dyDescent="0.3">
      <c r="A19" t="s">
        <v>125</v>
      </c>
      <c r="I19" t="s">
        <v>125</v>
      </c>
      <c r="Q19" t="s">
        <v>125</v>
      </c>
    </row>
    <row r="20" spans="1:23" x14ac:dyDescent="0.25">
      <c r="A20" s="194" t="s">
        <v>160</v>
      </c>
      <c r="B20" s="194" t="s">
        <v>111</v>
      </c>
      <c r="C20" s="194" t="s">
        <v>41</v>
      </c>
      <c r="D20" s="194" t="s">
        <v>115</v>
      </c>
      <c r="E20" s="194" t="s">
        <v>98</v>
      </c>
      <c r="F20" s="194" t="s">
        <v>83</v>
      </c>
      <c r="G20" s="194" t="s">
        <v>161</v>
      </c>
      <c r="I20" s="291" t="s">
        <v>160</v>
      </c>
      <c r="J20" s="291" t="s">
        <v>111</v>
      </c>
      <c r="K20" s="291" t="s">
        <v>41</v>
      </c>
      <c r="L20" s="291" t="s">
        <v>115</v>
      </c>
      <c r="M20" s="291" t="s">
        <v>98</v>
      </c>
      <c r="N20" s="291" t="s">
        <v>83</v>
      </c>
      <c r="O20" s="291" t="s">
        <v>161</v>
      </c>
      <c r="Q20" s="291" t="s">
        <v>160</v>
      </c>
      <c r="R20" s="291" t="s">
        <v>111</v>
      </c>
      <c r="S20" s="291" t="s">
        <v>41</v>
      </c>
      <c r="T20" s="291" t="s">
        <v>115</v>
      </c>
      <c r="U20" s="291" t="s">
        <v>98</v>
      </c>
      <c r="V20" s="291" t="s">
        <v>83</v>
      </c>
      <c r="W20" s="291" t="s">
        <v>161</v>
      </c>
    </row>
    <row r="21" spans="1:23" x14ac:dyDescent="0.25">
      <c r="A21" s="16" t="s">
        <v>99</v>
      </c>
      <c r="B21" s="16">
        <v>85072.171428571397</v>
      </c>
      <c r="C21" s="16">
        <v>6</v>
      </c>
      <c r="D21" s="16">
        <v>14178.695238095233</v>
      </c>
      <c r="E21" s="16">
        <v>8.6115148903433116</v>
      </c>
      <c r="F21" s="16">
        <v>4.7218804282676579E-5</v>
      </c>
      <c r="G21" s="16">
        <v>2.5081888234232559</v>
      </c>
      <c r="I21" s="16" t="s">
        <v>99</v>
      </c>
      <c r="J21" s="16">
        <v>58233.942857142829</v>
      </c>
      <c r="K21" s="16">
        <v>6</v>
      </c>
      <c r="L21" s="16">
        <v>9705.6571428571388</v>
      </c>
      <c r="M21" s="16">
        <v>2.9519576278182553</v>
      </c>
      <c r="N21" s="16">
        <v>2.6540423840703348E-2</v>
      </c>
      <c r="O21" s="16">
        <v>2.5081888234232559</v>
      </c>
      <c r="Q21" s="16" t="s">
        <v>99</v>
      </c>
      <c r="R21" s="16">
        <v>50063.599999999977</v>
      </c>
      <c r="S21" s="16">
        <v>6</v>
      </c>
      <c r="T21" s="16">
        <v>8343.9333333333288</v>
      </c>
      <c r="U21" s="16">
        <v>4.6952211118360836</v>
      </c>
      <c r="V21" s="16">
        <v>2.7144649208904891E-3</v>
      </c>
      <c r="W21" s="16">
        <v>2.5081888234232559</v>
      </c>
    </row>
    <row r="22" spans="1:23" x14ac:dyDescent="0.25">
      <c r="A22" s="16" t="s">
        <v>177</v>
      </c>
      <c r="B22" s="16">
        <v>220968.45714285711</v>
      </c>
      <c r="C22" s="16">
        <v>4</v>
      </c>
      <c r="D22" s="16">
        <v>55242.114285714277</v>
      </c>
      <c r="E22" s="16">
        <v>33.551626701681158</v>
      </c>
      <c r="F22" s="16">
        <v>1.6606146059093755E-9</v>
      </c>
      <c r="G22" s="16">
        <v>2.7762892892514786</v>
      </c>
      <c r="I22" s="16" t="s">
        <v>177</v>
      </c>
      <c r="J22" s="16">
        <v>412173.88571428566</v>
      </c>
      <c r="K22" s="16">
        <v>4</v>
      </c>
      <c r="L22" s="16">
        <v>103043.47142857141</v>
      </c>
      <c r="M22" s="16">
        <v>31.340480814769411</v>
      </c>
      <c r="N22" s="16">
        <v>3.2800032757234696E-9</v>
      </c>
      <c r="O22" s="16">
        <v>2.7762892892514786</v>
      </c>
      <c r="Q22" s="16" t="s">
        <v>177</v>
      </c>
      <c r="R22" s="16">
        <v>431398.11428571434</v>
      </c>
      <c r="S22" s="16">
        <v>4</v>
      </c>
      <c r="T22" s="16">
        <v>107849.52857142859</v>
      </c>
      <c r="U22" s="16">
        <v>60.688090762566894</v>
      </c>
      <c r="V22" s="16">
        <v>3.3537021761768956E-12</v>
      </c>
      <c r="W22" s="16">
        <v>2.7762892892514786</v>
      </c>
    </row>
    <row r="23" spans="1:23" x14ac:dyDescent="0.25">
      <c r="A23" s="16" t="s">
        <v>176</v>
      </c>
      <c r="B23" s="16">
        <v>39515.542857142922</v>
      </c>
      <c r="C23" s="16">
        <v>24</v>
      </c>
      <c r="D23" s="16">
        <v>1646.4809523809552</v>
      </c>
      <c r="E23" s="16"/>
      <c r="F23" s="16"/>
      <c r="G23" s="16"/>
      <c r="I23" s="16" t="s">
        <v>176</v>
      </c>
      <c r="J23" s="16">
        <v>78908.914285714331</v>
      </c>
      <c r="K23" s="16">
        <v>24</v>
      </c>
      <c r="L23" s="16">
        <v>3287.8714285714304</v>
      </c>
      <c r="M23" s="16"/>
      <c r="N23" s="16"/>
      <c r="O23" s="16"/>
      <c r="Q23" s="16" t="s">
        <v>176</v>
      </c>
      <c r="R23" s="16">
        <v>42650.685714285704</v>
      </c>
      <c r="S23" s="16">
        <v>24</v>
      </c>
      <c r="T23" s="16">
        <v>1777.1119047619043</v>
      </c>
      <c r="U23" s="16"/>
      <c r="V23" s="16"/>
      <c r="W23" s="16"/>
    </row>
    <row r="24" spans="1:23" x14ac:dyDescent="0.25">
      <c r="A24" s="16"/>
      <c r="B24" s="16"/>
      <c r="C24" s="16"/>
      <c r="D24" s="16"/>
      <c r="E24" s="16"/>
      <c r="F24" s="16"/>
      <c r="G24" s="16"/>
      <c r="I24" s="16"/>
      <c r="J24" s="16"/>
      <c r="K24" s="16"/>
      <c r="L24" s="16"/>
      <c r="M24" s="16"/>
      <c r="N24" s="16"/>
      <c r="O24" s="16"/>
      <c r="Q24" s="16"/>
      <c r="R24" s="16"/>
      <c r="S24" s="16"/>
      <c r="T24" s="16"/>
      <c r="U24" s="16"/>
      <c r="V24" s="16"/>
      <c r="W24" s="16"/>
    </row>
    <row r="25" spans="1:23" ht="15.75" thickBot="1" x14ac:dyDescent="0.3">
      <c r="A25" s="17" t="s">
        <v>1</v>
      </c>
      <c r="B25" s="17">
        <v>345556.1714285714</v>
      </c>
      <c r="C25" s="17">
        <v>34</v>
      </c>
      <c r="D25" s="17"/>
      <c r="E25" s="17"/>
      <c r="F25" s="17"/>
      <c r="G25" s="17"/>
      <c r="I25" s="17" t="s">
        <v>1</v>
      </c>
      <c r="J25" s="17">
        <v>549316.74285714282</v>
      </c>
      <c r="K25" s="17">
        <v>34</v>
      </c>
      <c r="L25" s="17"/>
      <c r="M25" s="17"/>
      <c r="N25" s="17"/>
      <c r="O25" s="17"/>
      <c r="Q25" s="17" t="s">
        <v>1</v>
      </c>
      <c r="R25" s="17">
        <v>524112.4</v>
      </c>
      <c r="S25" s="17">
        <v>34</v>
      </c>
      <c r="T25" s="17"/>
      <c r="U25" s="17"/>
      <c r="V25" s="17"/>
      <c r="W25" s="17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AK28"/>
  <sheetViews>
    <sheetView zoomScaleNormal="100" workbookViewId="0"/>
  </sheetViews>
  <sheetFormatPr defaultRowHeight="15" x14ac:dyDescent="0.25"/>
  <cols>
    <col min="2" max="6" width="6.5703125" customWidth="1"/>
    <col min="8" max="8" width="11.140625" customWidth="1"/>
    <col min="16" max="16" width="17" customWidth="1"/>
  </cols>
  <sheetData>
    <row r="1" spans="1:37" x14ac:dyDescent="0.25">
      <c r="A1" s="1" t="s">
        <v>500</v>
      </c>
      <c r="Y1" t="s">
        <v>1134</v>
      </c>
      <c r="AF1" t="s">
        <v>1135</v>
      </c>
    </row>
    <row r="3" spans="1:37" x14ac:dyDescent="0.25">
      <c r="A3" s="487" t="s">
        <v>2</v>
      </c>
      <c r="B3" s="12" t="s">
        <v>476</v>
      </c>
      <c r="C3" s="12" t="s">
        <v>477</v>
      </c>
      <c r="D3" s="12" t="s">
        <v>478</v>
      </c>
      <c r="E3" s="12" t="s">
        <v>479</v>
      </c>
      <c r="F3" s="12" t="s">
        <v>480</v>
      </c>
      <c r="H3" t="s">
        <v>13</v>
      </c>
      <c r="P3" t="s">
        <v>1129</v>
      </c>
      <c r="Y3" s="487" t="s">
        <v>2</v>
      </c>
      <c r="Z3" s="12" t="s">
        <v>476</v>
      </c>
      <c r="AA3" s="12" t="s">
        <v>477</v>
      </c>
      <c r="AB3" s="12" t="s">
        <v>478</v>
      </c>
      <c r="AC3" s="12" t="s">
        <v>479</v>
      </c>
      <c r="AD3" s="12" t="s">
        <v>480</v>
      </c>
      <c r="AF3" t="e">
        <f t="array" aca="1" ref="AF3:AK24" ca="1">QSORTRows(Y3:AD24,1,TRUE)</f>
        <v>#NAME?</v>
      </c>
      <c r="AG3" t="e">
        <f ca="1"/>
        <v>#NAME?</v>
      </c>
      <c r="AH3" t="e">
        <f ca="1"/>
        <v>#NAME?</v>
      </c>
      <c r="AI3" t="e">
        <f ca="1"/>
        <v>#NAME?</v>
      </c>
      <c r="AJ3" t="e">
        <f ca="1"/>
        <v>#NAME?</v>
      </c>
      <c r="AK3" t="e">
        <f ca="1"/>
        <v>#NAME?</v>
      </c>
    </row>
    <row r="4" spans="1:37" x14ac:dyDescent="0.25">
      <c r="A4" s="209" t="s">
        <v>474</v>
      </c>
      <c r="B4" s="226">
        <v>250</v>
      </c>
      <c r="C4" s="227">
        <v>278</v>
      </c>
      <c r="D4" s="227">
        <v>442</v>
      </c>
      <c r="E4" s="227">
        <v>368</v>
      </c>
      <c r="F4" s="228">
        <v>456</v>
      </c>
      <c r="Y4" s="417" t="s">
        <v>474</v>
      </c>
      <c r="Z4" s="489">
        <v>230</v>
      </c>
      <c r="AA4" s="489">
        <v>306</v>
      </c>
      <c r="AB4" s="489">
        <v>432</v>
      </c>
      <c r="AC4" s="489">
        <v>386</v>
      </c>
      <c r="AD4" s="490">
        <v>423</v>
      </c>
      <c r="AF4" t="e">
        <f ca="1"/>
        <v>#NAME?</v>
      </c>
      <c r="AG4" s="418" t="e">
        <f ca="1"/>
        <v>#NAME?</v>
      </c>
      <c r="AH4" s="416" t="e">
        <f ca="1"/>
        <v>#NAME?</v>
      </c>
      <c r="AI4" s="416" t="e">
        <f ca="1"/>
        <v>#NAME?</v>
      </c>
      <c r="AJ4" s="416" t="e">
        <f ca="1"/>
        <v>#NAME?</v>
      </c>
      <c r="AK4" s="419" t="e">
        <f ca="1"/>
        <v>#NAME?</v>
      </c>
    </row>
    <row r="5" spans="1:37" ht="15.75" thickBot="1" x14ac:dyDescent="0.3">
      <c r="A5" s="214"/>
      <c r="B5" s="229">
        <v>65</v>
      </c>
      <c r="C5" s="230">
        <v>207</v>
      </c>
      <c r="D5" s="230">
        <v>341</v>
      </c>
      <c r="E5" s="230">
        <v>382</v>
      </c>
      <c r="F5" s="231">
        <v>298</v>
      </c>
      <c r="H5" t="s">
        <v>820</v>
      </c>
      <c r="I5" t="str">
        <f>IF(COUNTIF(I7:M9,I7)=COUNT(I7:M9),"balanced","unbalanced")</f>
        <v>balanced</v>
      </c>
      <c r="P5" t="s">
        <v>125</v>
      </c>
      <c r="T5" s="485" t="s">
        <v>18</v>
      </c>
      <c r="U5" s="485">
        <v>0.05</v>
      </c>
      <c r="Y5" s="185" t="s">
        <v>475</v>
      </c>
      <c r="Z5" s="230">
        <v>54</v>
      </c>
      <c r="AA5" s="230">
        <v>172</v>
      </c>
      <c r="AB5" s="230">
        <v>307</v>
      </c>
      <c r="AC5" s="230">
        <v>261</v>
      </c>
      <c r="AD5" s="231">
        <v>360</v>
      </c>
      <c r="AF5" t="e">
        <f ca="1"/>
        <v>#NAME?</v>
      </c>
      <c r="AG5" s="214" t="e">
        <f ca="1"/>
        <v>#NAME?</v>
      </c>
      <c r="AH5" s="7" t="e">
        <f ca="1"/>
        <v>#NAME?</v>
      </c>
      <c r="AI5" s="7" t="e">
        <f ca="1"/>
        <v>#NAME?</v>
      </c>
      <c r="AJ5" s="7" t="e">
        <f ca="1"/>
        <v>#NAME?</v>
      </c>
      <c r="AK5" s="215" t="e">
        <f ca="1"/>
        <v>#NAME?</v>
      </c>
    </row>
    <row r="6" spans="1:37" ht="15.75" thickTop="1" x14ac:dyDescent="0.25">
      <c r="A6" s="214"/>
      <c r="B6" s="229">
        <v>251</v>
      </c>
      <c r="C6" s="230">
        <v>261</v>
      </c>
      <c r="D6" s="230">
        <v>384</v>
      </c>
      <c r="E6" s="230">
        <v>421</v>
      </c>
      <c r="F6" s="231">
        <v>342</v>
      </c>
      <c r="I6" s="485" t="str">
        <f>B3</f>
        <v>Day 1</v>
      </c>
      <c r="J6" s="485" t="str">
        <f>C3</f>
        <v>Day 2</v>
      </c>
      <c r="K6" s="485" t="str">
        <f>D3</f>
        <v>Day 3</v>
      </c>
      <c r="L6" s="485" t="str">
        <f>E3</f>
        <v>Day 4</v>
      </c>
      <c r="M6" s="485" t="str">
        <f>F3</f>
        <v>Day 5</v>
      </c>
      <c r="P6" s="386"/>
      <c r="Q6" s="386" t="s">
        <v>111</v>
      </c>
      <c r="R6" s="386" t="s">
        <v>41</v>
      </c>
      <c r="S6" s="386" t="s">
        <v>115</v>
      </c>
      <c r="T6" s="386" t="s">
        <v>98</v>
      </c>
      <c r="U6" s="386" t="s">
        <v>154</v>
      </c>
      <c r="V6" s="386" t="s">
        <v>161</v>
      </c>
      <c r="Y6" s="185" t="s">
        <v>51</v>
      </c>
      <c r="Z6" s="230">
        <v>118</v>
      </c>
      <c r="AA6" s="230">
        <v>124</v>
      </c>
      <c r="AB6" s="230">
        <v>365</v>
      </c>
      <c r="AC6" s="230">
        <v>311</v>
      </c>
      <c r="AD6" s="231">
        <v>331</v>
      </c>
      <c r="AF6" t="e">
        <f ca="1"/>
        <v>#NAME?</v>
      </c>
      <c r="AG6" s="214" t="e">
        <f ca="1"/>
        <v>#NAME?</v>
      </c>
      <c r="AH6" s="7" t="e">
        <f ca="1"/>
        <v>#NAME?</v>
      </c>
      <c r="AI6" s="7" t="e">
        <f ca="1"/>
        <v>#NAME?</v>
      </c>
      <c r="AJ6" s="7" t="e">
        <f ca="1"/>
        <v>#NAME?</v>
      </c>
      <c r="AK6" s="215" t="e">
        <f ca="1"/>
        <v>#NAME?</v>
      </c>
    </row>
    <row r="7" spans="1:37" x14ac:dyDescent="0.25">
      <c r="A7" s="214"/>
      <c r="B7" s="229">
        <v>241</v>
      </c>
      <c r="C7" s="230">
        <v>314</v>
      </c>
      <c r="D7" s="230">
        <v>423</v>
      </c>
      <c r="E7" s="230">
        <v>415</v>
      </c>
      <c r="F7" s="231">
        <v>468</v>
      </c>
      <c r="H7" t="str">
        <f>A4</f>
        <v>Young</v>
      </c>
      <c r="I7" s="414">
        <f>COUNT(B4:B10)</f>
        <v>7</v>
      </c>
      <c r="J7" s="358">
        <f>COUNT(C4:C10)</f>
        <v>7</v>
      </c>
      <c r="K7" s="358">
        <f>COUNT(D4:D10)</f>
        <v>7</v>
      </c>
      <c r="L7" s="358">
        <f>COUNT(E4:E10)</f>
        <v>7</v>
      </c>
      <c r="M7" s="415">
        <f>COUNT(F4:F10)</f>
        <v>7</v>
      </c>
      <c r="N7">
        <f>COUNT(B4:F10)</f>
        <v>35</v>
      </c>
      <c r="P7" t="s">
        <v>466</v>
      </c>
      <c r="Q7" t="e">
        <f ca="1">DEVSQ(MEANROW(B4:F24))*(R11+1)</f>
        <v>#NAME?</v>
      </c>
      <c r="R7">
        <f>I10-1</f>
        <v>20</v>
      </c>
      <c r="Y7" s="185" t="s">
        <v>475</v>
      </c>
      <c r="Z7" s="230">
        <v>41</v>
      </c>
      <c r="AA7" s="230">
        <v>168</v>
      </c>
      <c r="AB7" s="230">
        <v>378</v>
      </c>
      <c r="AC7" s="230">
        <v>317</v>
      </c>
      <c r="AD7" s="231">
        <v>470</v>
      </c>
      <c r="AF7" t="e">
        <f ca="1"/>
        <v>#NAME?</v>
      </c>
      <c r="AG7" s="214" t="e">
        <f ca="1"/>
        <v>#NAME?</v>
      </c>
      <c r="AH7" s="7" t="e">
        <f ca="1"/>
        <v>#NAME?</v>
      </c>
      <c r="AI7" s="7" t="e">
        <f ca="1"/>
        <v>#NAME?</v>
      </c>
      <c r="AJ7" s="7" t="e">
        <f ca="1"/>
        <v>#NAME?</v>
      </c>
      <c r="AK7" s="215" t="e">
        <f ca="1"/>
        <v>#NAME?</v>
      </c>
    </row>
    <row r="8" spans="1:37" x14ac:dyDescent="0.25">
      <c r="A8" s="214"/>
      <c r="B8" s="229">
        <v>154</v>
      </c>
      <c r="C8" s="230">
        <v>167</v>
      </c>
      <c r="D8" s="230">
        <v>257</v>
      </c>
      <c r="E8" s="230">
        <v>275</v>
      </c>
      <c r="F8" s="231">
        <v>332</v>
      </c>
      <c r="H8" t="str">
        <f>A11</f>
        <v>Middle</v>
      </c>
      <c r="I8" s="183">
        <f>COUNT(B11:B17)</f>
        <v>7</v>
      </c>
      <c r="J8" s="7">
        <f>COUNT(C11:C17)</f>
        <v>7</v>
      </c>
      <c r="K8" s="7">
        <f>COUNT(D11:D17)</f>
        <v>7</v>
      </c>
      <c r="L8" s="7">
        <f>COUNT(E11:E17)</f>
        <v>7</v>
      </c>
      <c r="M8" s="43">
        <f>COUNT(F11:F17)</f>
        <v>7</v>
      </c>
      <c r="N8">
        <f>COUNT(B11:F17)</f>
        <v>35</v>
      </c>
      <c r="P8" t="s">
        <v>1130</v>
      </c>
      <c r="Q8">
        <f>DEVSQ(N14:N16)*N7</f>
        <v>178358.1142857142</v>
      </c>
      <c r="R8">
        <f>COUNT(N14:N16)-1</f>
        <v>2</v>
      </c>
      <c r="S8">
        <f>Q8/R8</f>
        <v>89179.057142857098</v>
      </c>
      <c r="T8" t="e">
        <f ca="1">S8/S9</f>
        <v>#NAME?</v>
      </c>
      <c r="U8" t="e">
        <f ca="1">FDIST(T8,R8,R9)</f>
        <v>#NAME?</v>
      </c>
      <c r="V8">
        <f>FINV(U5,R8,R9)</f>
        <v>3.5545571456617879</v>
      </c>
      <c r="Y8" s="185" t="s">
        <v>51</v>
      </c>
      <c r="Z8" s="230">
        <v>83</v>
      </c>
      <c r="AA8" s="230">
        <v>266</v>
      </c>
      <c r="AB8" s="230">
        <v>382</v>
      </c>
      <c r="AC8" s="230">
        <v>369</v>
      </c>
      <c r="AD8" s="231">
        <v>295</v>
      </c>
      <c r="AF8" t="e">
        <f ca="1"/>
        <v>#NAME?</v>
      </c>
      <c r="AG8" s="214" t="e">
        <f ca="1"/>
        <v>#NAME?</v>
      </c>
      <c r="AH8" s="7" t="e">
        <f ca="1"/>
        <v>#NAME?</v>
      </c>
      <c r="AI8" s="7" t="e">
        <f ca="1"/>
        <v>#NAME?</v>
      </c>
      <c r="AJ8" s="7" t="e">
        <f ca="1"/>
        <v>#NAME?</v>
      </c>
      <c r="AK8" s="215" t="e">
        <f ca="1"/>
        <v>#NAME?</v>
      </c>
    </row>
    <row r="9" spans="1:37" x14ac:dyDescent="0.25">
      <c r="A9" s="214"/>
      <c r="B9" s="229">
        <v>103</v>
      </c>
      <c r="C9" s="230">
        <v>286</v>
      </c>
      <c r="D9" s="230">
        <v>401</v>
      </c>
      <c r="E9" s="230">
        <v>291</v>
      </c>
      <c r="F9" s="231">
        <v>367</v>
      </c>
      <c r="H9" t="str">
        <f>A18</f>
        <v>Old</v>
      </c>
      <c r="I9" s="351">
        <f>COUNT(B18:B24)</f>
        <v>7</v>
      </c>
      <c r="J9" s="352">
        <f>COUNT(C18:C24)</f>
        <v>7</v>
      </c>
      <c r="K9" s="352">
        <f>COUNT(D18:D24)</f>
        <v>7</v>
      </c>
      <c r="L9" s="352">
        <f>COUNT(E18:E24)</f>
        <v>7</v>
      </c>
      <c r="M9" s="353">
        <f>COUNT(F18:F24)</f>
        <v>7</v>
      </c>
      <c r="N9">
        <f>COUNT(B18:F24)</f>
        <v>35</v>
      </c>
      <c r="P9" t="s">
        <v>1131</v>
      </c>
      <c r="Q9" t="e">
        <f ca="1">Q7-Q8</f>
        <v>#NAME?</v>
      </c>
      <c r="R9">
        <f>R7-R8</f>
        <v>18</v>
      </c>
      <c r="S9" t="e">
        <f ca="1">Q9/R9</f>
        <v>#NAME?</v>
      </c>
      <c r="Y9" s="185" t="s">
        <v>474</v>
      </c>
      <c r="Z9" s="230">
        <v>103</v>
      </c>
      <c r="AA9" s="230">
        <v>286</v>
      </c>
      <c r="AB9" s="230">
        <v>401</v>
      </c>
      <c r="AC9" s="230">
        <v>291</v>
      </c>
      <c r="AD9" s="231">
        <v>367</v>
      </c>
      <c r="AF9" t="e">
        <f ca="1"/>
        <v>#NAME?</v>
      </c>
      <c r="AG9" s="214" t="e">
        <f ca="1"/>
        <v>#NAME?</v>
      </c>
      <c r="AH9" s="7" t="e">
        <f ca="1"/>
        <v>#NAME?</v>
      </c>
      <c r="AI9" s="7" t="e">
        <f ca="1"/>
        <v>#NAME?</v>
      </c>
      <c r="AJ9" s="7" t="e">
        <f ca="1"/>
        <v>#NAME?</v>
      </c>
      <c r="AK9" s="215" t="e">
        <f ca="1"/>
        <v>#NAME?</v>
      </c>
    </row>
    <row r="10" spans="1:37" x14ac:dyDescent="0.25">
      <c r="A10" s="112"/>
      <c r="B10" s="232">
        <v>230</v>
      </c>
      <c r="C10" s="230">
        <v>306</v>
      </c>
      <c r="D10" s="233">
        <v>432</v>
      </c>
      <c r="E10" s="233">
        <v>386</v>
      </c>
      <c r="F10" s="234">
        <v>423</v>
      </c>
      <c r="I10">
        <f>COUNT(B4:B24)</f>
        <v>21</v>
      </c>
      <c r="J10">
        <f>COUNT(C4:C24)</f>
        <v>21</v>
      </c>
      <c r="K10">
        <f>COUNT(D4:D24)</f>
        <v>21</v>
      </c>
      <c r="L10">
        <f>COUNT(E4:E24)</f>
        <v>21</v>
      </c>
      <c r="M10">
        <f>COUNT(F4:F24)</f>
        <v>21</v>
      </c>
      <c r="N10">
        <f>COUNT(B4:F24)</f>
        <v>105</v>
      </c>
      <c r="P10" t="s">
        <v>468</v>
      </c>
      <c r="Q10" t="e">
        <f ca="1">Q14-Q7</f>
        <v>#NAME?</v>
      </c>
      <c r="R10">
        <f>R14-R7</f>
        <v>84</v>
      </c>
      <c r="Y10" s="185" t="s">
        <v>51</v>
      </c>
      <c r="Z10" s="230">
        <v>123</v>
      </c>
      <c r="AA10" s="230">
        <v>331</v>
      </c>
      <c r="AB10" s="230">
        <v>407</v>
      </c>
      <c r="AC10" s="230">
        <v>461</v>
      </c>
      <c r="AD10" s="231">
        <v>445</v>
      </c>
      <c r="AF10" t="e">
        <f ca="1"/>
        <v>#NAME?</v>
      </c>
      <c r="AG10" s="214" t="e">
        <f ca="1"/>
        <v>#NAME?</v>
      </c>
      <c r="AH10" s="7" t="e">
        <f ca="1"/>
        <v>#NAME?</v>
      </c>
      <c r="AI10" s="7" t="e">
        <f ca="1"/>
        <v>#NAME?</v>
      </c>
      <c r="AJ10" s="7" t="e">
        <f ca="1"/>
        <v>#NAME?</v>
      </c>
      <c r="AK10" s="215" t="e">
        <f ca="1"/>
        <v>#NAME?</v>
      </c>
    </row>
    <row r="11" spans="1:37" x14ac:dyDescent="0.25">
      <c r="A11" s="212" t="s">
        <v>475</v>
      </c>
      <c r="B11" s="226">
        <v>54</v>
      </c>
      <c r="C11" s="227">
        <v>172</v>
      </c>
      <c r="D11" s="227">
        <v>307</v>
      </c>
      <c r="E11" s="227">
        <v>261</v>
      </c>
      <c r="F11" s="228">
        <v>360</v>
      </c>
      <c r="P11" t="s">
        <v>1132</v>
      </c>
      <c r="Q11">
        <f>DEVSQ(I17:M17)*I10</f>
        <v>1025800.3809523809</v>
      </c>
      <c r="R11">
        <f>COUNT(I17:M17)-1</f>
        <v>4</v>
      </c>
      <c r="S11">
        <f>Q11/R11</f>
        <v>256450.09523809524</v>
      </c>
      <c r="T11" t="e">
        <f ca="1">S11/S13</f>
        <v>#NAME?</v>
      </c>
      <c r="U11" t="e">
        <f ca="1">FDIST(T11,R11,R13)</f>
        <v>#NAME?</v>
      </c>
      <c r="V11">
        <f>FINV(U5,R11,R13)</f>
        <v>2.4989185828063061</v>
      </c>
      <c r="Y11" s="185" t="s">
        <v>475</v>
      </c>
      <c r="Z11" s="230">
        <v>200</v>
      </c>
      <c r="AA11" s="230">
        <v>157</v>
      </c>
      <c r="AB11" s="230">
        <v>283</v>
      </c>
      <c r="AC11" s="230">
        <v>259</v>
      </c>
      <c r="AD11" s="231">
        <v>273</v>
      </c>
      <c r="AF11" t="e">
        <f ca="1"/>
        <v>#NAME?</v>
      </c>
      <c r="AG11" s="214" t="e">
        <f ca="1"/>
        <v>#NAME?</v>
      </c>
      <c r="AH11" s="7" t="e">
        <f ca="1"/>
        <v>#NAME?</v>
      </c>
      <c r="AI11" s="7" t="e">
        <f ca="1"/>
        <v>#NAME?</v>
      </c>
      <c r="AJ11" s="7" t="e">
        <f ca="1"/>
        <v>#NAME?</v>
      </c>
      <c r="AK11" s="215" t="e">
        <f ca="1"/>
        <v>#NAME?</v>
      </c>
    </row>
    <row r="12" spans="1:37" x14ac:dyDescent="0.25">
      <c r="A12" s="185"/>
      <c r="B12" s="229">
        <v>20</v>
      </c>
      <c r="C12" s="230">
        <v>116</v>
      </c>
      <c r="D12" s="230">
        <v>425</v>
      </c>
      <c r="E12" s="230">
        <v>398</v>
      </c>
      <c r="F12" s="231">
        <v>268</v>
      </c>
      <c r="H12" t="s">
        <v>179</v>
      </c>
      <c r="P12" t="s">
        <v>1133</v>
      </c>
      <c r="Q12" t="e">
        <f ca="1">Q10-Q11-Q13</f>
        <v>#NAME?</v>
      </c>
      <c r="R12">
        <f>R8*R11</f>
        <v>8</v>
      </c>
      <c r="S12" t="e">
        <f ca="1">Q12/R12</f>
        <v>#NAME?</v>
      </c>
      <c r="T12" t="e">
        <f ca="1">S12/S13</f>
        <v>#NAME?</v>
      </c>
      <c r="U12" t="e">
        <f ca="1">FDIST(T12,R12,R13)</f>
        <v>#NAME?</v>
      </c>
      <c r="V12">
        <f>FINV(U5,R12,R13)</f>
        <v>2.0698316419588703</v>
      </c>
      <c r="Y12" s="185" t="s">
        <v>474</v>
      </c>
      <c r="Z12" s="230">
        <v>251</v>
      </c>
      <c r="AA12" s="230">
        <v>261</v>
      </c>
      <c r="AB12" s="230">
        <v>384</v>
      </c>
      <c r="AC12" s="230">
        <v>421</v>
      </c>
      <c r="AD12" s="231">
        <v>342</v>
      </c>
      <c r="AF12" t="e">
        <f ca="1"/>
        <v>#NAME?</v>
      </c>
      <c r="AG12" s="214" t="e">
        <f ca="1"/>
        <v>#NAME?</v>
      </c>
      <c r="AH12" s="7" t="e">
        <f ca="1"/>
        <v>#NAME?</v>
      </c>
      <c r="AI12" s="7" t="e">
        <f ca="1"/>
        <v>#NAME?</v>
      </c>
      <c r="AJ12" s="7" t="e">
        <f ca="1"/>
        <v>#NAME?</v>
      </c>
      <c r="AK12" s="215" t="e">
        <f ca="1"/>
        <v>#NAME?</v>
      </c>
    </row>
    <row r="13" spans="1:37" x14ac:dyDescent="0.25">
      <c r="A13" s="185"/>
      <c r="B13" s="229">
        <v>41</v>
      </c>
      <c r="C13" s="230">
        <v>168</v>
      </c>
      <c r="D13" s="230">
        <v>378</v>
      </c>
      <c r="E13" s="230">
        <v>317</v>
      </c>
      <c r="F13" s="231">
        <v>470</v>
      </c>
      <c r="I13" s="485" t="str">
        <f>B3</f>
        <v>Day 1</v>
      </c>
      <c r="J13" s="485" t="str">
        <f>C3</f>
        <v>Day 2</v>
      </c>
      <c r="K13" s="485" t="str">
        <f>D3</f>
        <v>Day 3</v>
      </c>
      <c r="L13" s="485" t="str">
        <f>E3</f>
        <v>Day 4</v>
      </c>
      <c r="M13" s="485" t="str">
        <f>F3</f>
        <v>Day 5</v>
      </c>
      <c r="P13" t="s">
        <v>1131</v>
      </c>
      <c r="Q13" t="e">
        <f ca="1">SUM(I21:M23)*(I7-1)-Q9</f>
        <v>#NAME?</v>
      </c>
      <c r="R13">
        <f>R10-R11-R12</f>
        <v>72</v>
      </c>
      <c r="S13" t="e">
        <f ca="1">Q13/R13</f>
        <v>#NAME?</v>
      </c>
      <c r="Y13" s="185" t="s">
        <v>51</v>
      </c>
      <c r="Z13" s="230">
        <v>71</v>
      </c>
      <c r="AA13" s="230">
        <v>285</v>
      </c>
      <c r="AB13" s="230">
        <v>471</v>
      </c>
      <c r="AC13" s="230">
        <v>407</v>
      </c>
      <c r="AD13" s="231">
        <v>433</v>
      </c>
      <c r="AF13" t="e">
        <f ca="1"/>
        <v>#NAME?</v>
      </c>
      <c r="AG13" s="214" t="e">
        <f ca="1"/>
        <v>#NAME?</v>
      </c>
      <c r="AH13" s="7" t="e">
        <f ca="1"/>
        <v>#NAME?</v>
      </c>
      <c r="AI13" s="7" t="e">
        <f ca="1"/>
        <v>#NAME?</v>
      </c>
      <c r="AJ13" s="7" t="e">
        <f ca="1"/>
        <v>#NAME?</v>
      </c>
      <c r="AK13" s="215" t="e">
        <f ca="1"/>
        <v>#NAME?</v>
      </c>
    </row>
    <row r="14" spans="1:37" x14ac:dyDescent="0.25">
      <c r="A14" s="185"/>
      <c r="B14" s="229">
        <v>200</v>
      </c>
      <c r="C14" s="230">
        <v>157</v>
      </c>
      <c r="D14" s="230">
        <v>283</v>
      </c>
      <c r="E14" s="230">
        <v>259</v>
      </c>
      <c r="F14" s="231">
        <v>273</v>
      </c>
      <c r="H14" t="str">
        <f>A4</f>
        <v>Young</v>
      </c>
      <c r="I14" s="414">
        <f>AVERAGE(B4:B10)</f>
        <v>184.85714285714286</v>
      </c>
      <c r="J14" s="358">
        <f>AVERAGE(C4:C10)</f>
        <v>259.85714285714283</v>
      </c>
      <c r="K14" s="358">
        <f>AVERAGE(D4:D10)</f>
        <v>382.85714285714283</v>
      </c>
      <c r="L14" s="358">
        <f>AVERAGE(E4:E10)</f>
        <v>362.57142857142856</v>
      </c>
      <c r="M14" s="415">
        <f>AVERAGE(F4:F10)</f>
        <v>383.71428571428572</v>
      </c>
      <c r="N14">
        <f>AVERAGE(B4:F10)</f>
        <v>314.77142857142854</v>
      </c>
      <c r="P14" s="354" t="s">
        <v>1</v>
      </c>
      <c r="Q14" s="354">
        <f>S14*R14</f>
        <v>1597343.4285714282</v>
      </c>
      <c r="R14" s="354">
        <f>N10-1</f>
        <v>104</v>
      </c>
      <c r="S14" s="354">
        <f>N24</f>
        <v>15359.071428571424</v>
      </c>
      <c r="T14" s="354"/>
      <c r="U14" s="354"/>
      <c r="V14" s="354"/>
      <c r="Y14" s="185" t="s">
        <v>475</v>
      </c>
      <c r="Z14" s="230">
        <v>3</v>
      </c>
      <c r="AA14" s="230">
        <v>54</v>
      </c>
      <c r="AB14" s="230">
        <v>285</v>
      </c>
      <c r="AC14" s="230">
        <v>216</v>
      </c>
      <c r="AD14" s="231">
        <v>245</v>
      </c>
      <c r="AF14" t="e">
        <f ca="1"/>
        <v>#NAME?</v>
      </c>
      <c r="AG14" s="214" t="e">
        <f ca="1"/>
        <v>#NAME?</v>
      </c>
      <c r="AH14" s="7" t="e">
        <f ca="1"/>
        <v>#NAME?</v>
      </c>
      <c r="AI14" s="7" t="e">
        <f ca="1"/>
        <v>#NAME?</v>
      </c>
      <c r="AJ14" s="7" t="e">
        <f ca="1"/>
        <v>#NAME?</v>
      </c>
      <c r="AK14" s="215" t="e">
        <f ca="1"/>
        <v>#NAME?</v>
      </c>
    </row>
    <row r="15" spans="1:37" x14ac:dyDescent="0.25">
      <c r="A15" s="185"/>
      <c r="B15" s="229">
        <v>34</v>
      </c>
      <c r="C15" s="230">
        <v>86</v>
      </c>
      <c r="D15" s="230">
        <v>351</v>
      </c>
      <c r="E15" s="230">
        <v>280</v>
      </c>
      <c r="F15" s="231">
        <v>320</v>
      </c>
      <c r="H15" t="str">
        <f>A11</f>
        <v>Middle</v>
      </c>
      <c r="I15" s="183">
        <f>AVERAGE(B11:B17)</f>
        <v>54.428571428571431</v>
      </c>
      <c r="J15" s="7">
        <f>AVERAGE(C11:C17)</f>
        <v>119.14285714285714</v>
      </c>
      <c r="K15" s="7">
        <f>AVERAGE(D11:D17)</f>
        <v>317.42857142857144</v>
      </c>
      <c r="L15" s="7">
        <f>AVERAGE(E11:E17)</f>
        <v>281.57142857142856</v>
      </c>
      <c r="M15" s="43">
        <f>AVERAGE(F11:F17)</f>
        <v>309.85714285714283</v>
      </c>
      <c r="N15">
        <f>AVERAGE(B11:F17)</f>
        <v>216.48571428571429</v>
      </c>
      <c r="Y15" s="185" t="s">
        <v>474</v>
      </c>
      <c r="Z15" s="230">
        <v>241</v>
      </c>
      <c r="AA15" s="230">
        <v>314</v>
      </c>
      <c r="AB15" s="230">
        <v>423</v>
      </c>
      <c r="AC15" s="230">
        <v>415</v>
      </c>
      <c r="AD15" s="231">
        <v>468</v>
      </c>
      <c r="AF15" t="e">
        <f ca="1"/>
        <v>#NAME?</v>
      </c>
      <c r="AG15" s="214" t="e">
        <f ca="1"/>
        <v>#NAME?</v>
      </c>
      <c r="AH15" s="7" t="e">
        <f ca="1"/>
        <v>#NAME?</v>
      </c>
      <c r="AI15" s="7" t="e">
        <f ca="1"/>
        <v>#NAME?</v>
      </c>
      <c r="AJ15" s="7" t="e">
        <f ca="1"/>
        <v>#NAME?</v>
      </c>
      <c r="AK15" s="215" t="e">
        <f ca="1"/>
        <v>#NAME?</v>
      </c>
    </row>
    <row r="16" spans="1:37" x14ac:dyDescent="0.25">
      <c r="A16" s="185"/>
      <c r="B16" s="229">
        <v>29</v>
      </c>
      <c r="C16" s="230">
        <v>81</v>
      </c>
      <c r="D16" s="230">
        <v>193</v>
      </c>
      <c r="E16" s="230">
        <v>240</v>
      </c>
      <c r="F16" s="231">
        <v>233</v>
      </c>
      <c r="H16" t="str">
        <f>A18</f>
        <v>Old</v>
      </c>
      <c r="I16" s="351">
        <f>AVERAGE(B18:B24)</f>
        <v>87.428571428571431</v>
      </c>
      <c r="J16" s="352">
        <f>AVERAGE(C18:C24)</f>
        <v>238.71428571428572</v>
      </c>
      <c r="K16" s="352">
        <f>AVERAGE(D18:D24)</f>
        <v>369.57142857142856</v>
      </c>
      <c r="L16" s="352">
        <f>AVERAGE(E18:E24)</f>
        <v>374.28571428571428</v>
      </c>
      <c r="M16" s="353">
        <f>AVERAGE(F18:F24)</f>
        <v>358</v>
      </c>
      <c r="N16">
        <f>AVERAGE(B18:F24)</f>
        <v>285.60000000000002</v>
      </c>
      <c r="Y16" s="185" t="s">
        <v>475</v>
      </c>
      <c r="Z16" s="230">
        <v>29</v>
      </c>
      <c r="AA16" s="230">
        <v>81</v>
      </c>
      <c r="AB16" s="230">
        <v>193</v>
      </c>
      <c r="AC16" s="230">
        <v>240</v>
      </c>
      <c r="AD16" s="231">
        <v>233</v>
      </c>
      <c r="AF16" t="e">
        <f ca="1"/>
        <v>#NAME?</v>
      </c>
      <c r="AG16" s="214" t="e">
        <f ca="1"/>
        <v>#NAME?</v>
      </c>
      <c r="AH16" s="7" t="e">
        <f ca="1"/>
        <v>#NAME?</v>
      </c>
      <c r="AI16" s="7" t="e">
        <f ca="1"/>
        <v>#NAME?</v>
      </c>
      <c r="AJ16" s="7" t="e">
        <f ca="1"/>
        <v>#NAME?</v>
      </c>
      <c r="AK16" s="215" t="e">
        <f ca="1"/>
        <v>#NAME?</v>
      </c>
    </row>
    <row r="17" spans="1:37" ht="15.75" thickBot="1" x14ac:dyDescent="0.3">
      <c r="A17" s="123"/>
      <c r="B17" s="232">
        <v>3</v>
      </c>
      <c r="C17" s="233">
        <v>54</v>
      </c>
      <c r="D17" s="233">
        <v>285</v>
      </c>
      <c r="E17" s="233">
        <v>216</v>
      </c>
      <c r="F17" s="234">
        <v>245</v>
      </c>
      <c r="I17">
        <f>AVERAGE(B4:B24)</f>
        <v>108.9047619047619</v>
      </c>
      <c r="J17">
        <f>AVERAGE(C4:C24)</f>
        <v>205.9047619047619</v>
      </c>
      <c r="K17">
        <f>AVERAGE(D4:D24)</f>
        <v>356.61904761904759</v>
      </c>
      <c r="L17">
        <f>AVERAGE(E4:E24)</f>
        <v>339.47619047619048</v>
      </c>
      <c r="M17">
        <f>AVERAGE(F4:F24)</f>
        <v>350.52380952380952</v>
      </c>
      <c r="N17">
        <f>AVERAGE(B4:F24)</f>
        <v>272.28571428571428</v>
      </c>
      <c r="P17" t="s">
        <v>367</v>
      </c>
      <c r="T17" t="s">
        <v>18</v>
      </c>
      <c r="U17">
        <v>0.05</v>
      </c>
      <c r="Y17" s="185" t="s">
        <v>51</v>
      </c>
      <c r="Z17" s="230">
        <v>38</v>
      </c>
      <c r="AA17" s="230">
        <v>207</v>
      </c>
      <c r="AB17" s="230">
        <v>289</v>
      </c>
      <c r="AC17" s="230">
        <v>385</v>
      </c>
      <c r="AD17" s="231">
        <v>373</v>
      </c>
      <c r="AF17" t="e">
        <f ca="1"/>
        <v>#NAME?</v>
      </c>
      <c r="AG17" s="214" t="e">
        <f ca="1"/>
        <v>#NAME?</v>
      </c>
      <c r="AH17" s="7" t="e">
        <f ca="1"/>
        <v>#NAME?</v>
      </c>
      <c r="AI17" s="7" t="e">
        <f ca="1"/>
        <v>#NAME?</v>
      </c>
      <c r="AJ17" s="7" t="e">
        <f ca="1"/>
        <v>#NAME?</v>
      </c>
      <c r="AK17" s="215" t="e">
        <f ca="1"/>
        <v>#NAME?</v>
      </c>
    </row>
    <row r="18" spans="1:37" ht="15.75" thickTop="1" x14ac:dyDescent="0.25">
      <c r="A18" s="212" t="s">
        <v>51</v>
      </c>
      <c r="B18" s="229">
        <v>118</v>
      </c>
      <c r="C18" s="230">
        <v>124</v>
      </c>
      <c r="D18" s="230">
        <v>365</v>
      </c>
      <c r="E18" s="230">
        <v>311</v>
      </c>
      <c r="F18" s="231">
        <v>331</v>
      </c>
      <c r="P18" s="386" t="s">
        <v>153</v>
      </c>
      <c r="Q18" s="386" t="s">
        <v>111</v>
      </c>
      <c r="R18" s="386" t="s">
        <v>41</v>
      </c>
      <c r="S18" s="386" t="s">
        <v>115</v>
      </c>
      <c r="T18" s="386" t="s">
        <v>98</v>
      </c>
      <c r="U18" s="386" t="s">
        <v>154</v>
      </c>
      <c r="V18" s="386" t="s">
        <v>155</v>
      </c>
      <c r="Y18" s="185" t="s">
        <v>475</v>
      </c>
      <c r="Z18" s="230">
        <v>20</v>
      </c>
      <c r="AA18" s="230">
        <v>116</v>
      </c>
      <c r="AB18" s="230">
        <v>425</v>
      </c>
      <c r="AC18" s="230">
        <v>398</v>
      </c>
      <c r="AD18" s="231">
        <v>268</v>
      </c>
      <c r="AF18" t="e">
        <f ca="1"/>
        <v>#NAME?</v>
      </c>
      <c r="AG18" s="214" t="e">
        <f ca="1"/>
        <v>#NAME?</v>
      </c>
      <c r="AH18" s="7" t="e">
        <f ca="1"/>
        <v>#NAME?</v>
      </c>
      <c r="AI18" s="7" t="e">
        <f ca="1"/>
        <v>#NAME?</v>
      </c>
      <c r="AJ18" s="7" t="e">
        <f ca="1"/>
        <v>#NAME?</v>
      </c>
      <c r="AK18" s="215" t="e">
        <f ca="1"/>
        <v>#NAME?</v>
      </c>
    </row>
    <row r="19" spans="1:37" x14ac:dyDescent="0.25">
      <c r="A19" s="185"/>
      <c r="B19" s="229">
        <v>83</v>
      </c>
      <c r="C19" s="230">
        <v>266</v>
      </c>
      <c r="D19" s="230">
        <v>382</v>
      </c>
      <c r="E19" s="230">
        <v>369</v>
      </c>
      <c r="F19" s="231">
        <v>295</v>
      </c>
      <c r="H19" t="s">
        <v>821</v>
      </c>
      <c r="P19" t="s">
        <v>177</v>
      </c>
      <c r="Q19">
        <f>Q11</f>
        <v>1025800.3809523809</v>
      </c>
      <c r="R19" t="e">
        <f ca="1">R11*I$26</f>
        <v>#NAME?</v>
      </c>
      <c r="S19" t="e">
        <f ca="1">Q19/R19</f>
        <v>#NAME?</v>
      </c>
      <c r="T19" t="e">
        <f ca="1">S19/S21</f>
        <v>#NAME?</v>
      </c>
      <c r="U19" t="e">
        <f ca="1">F_DIST_RT(T19,R19,R21)</f>
        <v>#NAME?</v>
      </c>
      <c r="V19" t="e">
        <f ca="1">F_INV_RT(U17,R19,R21)</f>
        <v>#NAME?</v>
      </c>
      <c r="Y19" s="185" t="s">
        <v>474</v>
      </c>
      <c r="Z19" s="230">
        <v>154</v>
      </c>
      <c r="AA19" s="230">
        <v>167</v>
      </c>
      <c r="AB19" s="230">
        <v>257</v>
      </c>
      <c r="AC19" s="230">
        <v>275</v>
      </c>
      <c r="AD19" s="231">
        <v>332</v>
      </c>
      <c r="AF19" t="e">
        <f ca="1"/>
        <v>#NAME?</v>
      </c>
      <c r="AG19" s="214" t="e">
        <f ca="1"/>
        <v>#NAME?</v>
      </c>
      <c r="AH19" s="7" t="e">
        <f ca="1"/>
        <v>#NAME?</v>
      </c>
      <c r="AI19" s="7" t="e">
        <f ca="1"/>
        <v>#NAME?</v>
      </c>
      <c r="AJ19" s="7" t="e">
        <f ca="1"/>
        <v>#NAME?</v>
      </c>
      <c r="AK19" s="215" t="e">
        <f ca="1"/>
        <v>#NAME?</v>
      </c>
    </row>
    <row r="20" spans="1:37" x14ac:dyDescent="0.25">
      <c r="A20" s="185"/>
      <c r="B20" s="229">
        <v>38</v>
      </c>
      <c r="C20" s="230">
        <v>207</v>
      </c>
      <c r="D20" s="230">
        <v>289</v>
      </c>
      <c r="E20" s="230">
        <v>385</v>
      </c>
      <c r="F20" s="231">
        <v>373</v>
      </c>
      <c r="I20" s="485" t="str">
        <f>B3</f>
        <v>Day 1</v>
      </c>
      <c r="J20" s="485" t="str">
        <f>C3</f>
        <v>Day 2</v>
      </c>
      <c r="K20" s="485" t="str">
        <f>D3</f>
        <v>Day 3</v>
      </c>
      <c r="L20" s="485" t="str">
        <f>E3</f>
        <v>Day 4</v>
      </c>
      <c r="M20" s="485" t="str">
        <f>F3</f>
        <v>Day 5</v>
      </c>
      <c r="P20" t="s">
        <v>150</v>
      </c>
      <c r="Q20" t="e">
        <f ca="1">Q12</f>
        <v>#NAME?</v>
      </c>
      <c r="R20" t="e">
        <f ca="1">R12*I$26</f>
        <v>#NAME?</v>
      </c>
      <c r="S20" t="e">
        <f ca="1">Q20/R20</f>
        <v>#NAME?</v>
      </c>
      <c r="T20" t="e">
        <f ca="1">S20/S21</f>
        <v>#NAME?</v>
      </c>
      <c r="U20" t="e">
        <f ca="1">F_DIST_RT(T20,R20,R21)</f>
        <v>#NAME?</v>
      </c>
      <c r="V20" t="e">
        <f ca="1">FINV(U17,R20,R21)</f>
        <v>#NAME?</v>
      </c>
      <c r="Y20" s="185" t="s">
        <v>475</v>
      </c>
      <c r="Z20" s="230">
        <v>34</v>
      </c>
      <c r="AA20" s="230">
        <v>86</v>
      </c>
      <c r="AB20" s="230">
        <v>351</v>
      </c>
      <c r="AC20" s="230">
        <v>280</v>
      </c>
      <c r="AD20" s="231">
        <v>320</v>
      </c>
      <c r="AF20" t="e">
        <f ca="1"/>
        <v>#NAME?</v>
      </c>
      <c r="AG20" s="214" t="e">
        <f ca="1"/>
        <v>#NAME?</v>
      </c>
      <c r="AH20" s="7" t="e">
        <f ca="1"/>
        <v>#NAME?</v>
      </c>
      <c r="AI20" s="7" t="e">
        <f ca="1"/>
        <v>#NAME?</v>
      </c>
      <c r="AJ20" s="7" t="e">
        <f ca="1"/>
        <v>#NAME?</v>
      </c>
      <c r="AK20" s="215" t="e">
        <f ca="1"/>
        <v>#NAME?</v>
      </c>
    </row>
    <row r="21" spans="1:37" x14ac:dyDescent="0.25">
      <c r="A21" s="185"/>
      <c r="B21" s="229">
        <v>71</v>
      </c>
      <c r="C21" s="230">
        <v>211</v>
      </c>
      <c r="D21" s="230">
        <v>356</v>
      </c>
      <c r="E21" s="230">
        <v>380</v>
      </c>
      <c r="F21" s="231">
        <v>305</v>
      </c>
      <c r="H21" t="str">
        <f>A4</f>
        <v>Young</v>
      </c>
      <c r="I21" s="414">
        <f>VAR(B4:B10)</f>
        <v>5971.1428571428551</v>
      </c>
      <c r="J21" s="358">
        <f>VAR(C4:C10)</f>
        <v>2915.1428571428601</v>
      </c>
      <c r="K21" s="358">
        <f>VAR(D4:D10)</f>
        <v>4241.1428571428596</v>
      </c>
      <c r="L21" s="358">
        <f>VAR(E4:E10)</f>
        <v>3318.2857142857197</v>
      </c>
      <c r="M21" s="415">
        <f>VAR(F4:F10)</f>
        <v>4318.9047619047533</v>
      </c>
      <c r="N21">
        <f>VAR(B4:F10)</f>
        <v>10163.416806722689</v>
      </c>
      <c r="P21" t="s">
        <v>176</v>
      </c>
      <c r="Q21" t="e">
        <f ca="1">Q13</f>
        <v>#NAME?</v>
      </c>
      <c r="R21" t="e">
        <f ca="1">R13*I$26</f>
        <v>#NAME?</v>
      </c>
      <c r="S21" t="e">
        <f ca="1">Q21/R21</f>
        <v>#NAME?</v>
      </c>
      <c r="Y21" s="185" t="s">
        <v>51</v>
      </c>
      <c r="Z21" s="230">
        <v>108</v>
      </c>
      <c r="AA21" s="230">
        <v>247</v>
      </c>
      <c r="AB21" s="230">
        <v>317</v>
      </c>
      <c r="AC21" s="230">
        <v>307</v>
      </c>
      <c r="AD21" s="231">
        <v>324</v>
      </c>
      <c r="AF21" t="e">
        <f ca="1"/>
        <v>#NAME?</v>
      </c>
      <c r="AG21" s="214" t="e">
        <f ca="1"/>
        <v>#NAME?</v>
      </c>
      <c r="AH21" s="7" t="e">
        <f ca="1"/>
        <v>#NAME?</v>
      </c>
      <c r="AI21" s="7" t="e">
        <f ca="1"/>
        <v>#NAME?</v>
      </c>
      <c r="AJ21" s="7" t="e">
        <f ca="1"/>
        <v>#NAME?</v>
      </c>
      <c r="AK21" s="215" t="e">
        <f ca="1"/>
        <v>#NAME?</v>
      </c>
    </row>
    <row r="22" spans="1:37" x14ac:dyDescent="0.25">
      <c r="A22" s="185"/>
      <c r="B22" s="229">
        <v>123</v>
      </c>
      <c r="C22" s="230">
        <v>331</v>
      </c>
      <c r="D22" s="230">
        <v>407</v>
      </c>
      <c r="E22" s="230">
        <v>461</v>
      </c>
      <c r="F22" s="231">
        <v>445</v>
      </c>
      <c r="H22" t="str">
        <f>A11</f>
        <v>Middle</v>
      </c>
      <c r="I22" s="183">
        <f>VAR(B11:B17)</f>
        <v>4377.6190476190477</v>
      </c>
      <c r="J22" s="7">
        <f>VAR(C11:C17)</f>
        <v>2236.8095238095243</v>
      </c>
      <c r="K22" s="7">
        <f>VAR(D11:D17)</f>
        <v>5699.2857142857201</v>
      </c>
      <c r="L22" s="7">
        <f>VAR(E11:E17)</f>
        <v>3628.9523809523866</v>
      </c>
      <c r="M22" s="43">
        <f>VAR(F11:F17)</f>
        <v>6914.4761904761936</v>
      </c>
      <c r="N22">
        <f>VAR(B11:F17)</f>
        <v>16156.374789915964</v>
      </c>
      <c r="P22" s="416"/>
      <c r="Q22" s="416"/>
      <c r="R22" s="416"/>
      <c r="S22" s="416"/>
      <c r="T22" s="416"/>
      <c r="U22" s="416"/>
      <c r="V22" s="416"/>
      <c r="Y22" s="185" t="s">
        <v>474</v>
      </c>
      <c r="Z22" s="230">
        <v>250</v>
      </c>
      <c r="AA22" s="230">
        <v>278</v>
      </c>
      <c r="AB22" s="230">
        <v>442</v>
      </c>
      <c r="AC22" s="230">
        <v>368</v>
      </c>
      <c r="AD22" s="231">
        <v>456</v>
      </c>
      <c r="AF22" t="e">
        <f ca="1"/>
        <v>#NAME?</v>
      </c>
      <c r="AG22" s="214" t="e">
        <f ca="1"/>
        <v>#NAME?</v>
      </c>
      <c r="AH22" s="7" t="e">
        <f ca="1"/>
        <v>#NAME?</v>
      </c>
      <c r="AI22" s="7" t="e">
        <f ca="1"/>
        <v>#NAME?</v>
      </c>
      <c r="AJ22" s="7" t="e">
        <f ca="1"/>
        <v>#NAME?</v>
      </c>
      <c r="AK22" s="215" t="e">
        <f ca="1"/>
        <v>#NAME?</v>
      </c>
    </row>
    <row r="23" spans="1:37" ht="15.75" thickBot="1" x14ac:dyDescent="0.3">
      <c r="A23" s="185"/>
      <c r="B23" s="229">
        <v>71</v>
      </c>
      <c r="C23" s="230">
        <v>285</v>
      </c>
      <c r="D23" s="230">
        <v>471</v>
      </c>
      <c r="E23" s="230">
        <v>407</v>
      </c>
      <c r="F23" s="231">
        <v>433</v>
      </c>
      <c r="H23" t="str">
        <f>A18</f>
        <v>Old</v>
      </c>
      <c r="I23" s="351">
        <f>VAR(B18:B24)</f>
        <v>937.61904761904714</v>
      </c>
      <c r="J23" s="352">
        <f>VAR(C18:C24)</f>
        <v>4400.9047619047633</v>
      </c>
      <c r="K23" s="352">
        <f>VAR(D18:D24)</f>
        <v>3550.6190476190532</v>
      </c>
      <c r="L23" s="352">
        <f>VAR(E18:E24)</f>
        <v>2882.9047619047537</v>
      </c>
      <c r="M23" s="353">
        <f>VAR(F18:F24)</f>
        <v>3680.3333333333335</v>
      </c>
      <c r="N23">
        <f>VAR(B18:F24)</f>
        <v>15415.070588235292</v>
      </c>
      <c r="P23" t="s">
        <v>368</v>
      </c>
      <c r="T23" t="s">
        <v>18</v>
      </c>
      <c r="U23">
        <v>0.05</v>
      </c>
      <c r="Y23" s="185" t="s">
        <v>474</v>
      </c>
      <c r="Z23" s="230">
        <v>65</v>
      </c>
      <c r="AA23" s="230">
        <v>207</v>
      </c>
      <c r="AB23" s="230">
        <v>341</v>
      </c>
      <c r="AC23" s="230">
        <v>382</v>
      </c>
      <c r="AD23" s="231">
        <v>298</v>
      </c>
      <c r="AF23" t="e">
        <f ca="1"/>
        <v>#NAME?</v>
      </c>
      <c r="AG23" s="214" t="e">
        <f ca="1"/>
        <v>#NAME?</v>
      </c>
      <c r="AH23" s="7" t="e">
        <f ca="1"/>
        <v>#NAME?</v>
      </c>
      <c r="AI23" s="7" t="e">
        <f ca="1"/>
        <v>#NAME?</v>
      </c>
      <c r="AJ23" s="7" t="e">
        <f ca="1"/>
        <v>#NAME?</v>
      </c>
      <c r="AK23" s="215" t="e">
        <f ca="1"/>
        <v>#NAME?</v>
      </c>
    </row>
    <row r="24" spans="1:37" ht="15.75" thickTop="1" x14ac:dyDescent="0.25">
      <c r="A24" s="123"/>
      <c r="B24" s="232">
        <v>108</v>
      </c>
      <c r="C24" s="233">
        <v>247</v>
      </c>
      <c r="D24" s="233">
        <v>317</v>
      </c>
      <c r="E24" s="233">
        <v>307</v>
      </c>
      <c r="F24" s="234">
        <v>324</v>
      </c>
      <c r="I24">
        <f>VAR(B4:B24)</f>
        <v>6605.0904761904767</v>
      </c>
      <c r="J24">
        <f>VAR(C4:C24)</f>
        <v>6896.0904761904731</v>
      </c>
      <c r="K24">
        <f>VAR(D4:D24)</f>
        <v>4884.5476190476211</v>
      </c>
      <c r="L24">
        <f>VAR(E4:E24)</f>
        <v>4733.361904761894</v>
      </c>
      <c r="M24">
        <f>VAR(F4:F24)</f>
        <v>5458.0619047618939</v>
      </c>
      <c r="N24">
        <f>VAR(B4:F24)</f>
        <v>15359.071428571424</v>
      </c>
      <c r="P24" s="386" t="s">
        <v>153</v>
      </c>
      <c r="Q24" s="386" t="s">
        <v>111</v>
      </c>
      <c r="R24" s="386" t="s">
        <v>41</v>
      </c>
      <c r="S24" s="386" t="s">
        <v>115</v>
      </c>
      <c r="T24" s="386" t="s">
        <v>98</v>
      </c>
      <c r="U24" s="386" t="s">
        <v>154</v>
      </c>
      <c r="V24" s="386" t="s">
        <v>155</v>
      </c>
      <c r="Y24" s="123" t="s">
        <v>51</v>
      </c>
      <c r="Z24" s="491">
        <v>71</v>
      </c>
      <c r="AA24" s="491">
        <v>211</v>
      </c>
      <c r="AB24" s="491">
        <v>356</v>
      </c>
      <c r="AC24" s="491">
        <v>380</v>
      </c>
      <c r="AD24" s="234">
        <v>305</v>
      </c>
      <c r="AF24" t="e">
        <f ca="1"/>
        <v>#NAME?</v>
      </c>
      <c r="AG24" s="112" t="e">
        <f ca="1"/>
        <v>#NAME?</v>
      </c>
      <c r="AH24" s="354" t="e">
        <f ca="1"/>
        <v>#NAME?</v>
      </c>
      <c r="AI24" s="354" t="e">
        <f ca="1"/>
        <v>#NAME?</v>
      </c>
      <c r="AJ24" s="354" t="e">
        <f ca="1"/>
        <v>#NAME?</v>
      </c>
      <c r="AK24" s="120" t="e">
        <f ca="1"/>
        <v>#NAME?</v>
      </c>
    </row>
    <row r="25" spans="1:37" x14ac:dyDescent="0.25">
      <c r="P25" t="s">
        <v>177</v>
      </c>
      <c r="Q25">
        <f>Q11</f>
        <v>1025800.3809523809</v>
      </c>
      <c r="R25" t="e">
        <f ca="1">R11*I$27</f>
        <v>#NAME?</v>
      </c>
      <c r="S25" t="e">
        <f ca="1">Q25/R25</f>
        <v>#NAME?</v>
      </c>
      <c r="T25" t="e">
        <f ca="1">S25/S27</f>
        <v>#NAME?</v>
      </c>
      <c r="U25" t="e">
        <f ca="1">F_DIST_RT(T25,R25,R27)</f>
        <v>#NAME?</v>
      </c>
      <c r="V25" t="e">
        <f ca="1">F_INV_RT(U23,R25,R27)</f>
        <v>#NAME?</v>
      </c>
    </row>
    <row r="26" spans="1:37" x14ac:dyDescent="0.25">
      <c r="H26" t="s">
        <v>1127</v>
      </c>
      <c r="I26" s="480" t="e">
        <f ca="1">GGEpsilon(B4:F24,R8+1)</f>
        <v>#NAME?</v>
      </c>
      <c r="P26" t="s">
        <v>150</v>
      </c>
      <c r="Q26" t="e">
        <f ca="1">Q12</f>
        <v>#NAME?</v>
      </c>
      <c r="R26" t="e">
        <f ca="1">R12*I$27</f>
        <v>#NAME?</v>
      </c>
      <c r="S26" t="e">
        <f ca="1">Q26/R26</f>
        <v>#NAME?</v>
      </c>
      <c r="T26" t="e">
        <f ca="1">S26/S27</f>
        <v>#NAME?</v>
      </c>
      <c r="U26" t="e">
        <f ca="1">F_DIST_RT(T26,R26,R27)</f>
        <v>#NAME?</v>
      </c>
      <c r="V26" t="e">
        <f ca="1">FINV(U23,R26,R27)</f>
        <v>#NAME?</v>
      </c>
    </row>
    <row r="27" spans="1:37" x14ac:dyDescent="0.25">
      <c r="H27" t="s">
        <v>1128</v>
      </c>
      <c r="I27" s="349" t="e">
        <f ca="1">HFEpsilon(B4:F24,R8+1)</f>
        <v>#NAME?</v>
      </c>
      <c r="P27" t="s">
        <v>176</v>
      </c>
      <c r="Q27" t="e">
        <f ca="1">Q13</f>
        <v>#NAME?</v>
      </c>
      <c r="R27" t="e">
        <f ca="1">R13*I$27</f>
        <v>#NAME?</v>
      </c>
      <c r="S27" t="e">
        <f ca="1">Q27/R27</f>
        <v>#NAME?</v>
      </c>
    </row>
    <row r="28" spans="1:37" x14ac:dyDescent="0.25">
      <c r="P28" s="416"/>
      <c r="Q28" s="416"/>
      <c r="R28" s="416"/>
      <c r="S28" s="416"/>
      <c r="T28" s="416"/>
      <c r="U28" s="416"/>
      <c r="V28" s="416"/>
    </row>
  </sheetData>
  <pageMargins left="0.7" right="0.7" top="0.75" bottom="0.75" header="0.3" footer="0.3"/>
  <ignoredErrors>
    <ignoredError sqref="I7:M9 I14:M16 I21:M23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V33"/>
  <sheetViews>
    <sheetView zoomScaleNormal="100" workbookViewId="0"/>
  </sheetViews>
  <sheetFormatPr defaultRowHeight="15" x14ac:dyDescent="0.25"/>
  <cols>
    <col min="6" max="6" width="6.28515625" customWidth="1"/>
    <col min="12" max="12" width="6.28515625" customWidth="1"/>
    <col min="13" max="14" width="10.85546875" customWidth="1"/>
    <col min="15" max="15" width="6.42578125" customWidth="1"/>
    <col min="16" max="21" width="10.85546875" customWidth="1"/>
    <col min="22" max="22" width="10.42578125" customWidth="1"/>
  </cols>
  <sheetData>
    <row r="1" spans="1:22" x14ac:dyDescent="0.25">
      <c r="A1" s="1" t="s">
        <v>520</v>
      </c>
    </row>
    <row r="3" spans="1:22" x14ac:dyDescent="0.25">
      <c r="A3" t="s">
        <v>474</v>
      </c>
      <c r="G3" t="s">
        <v>51</v>
      </c>
      <c r="M3" t="s">
        <v>520</v>
      </c>
      <c r="Q3" s="339" t="s">
        <v>795</v>
      </c>
      <c r="R3" s="339" t="s">
        <v>792</v>
      </c>
      <c r="S3" s="339" t="s">
        <v>793</v>
      </c>
      <c r="T3" s="339" t="s">
        <v>524</v>
      </c>
      <c r="U3" s="339" t="s">
        <v>525</v>
      </c>
      <c r="V3" s="339" t="s">
        <v>794</v>
      </c>
    </row>
    <row r="4" spans="1:22" x14ac:dyDescent="0.25">
      <c r="P4" t="s">
        <v>474</v>
      </c>
      <c r="Q4" s="37">
        <f>'ANOVA Match 2.3'!L5-1</f>
        <v>6</v>
      </c>
      <c r="R4" s="4">
        <f>1/Q4</f>
        <v>0.16666666666666666</v>
      </c>
      <c r="S4" s="4">
        <f>R4^2</f>
        <v>2.7777777777777776E-2</v>
      </c>
      <c r="T4" s="4" t="e">
        <f ca="1">MDETERM(A5:E9)</f>
        <v>#NAME?</v>
      </c>
      <c r="U4" s="4" t="e">
        <f ca="1">LN(T4)</f>
        <v>#NAME?</v>
      </c>
      <c r="V4" s="4" t="e">
        <f ca="1">U4*Q4</f>
        <v>#NAME?</v>
      </c>
    </row>
    <row r="5" spans="1:22" x14ac:dyDescent="0.25">
      <c r="A5" s="132" t="e">
        <f t="array" aca="1" ref="A5:E9" ca="1">COV('ANOVA Match 2.3'!B4:F10)</f>
        <v>#NAME?</v>
      </c>
      <c r="B5" s="224" t="e">
        <f ca="1"/>
        <v>#NAME?</v>
      </c>
      <c r="C5" s="224" t="e">
        <f ca="1"/>
        <v>#NAME?</v>
      </c>
      <c r="D5" s="224" t="e">
        <f ca="1"/>
        <v>#NAME?</v>
      </c>
      <c r="E5" s="225" t="e">
        <f ca="1"/>
        <v>#NAME?</v>
      </c>
      <c r="F5" s="7"/>
      <c r="G5" s="132" t="e">
        <f t="array" aca="1" ref="G5:K9" ca="1">COV('ANOVA Match 2.3'!B18:F24)</f>
        <v>#NAME?</v>
      </c>
      <c r="H5" s="224" t="e">
        <f ca="1"/>
        <v>#NAME?</v>
      </c>
      <c r="I5" s="224" t="e">
        <f ca="1"/>
        <v>#NAME?</v>
      </c>
      <c r="J5" s="224" t="e">
        <f ca="1"/>
        <v>#NAME?</v>
      </c>
      <c r="K5" s="225" t="e">
        <f ca="1"/>
        <v>#NAME?</v>
      </c>
      <c r="M5" t="s">
        <v>38</v>
      </c>
      <c r="N5" s="309">
        <f>'ANOVA Match 2.3'!K5</f>
        <v>5</v>
      </c>
      <c r="P5" t="s">
        <v>475</v>
      </c>
      <c r="Q5" s="341">
        <f>Q4</f>
        <v>6</v>
      </c>
      <c r="R5" s="7">
        <f>1/Q5</f>
        <v>0.16666666666666666</v>
      </c>
      <c r="S5" s="7">
        <f>R5^2</f>
        <v>2.7777777777777776E-2</v>
      </c>
      <c r="T5" s="7" t="e">
        <f ca="1">MDETERM(A13:E17)</f>
        <v>#NAME?</v>
      </c>
      <c r="U5" s="7" t="e">
        <f ca="1">LN(T5)</f>
        <v>#NAME?</v>
      </c>
      <c r="V5" s="7" t="e">
        <f ca="1">U5*Q5</f>
        <v>#NAME?</v>
      </c>
    </row>
    <row r="6" spans="1:22" x14ac:dyDescent="0.25">
      <c r="A6" s="214" t="e">
        <f ca="1"/>
        <v>#NAME?</v>
      </c>
      <c r="B6" s="7" t="e">
        <f ca="1"/>
        <v>#NAME?</v>
      </c>
      <c r="C6" s="7" t="e">
        <f ca="1"/>
        <v>#NAME?</v>
      </c>
      <c r="D6" s="7" t="e">
        <f ca="1"/>
        <v>#NAME?</v>
      </c>
      <c r="E6" s="215" t="e">
        <f ca="1"/>
        <v>#NAME?</v>
      </c>
      <c r="F6" s="7"/>
      <c r="G6" s="214" t="e">
        <f ca="1"/>
        <v>#NAME?</v>
      </c>
      <c r="H6" s="7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M6" t="s">
        <v>174</v>
      </c>
      <c r="N6" s="123">
        <f>'ANOVA Match 2.3'!J5</f>
        <v>3</v>
      </c>
      <c r="P6" t="s">
        <v>51</v>
      </c>
      <c r="Q6" s="341">
        <f>Q4</f>
        <v>6</v>
      </c>
      <c r="R6" s="7">
        <f>1/Q6</f>
        <v>0.16666666666666666</v>
      </c>
      <c r="S6" s="7">
        <f>R6^2</f>
        <v>2.7777777777777776E-2</v>
      </c>
      <c r="T6" s="7" t="e">
        <f ca="1">MDETERM(G5:K9)</f>
        <v>#NAME?</v>
      </c>
      <c r="U6" s="7" t="e">
        <f ca="1">LN(T6)</f>
        <v>#NAME?</v>
      </c>
      <c r="V6" s="7" t="e">
        <f ca="1">U6*Q6</f>
        <v>#NAME?</v>
      </c>
    </row>
    <row r="7" spans="1:22" x14ac:dyDescent="0.25">
      <c r="A7" s="214" t="e">
        <f ca="1"/>
        <v>#NAME?</v>
      </c>
      <c r="B7" s="7" t="e">
        <f ca="1"/>
        <v>#NAME?</v>
      </c>
      <c r="C7" s="7" t="e">
        <f ca="1"/>
        <v>#NAME?</v>
      </c>
      <c r="D7" s="7" t="e">
        <f ca="1"/>
        <v>#NAME?</v>
      </c>
      <c r="E7" s="215" t="e">
        <f ca="1"/>
        <v>#NAME?</v>
      </c>
      <c r="F7" s="7"/>
      <c r="G7" s="214" t="e">
        <f ca="1"/>
        <v>#NAME?</v>
      </c>
      <c r="H7" s="7" t="e">
        <f ca="1"/>
        <v>#NAME?</v>
      </c>
      <c r="I7" s="7" t="e">
        <f ca="1"/>
        <v>#NAME?</v>
      </c>
      <c r="J7" s="7" t="e">
        <f ca="1"/>
        <v>#NAME?</v>
      </c>
      <c r="K7" s="215" t="e">
        <f ca="1"/>
        <v>#NAME?</v>
      </c>
      <c r="P7" t="s">
        <v>56</v>
      </c>
      <c r="Q7" s="340">
        <f>SUM(Q4:Q6)</f>
        <v>18</v>
      </c>
      <c r="R7" s="113">
        <f>1/Q7</f>
        <v>5.5555555555555552E-2</v>
      </c>
      <c r="S7" s="113">
        <f>R7^2</f>
        <v>3.0864197530864196E-3</v>
      </c>
      <c r="T7" s="113" t="e">
        <f ca="1">MDETERM(G13:K17)</f>
        <v>#NAME?</v>
      </c>
      <c r="U7" s="113" t="e">
        <f ca="1">LN(T7)</f>
        <v>#NAME?</v>
      </c>
      <c r="V7" s="113" t="e">
        <f ca="1">U7*Q7</f>
        <v>#NAME?</v>
      </c>
    </row>
    <row r="8" spans="1:22" x14ac:dyDescent="0.25">
      <c r="A8" s="214" t="e">
        <f ca="1"/>
        <v>#NAME?</v>
      </c>
      <c r="B8" s="7" t="e">
        <f ca="1"/>
        <v>#NAME?</v>
      </c>
      <c r="C8" s="7" t="e">
        <f ca="1"/>
        <v>#NAME?</v>
      </c>
      <c r="D8" s="7" t="e">
        <f ca="1"/>
        <v>#NAME?</v>
      </c>
      <c r="E8" s="215" t="e">
        <f ca="1"/>
        <v>#NAME?</v>
      </c>
      <c r="F8" s="7"/>
      <c r="G8" s="214" t="e">
        <f ca="1"/>
        <v>#NAME?</v>
      </c>
      <c r="H8" s="7" t="e">
        <f ca="1"/>
        <v>#NAME?</v>
      </c>
      <c r="I8" s="7" t="e">
        <f ca="1"/>
        <v>#NAME?</v>
      </c>
      <c r="J8" s="7" t="e">
        <f ca="1"/>
        <v>#NAME?</v>
      </c>
      <c r="K8" s="215" t="e">
        <f ca="1"/>
        <v>#NAME?</v>
      </c>
      <c r="P8" t="s">
        <v>389</v>
      </c>
      <c r="R8">
        <f>SUM(R4:R6)-R7</f>
        <v>0.44444444444444442</v>
      </c>
      <c r="S8">
        <f>SUM(S4:S6)-S7</f>
        <v>8.0246913580246909E-2</v>
      </c>
      <c r="V8" s="7" t="e">
        <f ca="1">V7-SUM(V4:V6)</f>
        <v>#NAME?</v>
      </c>
    </row>
    <row r="9" spans="1:22" x14ac:dyDescent="0.25">
      <c r="A9" s="112" t="e">
        <f ca="1"/>
        <v>#NAME?</v>
      </c>
      <c r="B9" s="113" t="e">
        <f ca="1"/>
        <v>#NAME?</v>
      </c>
      <c r="C9" s="113" t="e">
        <f ca="1"/>
        <v>#NAME?</v>
      </c>
      <c r="D9" s="113" t="e">
        <f ca="1"/>
        <v>#NAME?</v>
      </c>
      <c r="E9" s="120" t="e">
        <f ca="1"/>
        <v>#NAME?</v>
      </c>
      <c r="F9" s="7"/>
      <c r="G9" s="112" t="e">
        <f ca="1"/>
        <v>#NAME?</v>
      </c>
      <c r="H9" s="113" t="e">
        <f ca="1"/>
        <v>#NAME?</v>
      </c>
      <c r="I9" s="113" t="e">
        <f ca="1"/>
        <v>#NAME?</v>
      </c>
      <c r="J9" s="113" t="e">
        <f ca="1"/>
        <v>#NAME?</v>
      </c>
      <c r="K9" s="120" t="e">
        <f ca="1"/>
        <v>#NAME?</v>
      </c>
    </row>
    <row r="11" spans="1:22" x14ac:dyDescent="0.25">
      <c r="A11" t="s">
        <v>475</v>
      </c>
      <c r="G11" t="s">
        <v>56</v>
      </c>
      <c r="M11" t="s">
        <v>526</v>
      </c>
      <c r="N11" s="121" t="e">
        <f ca="1">V8</f>
        <v>#NAME?</v>
      </c>
      <c r="P11" t="s">
        <v>791</v>
      </c>
      <c r="Q11" s="121">
        <f>(N5-1)*(N5+2)/(6*(N6-1))*S8</f>
        <v>0.18724279835390947</v>
      </c>
    </row>
    <row r="12" spans="1:22" x14ac:dyDescent="0.25">
      <c r="M12" t="s">
        <v>27</v>
      </c>
      <c r="N12" s="185">
        <f>(2*N5^2+3*N5-1)/(6*(N5+1)*(N6-1))*R8</f>
        <v>0.39506172839506171</v>
      </c>
      <c r="P12" t="s">
        <v>147</v>
      </c>
      <c r="Q12" s="185">
        <f>(N14+2)/ABS(Q11-N12^2)</f>
        <v>1026.6601466992654</v>
      </c>
    </row>
    <row r="13" spans="1:22" x14ac:dyDescent="0.25">
      <c r="A13" s="132" t="e">
        <f t="array" aca="1" ref="A13:E17" ca="1">COV('ANOVA Match 2.3'!B11:F17)</f>
        <v>#NAME?</v>
      </c>
      <c r="B13" s="224" t="e">
        <f ca="1"/>
        <v>#NAME?</v>
      </c>
      <c r="C13" s="224" t="e">
        <f ca="1"/>
        <v>#NAME?</v>
      </c>
      <c r="D13" s="224" t="e">
        <f ca="1"/>
        <v>#NAME?</v>
      </c>
      <c r="E13" s="225" t="e">
        <f ca="1"/>
        <v>#NAME?</v>
      </c>
      <c r="F13" s="7"/>
      <c r="G13" s="132" t="e">
        <f t="array" ref="G13:K17" ca="1">(A5:E9+A13:E17+G5:K9)/3</f>
        <v>#NAME?</v>
      </c>
      <c r="H13" s="224" t="e">
        <f ca="1"/>
        <v>#NAME?</v>
      </c>
      <c r="I13" s="224" t="e">
        <f ca="1"/>
        <v>#NAME?</v>
      </c>
      <c r="J13" s="224" t="e">
        <f ca="1"/>
        <v>#NAME?</v>
      </c>
      <c r="K13" s="225" t="e">
        <f ca="1"/>
        <v>#NAME?</v>
      </c>
      <c r="M13" s="24" t="s">
        <v>73</v>
      </c>
      <c r="N13" s="185" t="e">
        <f ca="1">N11*(1-N12)</f>
        <v>#NAME?</v>
      </c>
      <c r="P13" t="s">
        <v>530</v>
      </c>
      <c r="Q13" s="185">
        <f>N14/(1-N12-N14/Q12)</f>
        <v>52.108907696507906</v>
      </c>
    </row>
    <row r="14" spans="1:22" x14ac:dyDescent="0.25">
      <c r="A14" s="214" t="e">
        <f ca="1"/>
        <v>#NAME?</v>
      </c>
      <c r="B14" s="7" t="e">
        <f ca="1"/>
        <v>#NAME?</v>
      </c>
      <c r="C14" s="7" t="e">
        <f ca="1"/>
        <v>#NAME?</v>
      </c>
      <c r="D14" s="7" t="e">
        <f ca="1"/>
        <v>#NAME?</v>
      </c>
      <c r="E14" s="215" t="e">
        <f ca="1"/>
        <v>#NAME?</v>
      </c>
      <c r="F14" s="7"/>
      <c r="G14" s="214" t="e">
        <f ca="1"/>
        <v>#NAME?</v>
      </c>
      <c r="H14" s="7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  <c r="M14" s="24" t="s">
        <v>41</v>
      </c>
      <c r="N14" s="185">
        <f>N5*(N5+1)*(N6-1)/2</f>
        <v>30</v>
      </c>
      <c r="P14" t="s">
        <v>531</v>
      </c>
      <c r="Q14" s="185">
        <f>Q12/(1-N12+2/Q12)</f>
        <v>1691.6843994114142</v>
      </c>
    </row>
    <row r="15" spans="1:22" x14ac:dyDescent="0.25">
      <c r="A15" s="214" t="e">
        <f ca="1"/>
        <v>#NAME?</v>
      </c>
      <c r="B15" s="7" t="e">
        <f ca="1"/>
        <v>#NAME?</v>
      </c>
      <c r="C15" s="7" t="e">
        <f ca="1"/>
        <v>#NAME?</v>
      </c>
      <c r="D15" s="7" t="e">
        <f ca="1"/>
        <v>#NAME?</v>
      </c>
      <c r="E15" s="215" t="e">
        <f ca="1"/>
        <v>#NAME?</v>
      </c>
      <c r="F15" s="7"/>
      <c r="G15" s="214" t="e">
        <f ca="1"/>
        <v>#NAME?</v>
      </c>
      <c r="H15" s="7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  <c r="M15" s="24" t="s">
        <v>48</v>
      </c>
      <c r="N15" s="185" t="e">
        <f ca="1">CHIDIST(N13,N14)</f>
        <v>#NAME?</v>
      </c>
      <c r="P15" t="s">
        <v>529</v>
      </c>
      <c r="Q15" s="185" t="e">
        <f ca="1">N11/Q13</f>
        <v>#NAME?</v>
      </c>
    </row>
    <row r="16" spans="1:22" x14ac:dyDescent="0.25">
      <c r="A16" s="214" t="e">
        <f ca="1"/>
        <v>#NAME?</v>
      </c>
      <c r="B16" s="7" t="e">
        <f ca="1"/>
        <v>#NAME?</v>
      </c>
      <c r="C16" s="7" t="e">
        <f ca="1"/>
        <v>#NAME?</v>
      </c>
      <c r="D16" s="7" t="e">
        <f ca="1"/>
        <v>#NAME?</v>
      </c>
      <c r="E16" s="215" t="e">
        <f ca="1"/>
        <v>#NAME?</v>
      </c>
      <c r="F16" s="7"/>
      <c r="G16" s="214" t="e">
        <f ca="1"/>
        <v>#NAME?</v>
      </c>
      <c r="H16" s="7" t="e">
        <f ca="1"/>
        <v>#NAME?</v>
      </c>
      <c r="I16" s="7" t="e">
        <f ca="1"/>
        <v>#NAME?</v>
      </c>
      <c r="J16" s="7" t="e">
        <f ca="1"/>
        <v>#NAME?</v>
      </c>
      <c r="K16" s="215" t="e">
        <f ca="1"/>
        <v>#NAME?</v>
      </c>
      <c r="M16" s="24" t="s">
        <v>32</v>
      </c>
      <c r="N16" s="185">
        <v>1E-3</v>
      </c>
      <c r="P16" t="s">
        <v>532</v>
      </c>
      <c r="Q16" s="185" t="e">
        <f ca="1">Q12*N11/(N14*(Q14-Q12))</f>
        <v>#NAME?</v>
      </c>
    </row>
    <row r="17" spans="1:17" x14ac:dyDescent="0.25">
      <c r="A17" s="112" t="e">
        <f ca="1"/>
        <v>#NAME?</v>
      </c>
      <c r="B17" s="113" t="e">
        <f ca="1"/>
        <v>#NAME?</v>
      </c>
      <c r="C17" s="113" t="e">
        <f ca="1"/>
        <v>#NAME?</v>
      </c>
      <c r="D17" s="113" t="e">
        <f ca="1"/>
        <v>#NAME?</v>
      </c>
      <c r="E17" s="120" t="e">
        <f ca="1"/>
        <v>#NAME?</v>
      </c>
      <c r="F17" s="7"/>
      <c r="G17" s="112" t="e">
        <f ca="1"/>
        <v>#NAME?</v>
      </c>
      <c r="H17" s="113" t="e">
        <f ca="1"/>
        <v>#NAME?</v>
      </c>
      <c r="I17" s="113" t="e">
        <f ca="1"/>
        <v>#NAME?</v>
      </c>
      <c r="J17" s="113" t="e">
        <f ca="1"/>
        <v>#NAME?</v>
      </c>
      <c r="K17" s="120" t="e">
        <f ca="1"/>
        <v>#NAME?</v>
      </c>
      <c r="M17" s="24" t="s">
        <v>74</v>
      </c>
      <c r="N17" s="185">
        <f>CHIINV(N16,N14)</f>
        <v>59.70306430442993</v>
      </c>
      <c r="P17" t="s">
        <v>98</v>
      </c>
      <c r="Q17" s="185" t="e">
        <f ca="1">IF(Q11&gt;N12^2,Q15,Q16)</f>
        <v>#NAME?</v>
      </c>
    </row>
    <row r="18" spans="1:17" x14ac:dyDescent="0.25">
      <c r="M18" s="24" t="s">
        <v>164</v>
      </c>
      <c r="N18" s="117" t="e">
        <f ca="1">IF(N15&lt;N16,"yes","no")</f>
        <v>#NAME?</v>
      </c>
      <c r="P18" t="s">
        <v>48</v>
      </c>
      <c r="Q18" s="185" t="e">
        <f ca="1">FDIST(Q17,N14,Q12)</f>
        <v>#NAME?</v>
      </c>
    </row>
    <row r="19" spans="1:17" x14ac:dyDescent="0.25">
      <c r="P19" t="s">
        <v>119</v>
      </c>
      <c r="Q19" s="185" t="e">
        <f ca="1">F_INV_RT(N16,N14,Q12)</f>
        <v>#NAME?</v>
      </c>
    </row>
    <row r="20" spans="1:17" x14ac:dyDescent="0.25">
      <c r="P20" t="s">
        <v>164</v>
      </c>
      <c r="Q20" s="117" t="e">
        <f ca="1">IF(Q18&lt;N16,"yes","no")</f>
        <v>#NAME?</v>
      </c>
    </row>
    <row r="21" spans="1:17" x14ac:dyDescent="0.25">
      <c r="F21" s="7"/>
      <c r="G21" s="7"/>
      <c r="J21" s="7"/>
      <c r="K21" s="7"/>
    </row>
    <row r="22" spans="1:17" x14ac:dyDescent="0.25">
      <c r="F22" s="7"/>
      <c r="G22" s="7"/>
      <c r="J22" s="7"/>
      <c r="K22" s="7"/>
    </row>
    <row r="23" spans="1:17" x14ac:dyDescent="0.25">
      <c r="F23" s="7"/>
      <c r="G23" s="7"/>
      <c r="J23" s="7"/>
      <c r="K23" s="7"/>
    </row>
    <row r="24" spans="1:17" x14ac:dyDescent="0.25">
      <c r="F24" s="7"/>
      <c r="G24" s="7"/>
      <c r="J24" s="7"/>
      <c r="K24" s="7"/>
    </row>
    <row r="25" spans="1:17" x14ac:dyDescent="0.25">
      <c r="F25" s="7"/>
      <c r="G25" s="7"/>
      <c r="J25" s="7"/>
      <c r="K25" s="7"/>
    </row>
    <row r="29" spans="1:17" x14ac:dyDescent="0.25">
      <c r="F29" s="7"/>
      <c r="G29" s="7"/>
      <c r="H29" s="7"/>
      <c r="I29" s="7"/>
      <c r="J29" s="7"/>
      <c r="K29" s="7"/>
    </row>
    <row r="30" spans="1:17" x14ac:dyDescent="0.25">
      <c r="F30" s="7"/>
      <c r="G30" s="7"/>
      <c r="H30" s="7"/>
      <c r="I30" s="7"/>
      <c r="J30" s="7"/>
      <c r="K30" s="7"/>
    </row>
    <row r="31" spans="1:17" x14ac:dyDescent="0.25">
      <c r="F31" s="7"/>
      <c r="G31" s="7"/>
      <c r="H31" s="7"/>
      <c r="I31" s="7"/>
      <c r="J31" s="7"/>
      <c r="K31" s="7"/>
    </row>
    <row r="32" spans="1:17" x14ac:dyDescent="0.25">
      <c r="F32" s="7"/>
      <c r="G32" s="7"/>
      <c r="H32" s="7"/>
      <c r="I32" s="7"/>
      <c r="J32" s="7"/>
      <c r="K32" s="7"/>
    </row>
    <row r="33" spans="6:11" x14ac:dyDescent="0.25">
      <c r="F33" s="7"/>
      <c r="G33" s="7"/>
      <c r="H33" s="7"/>
      <c r="I33" s="7"/>
      <c r="J33" s="7"/>
      <c r="K33" s="7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AN242"/>
  <sheetViews>
    <sheetView workbookViewId="0"/>
  </sheetViews>
  <sheetFormatPr defaultRowHeight="15" x14ac:dyDescent="0.25"/>
  <cols>
    <col min="6" max="23" width="5.140625" customWidth="1"/>
    <col min="25" max="25" width="17.28515625" customWidth="1"/>
    <col min="34" max="34" width="17.85546875" customWidth="1"/>
  </cols>
  <sheetData>
    <row r="1" spans="1:40" x14ac:dyDescent="0.25">
      <c r="A1" s="1" t="s">
        <v>1354</v>
      </c>
      <c r="Y1" t="s">
        <v>1494</v>
      </c>
      <c r="AH1" t="s">
        <v>1129</v>
      </c>
    </row>
    <row r="2" spans="1:40" x14ac:dyDescent="0.25">
      <c r="F2" s="773" t="s">
        <v>1495</v>
      </c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 t="s">
        <v>1496</v>
      </c>
      <c r="T2" s="773"/>
      <c r="U2" s="773" t="s">
        <v>933</v>
      </c>
      <c r="V2" s="773"/>
    </row>
    <row r="3" spans="1:40" ht="15.75" thickBot="1" x14ac:dyDescent="0.3">
      <c r="A3" s="721" t="s">
        <v>2</v>
      </c>
      <c r="B3" s="12" t="s">
        <v>476</v>
      </c>
      <c r="C3" s="12" t="s">
        <v>477</v>
      </c>
      <c r="D3" s="12" t="s">
        <v>478</v>
      </c>
      <c r="F3" s="720">
        <v>2</v>
      </c>
      <c r="G3" s="720">
        <v>3</v>
      </c>
      <c r="H3" s="720">
        <v>4</v>
      </c>
      <c r="I3" s="720">
        <v>5</v>
      </c>
      <c r="J3" s="720">
        <v>6</v>
      </c>
      <c r="K3" s="720">
        <v>7</v>
      </c>
      <c r="L3" s="720">
        <v>8</v>
      </c>
      <c r="M3" s="720">
        <v>9</v>
      </c>
      <c r="N3" s="720">
        <v>10</v>
      </c>
      <c r="O3" s="720">
        <v>11</v>
      </c>
      <c r="P3" s="720">
        <v>12</v>
      </c>
      <c r="Q3" s="720">
        <v>13</v>
      </c>
      <c r="R3" s="720">
        <v>14</v>
      </c>
      <c r="S3" s="720">
        <v>2</v>
      </c>
      <c r="T3" s="720">
        <v>3</v>
      </c>
      <c r="U3" s="720" t="s">
        <v>1497</v>
      </c>
      <c r="V3" s="720" t="s">
        <v>1498</v>
      </c>
      <c r="W3" t="s">
        <v>1499</v>
      </c>
      <c r="Y3" s="342" t="s">
        <v>799</v>
      </c>
      <c r="Z3" s="342"/>
      <c r="AB3" s="342"/>
      <c r="AC3" s="342"/>
      <c r="AH3" t="s">
        <v>125</v>
      </c>
      <c r="AL3" s="720" t="s">
        <v>18</v>
      </c>
      <c r="AM3" s="720">
        <v>0.05</v>
      </c>
    </row>
    <row r="4" spans="1:40" ht="15.75" thickTop="1" x14ac:dyDescent="0.25">
      <c r="A4" s="646" t="s">
        <v>474</v>
      </c>
      <c r="B4" s="725">
        <v>250</v>
      </c>
      <c r="C4" s="726">
        <v>278</v>
      </c>
      <c r="D4" s="727">
        <v>442</v>
      </c>
      <c r="F4" s="728">
        <v>0</v>
      </c>
      <c r="G4" s="729">
        <v>0</v>
      </c>
      <c r="H4" s="729">
        <v>0</v>
      </c>
      <c r="I4" s="729">
        <v>0</v>
      </c>
      <c r="J4" s="729">
        <v>0</v>
      </c>
      <c r="K4" s="729">
        <v>0</v>
      </c>
      <c r="L4" s="729">
        <v>0</v>
      </c>
      <c r="M4" s="729">
        <v>0</v>
      </c>
      <c r="N4" s="729">
        <v>0</v>
      </c>
      <c r="O4" s="729">
        <v>0</v>
      </c>
      <c r="P4" s="729">
        <v>0</v>
      </c>
      <c r="Q4" s="729">
        <v>0</v>
      </c>
      <c r="R4" s="729">
        <v>0</v>
      </c>
      <c r="S4" s="728">
        <v>0</v>
      </c>
      <c r="T4" s="730">
        <v>0</v>
      </c>
      <c r="U4" s="728">
        <v>0</v>
      </c>
      <c r="V4" s="730">
        <v>0</v>
      </c>
      <c r="W4" s="731">
        <v>250</v>
      </c>
      <c r="Y4" t="s">
        <v>123</v>
      </c>
      <c r="Z4" t="e">
        <f ca="1">SQRT(Z5)</f>
        <v>#NAME?</v>
      </c>
      <c r="AB4" t="s">
        <v>203</v>
      </c>
      <c r="AC4" t="e">
        <f ca="1">Z8*LN(AA13/Z8)+2*(Z12+1)</f>
        <v>#NAME?</v>
      </c>
      <c r="AH4" s="386"/>
      <c r="AI4" s="386" t="s">
        <v>111</v>
      </c>
      <c r="AJ4" s="386" t="s">
        <v>41</v>
      </c>
      <c r="AK4" s="386" t="s">
        <v>115</v>
      </c>
      <c r="AL4" s="386" t="s">
        <v>98</v>
      </c>
      <c r="AM4" s="386" t="s">
        <v>154</v>
      </c>
      <c r="AN4" s="386" t="s">
        <v>161</v>
      </c>
    </row>
    <row r="5" spans="1:40" x14ac:dyDescent="0.25">
      <c r="A5" s="214"/>
      <c r="B5" s="229">
        <v>65</v>
      </c>
      <c r="C5" s="230">
        <v>207</v>
      </c>
      <c r="D5" s="231">
        <v>341</v>
      </c>
      <c r="F5" s="732">
        <v>1</v>
      </c>
      <c r="G5" s="733">
        <v>0</v>
      </c>
      <c r="H5" s="733">
        <v>0</v>
      </c>
      <c r="I5" s="733">
        <v>0</v>
      </c>
      <c r="J5" s="733">
        <v>0</v>
      </c>
      <c r="K5" s="733">
        <v>0</v>
      </c>
      <c r="L5" s="733">
        <v>0</v>
      </c>
      <c r="M5" s="733">
        <v>0</v>
      </c>
      <c r="N5" s="733">
        <v>0</v>
      </c>
      <c r="O5" s="733">
        <v>0</v>
      </c>
      <c r="P5" s="733">
        <v>0</v>
      </c>
      <c r="Q5" s="733">
        <v>0</v>
      </c>
      <c r="R5" s="733">
        <v>0</v>
      </c>
      <c r="S5" s="732">
        <v>0</v>
      </c>
      <c r="T5" s="734">
        <v>0</v>
      </c>
      <c r="U5" s="732">
        <v>0</v>
      </c>
      <c r="V5" s="734">
        <v>0</v>
      </c>
      <c r="W5" s="735">
        <v>65</v>
      </c>
      <c r="Y5" t="s">
        <v>120</v>
      </c>
      <c r="Z5" t="e">
        <f ca="1">AA12/AA14</f>
        <v>#NAME?</v>
      </c>
      <c r="AB5" t="s">
        <v>204</v>
      </c>
      <c r="AC5" t="e">
        <f ca="1">AC4+2*(Z12+2)*(Z12+3)/(Z8-Z12-3)</f>
        <v>#NAME?</v>
      </c>
      <c r="AH5" t="s">
        <v>466</v>
      </c>
      <c r="AI5" t="e">
        <f ca="1">AI12-AI8</f>
        <v>#NAME?</v>
      </c>
      <c r="AJ5">
        <f>AJ12-AJ8</f>
        <v>13</v>
      </c>
    </row>
    <row r="6" spans="1:40" x14ac:dyDescent="0.25">
      <c r="A6" s="214"/>
      <c r="B6" s="229">
        <v>251</v>
      </c>
      <c r="C6" s="230">
        <v>261</v>
      </c>
      <c r="D6" s="231">
        <v>384</v>
      </c>
      <c r="F6" s="732">
        <v>0</v>
      </c>
      <c r="G6" s="733">
        <v>1</v>
      </c>
      <c r="H6" s="733">
        <v>0</v>
      </c>
      <c r="I6" s="733">
        <v>0</v>
      </c>
      <c r="J6" s="733">
        <v>0</v>
      </c>
      <c r="K6" s="733">
        <v>0</v>
      </c>
      <c r="L6" s="733">
        <v>0</v>
      </c>
      <c r="M6" s="733">
        <v>0</v>
      </c>
      <c r="N6" s="733">
        <v>0</v>
      </c>
      <c r="O6" s="733">
        <v>0</v>
      </c>
      <c r="P6" s="733">
        <v>0</v>
      </c>
      <c r="Q6" s="733">
        <v>0</v>
      </c>
      <c r="R6" s="733">
        <v>0</v>
      </c>
      <c r="S6" s="732">
        <v>0</v>
      </c>
      <c r="T6" s="734">
        <v>0</v>
      </c>
      <c r="U6" s="732">
        <v>0</v>
      </c>
      <c r="V6" s="734">
        <v>0</v>
      </c>
      <c r="W6" s="735">
        <v>251</v>
      </c>
      <c r="Y6" t="s">
        <v>124</v>
      </c>
      <c r="Z6" t="e">
        <f ca="1">1-(1-Z5)*(Z8-1)/(Z8-Z12-1)</f>
        <v>#NAME?</v>
      </c>
      <c r="AB6" s="354" t="s">
        <v>1353</v>
      </c>
      <c r="AC6" s="354" t="e">
        <f ca="1">Z8*LN(AA13/Z8)+(Z12+1)*LN(Z8)</f>
        <v>#NAME?</v>
      </c>
      <c r="AH6" t="s">
        <v>1130</v>
      </c>
      <c r="AI6" t="e">
        <f ca="1">AA105</f>
        <v>#NAME?</v>
      </c>
      <c r="AJ6">
        <f>Z105</f>
        <v>2</v>
      </c>
      <c r="AK6" t="e">
        <f ca="1">AI6/AJ6</f>
        <v>#NAME?</v>
      </c>
      <c r="AL6" t="e">
        <f ca="1">AK6/AK7</f>
        <v>#NAME?</v>
      </c>
      <c r="AM6" t="e">
        <f ca="1">FDIST(AL6,AJ6,AJ7)</f>
        <v>#NAME?</v>
      </c>
      <c r="AN6">
        <f>FINV(AM3,AJ6,AJ7)</f>
        <v>3.9822979570944854</v>
      </c>
    </row>
    <row r="7" spans="1:40" x14ac:dyDescent="0.25">
      <c r="A7" s="214"/>
      <c r="B7" s="229">
        <v>103</v>
      </c>
      <c r="C7" s="230">
        <v>286</v>
      </c>
      <c r="D7" s="231">
        <v>401</v>
      </c>
      <c r="F7" s="732">
        <v>0</v>
      </c>
      <c r="G7" s="733">
        <v>0</v>
      </c>
      <c r="H7" s="733">
        <v>1</v>
      </c>
      <c r="I7" s="733">
        <v>0</v>
      </c>
      <c r="J7" s="733">
        <v>0</v>
      </c>
      <c r="K7" s="733">
        <v>0</v>
      </c>
      <c r="L7" s="733">
        <v>0</v>
      </c>
      <c r="M7" s="733">
        <v>0</v>
      </c>
      <c r="N7" s="733">
        <v>0</v>
      </c>
      <c r="O7" s="733">
        <v>0</v>
      </c>
      <c r="P7" s="733">
        <v>0</v>
      </c>
      <c r="Q7" s="733">
        <v>0</v>
      </c>
      <c r="R7" s="733">
        <v>0</v>
      </c>
      <c r="S7" s="732">
        <v>0</v>
      </c>
      <c r="T7" s="734">
        <v>0</v>
      </c>
      <c r="U7" s="732">
        <v>0</v>
      </c>
      <c r="V7" s="734">
        <v>0</v>
      </c>
      <c r="W7" s="735">
        <v>103</v>
      </c>
      <c r="Y7" t="s">
        <v>10</v>
      </c>
      <c r="Z7" t="e">
        <f ca="1">SQRT(AB13)</f>
        <v>#NAME?</v>
      </c>
      <c r="AH7" t="s">
        <v>1131</v>
      </c>
      <c r="AI7" t="e">
        <f ca="1">AI5-AI6</f>
        <v>#NAME?</v>
      </c>
      <c r="AJ7">
        <f>AJ5-AJ6</f>
        <v>11</v>
      </c>
      <c r="AK7" t="e">
        <f ca="1">AI7/AJ7</f>
        <v>#NAME?</v>
      </c>
    </row>
    <row r="8" spans="1:40" x14ac:dyDescent="0.25">
      <c r="A8" s="112"/>
      <c r="B8" s="232">
        <v>230</v>
      </c>
      <c r="C8" s="230">
        <v>306</v>
      </c>
      <c r="D8" s="234">
        <v>432</v>
      </c>
      <c r="F8" s="732">
        <v>0</v>
      </c>
      <c r="G8" s="733">
        <v>0</v>
      </c>
      <c r="H8" s="733">
        <v>0</v>
      </c>
      <c r="I8" s="733">
        <v>1</v>
      </c>
      <c r="J8" s="733">
        <v>0</v>
      </c>
      <c r="K8" s="733">
        <v>0</v>
      </c>
      <c r="L8" s="733">
        <v>0</v>
      </c>
      <c r="M8" s="733">
        <v>0</v>
      </c>
      <c r="N8" s="733">
        <v>0</v>
      </c>
      <c r="O8" s="733">
        <v>0</v>
      </c>
      <c r="P8" s="733">
        <v>0</v>
      </c>
      <c r="Q8" s="733">
        <v>0</v>
      </c>
      <c r="R8" s="733">
        <v>0</v>
      </c>
      <c r="S8" s="732">
        <v>0</v>
      </c>
      <c r="T8" s="734">
        <v>0</v>
      </c>
      <c r="U8" s="736">
        <v>0</v>
      </c>
      <c r="V8" s="737">
        <v>0</v>
      </c>
      <c r="W8" s="738">
        <v>230</v>
      </c>
      <c r="Y8" s="354" t="s">
        <v>55</v>
      </c>
      <c r="Z8" s="354">
        <f>COUNT(W4:W45)</f>
        <v>42</v>
      </c>
      <c r="AH8" t="s">
        <v>468</v>
      </c>
      <c r="AI8" t="e">
        <f ca="1">AA50</f>
        <v>#NAME?</v>
      </c>
      <c r="AJ8">
        <f>Z50</f>
        <v>28</v>
      </c>
    </row>
    <row r="9" spans="1:40" x14ac:dyDescent="0.25">
      <c r="A9" s="574" t="s">
        <v>475</v>
      </c>
      <c r="B9" s="725">
        <v>54</v>
      </c>
      <c r="C9" s="726">
        <v>172</v>
      </c>
      <c r="D9" s="727">
        <v>307</v>
      </c>
      <c r="F9" s="732">
        <v>0</v>
      </c>
      <c r="G9" s="733">
        <v>0</v>
      </c>
      <c r="H9" s="733">
        <v>0</v>
      </c>
      <c r="I9" s="733">
        <v>0</v>
      </c>
      <c r="J9" s="733">
        <v>1</v>
      </c>
      <c r="K9" s="733">
        <v>0</v>
      </c>
      <c r="L9" s="733">
        <v>0</v>
      </c>
      <c r="M9" s="733">
        <v>0</v>
      </c>
      <c r="N9" s="733">
        <v>0</v>
      </c>
      <c r="O9" s="733">
        <v>0</v>
      </c>
      <c r="P9" s="733">
        <v>0</v>
      </c>
      <c r="Q9" s="733">
        <v>0</v>
      </c>
      <c r="R9" s="733">
        <v>0</v>
      </c>
      <c r="S9" s="732">
        <v>0</v>
      </c>
      <c r="T9" s="734">
        <v>0</v>
      </c>
      <c r="U9" s="728">
        <v>1</v>
      </c>
      <c r="V9" s="730">
        <v>0</v>
      </c>
      <c r="W9" s="731">
        <v>54</v>
      </c>
      <c r="AH9" t="s">
        <v>1132</v>
      </c>
      <c r="AI9" t="e">
        <f ca="1">AA235</f>
        <v>#NAME?</v>
      </c>
      <c r="AJ9">
        <f>Z235</f>
        <v>2</v>
      </c>
      <c r="AK9" t="e">
        <f ca="1">AI9/AJ9</f>
        <v>#NAME?</v>
      </c>
      <c r="AL9" t="e">
        <f ca="1">AK9/AK11</f>
        <v>#NAME?</v>
      </c>
      <c r="AM9" t="e">
        <f ca="1">FDIST(AL9,AJ9,AJ11)</f>
        <v>#NAME?</v>
      </c>
      <c r="AN9">
        <f>FINV(AM3,AJ9,AJ11)</f>
        <v>3.4433567793667246</v>
      </c>
    </row>
    <row r="10" spans="1:40" ht="15.75" thickBot="1" x14ac:dyDescent="0.3">
      <c r="A10" s="185"/>
      <c r="B10" s="229">
        <v>20</v>
      </c>
      <c r="C10" s="230">
        <v>116</v>
      </c>
      <c r="D10" s="231">
        <v>425</v>
      </c>
      <c r="F10" s="732">
        <v>0</v>
      </c>
      <c r="G10" s="733">
        <v>0</v>
      </c>
      <c r="H10" s="733">
        <v>0</v>
      </c>
      <c r="I10" s="733">
        <v>0</v>
      </c>
      <c r="J10" s="733">
        <v>0</v>
      </c>
      <c r="K10" s="733">
        <v>1</v>
      </c>
      <c r="L10" s="733">
        <v>0</v>
      </c>
      <c r="M10" s="733">
        <v>0</v>
      </c>
      <c r="N10" s="733">
        <v>0</v>
      </c>
      <c r="O10" s="733">
        <v>0</v>
      </c>
      <c r="P10" s="733">
        <v>0</v>
      </c>
      <c r="Q10" s="733">
        <v>0</v>
      </c>
      <c r="R10" s="733">
        <v>0</v>
      </c>
      <c r="S10" s="732">
        <v>0</v>
      </c>
      <c r="T10" s="734">
        <v>0</v>
      </c>
      <c r="U10" s="732">
        <v>1</v>
      </c>
      <c r="V10" s="734">
        <v>0</v>
      </c>
      <c r="W10" s="735">
        <v>20</v>
      </c>
      <c r="Y10" t="s">
        <v>125</v>
      </c>
      <c r="AC10" s="720" t="s">
        <v>18</v>
      </c>
      <c r="AD10" s="720">
        <v>0.05</v>
      </c>
      <c r="AH10" t="s">
        <v>1133</v>
      </c>
      <c r="AI10" t="e">
        <f ca="1">AA208-AA82</f>
        <v>#NAME?</v>
      </c>
      <c r="AJ10">
        <f>Z208-Z82</f>
        <v>4</v>
      </c>
      <c r="AK10" t="e">
        <f ca="1">AI10/AJ10</f>
        <v>#NAME?</v>
      </c>
      <c r="AL10" t="e">
        <f ca="1">AK10/AK11</f>
        <v>#NAME?</v>
      </c>
      <c r="AM10" t="e">
        <f ca="1">FDIST(AL10,AJ10,AJ11)</f>
        <v>#NAME?</v>
      </c>
      <c r="AN10">
        <f>FINV(AM3,AJ10,AJ11)</f>
        <v>2.8167083396402548</v>
      </c>
    </row>
    <row r="11" spans="1:40" ht="15.75" thickTop="1" x14ac:dyDescent="0.25">
      <c r="A11" s="185"/>
      <c r="B11" s="229">
        <v>41</v>
      </c>
      <c r="C11" s="230">
        <v>168</v>
      </c>
      <c r="D11" s="231">
        <v>378</v>
      </c>
      <c r="F11" s="732">
        <v>0</v>
      </c>
      <c r="G11" s="733">
        <v>0</v>
      </c>
      <c r="H11" s="733">
        <v>0</v>
      </c>
      <c r="I11" s="733">
        <v>0</v>
      </c>
      <c r="J11" s="733">
        <v>0</v>
      </c>
      <c r="K11" s="733">
        <v>0</v>
      </c>
      <c r="L11" s="733">
        <v>1</v>
      </c>
      <c r="M11" s="733">
        <v>0</v>
      </c>
      <c r="N11" s="733">
        <v>0</v>
      </c>
      <c r="O11" s="733">
        <v>0</v>
      </c>
      <c r="P11" s="733">
        <v>0</v>
      </c>
      <c r="Q11" s="733">
        <v>0</v>
      </c>
      <c r="R11" s="733">
        <v>0</v>
      </c>
      <c r="S11" s="732">
        <v>0</v>
      </c>
      <c r="T11" s="734">
        <v>0</v>
      </c>
      <c r="U11" s="732">
        <v>1</v>
      </c>
      <c r="V11" s="734">
        <v>0</v>
      </c>
      <c r="W11" s="735">
        <v>41</v>
      </c>
      <c r="Y11" s="386"/>
      <c r="Z11" s="386" t="s">
        <v>41</v>
      </c>
      <c r="AA11" s="386" t="s">
        <v>111</v>
      </c>
      <c r="AB11" s="386" t="s">
        <v>115</v>
      </c>
      <c r="AC11" s="386" t="s">
        <v>98</v>
      </c>
      <c r="AD11" s="386" t="s">
        <v>48</v>
      </c>
      <c r="AE11" s="386" t="s">
        <v>164</v>
      </c>
      <c r="AH11" t="s">
        <v>1131</v>
      </c>
      <c r="AI11" t="e">
        <f ca="1">AI8-AI9-AI10</f>
        <v>#NAME?</v>
      </c>
      <c r="AJ11">
        <f>AJ8-AJ9-AJ10</f>
        <v>22</v>
      </c>
      <c r="AK11" t="e">
        <f ca="1">AI11/AJ11</f>
        <v>#NAME?</v>
      </c>
    </row>
    <row r="12" spans="1:40" x14ac:dyDescent="0.25">
      <c r="A12" s="185"/>
      <c r="B12" s="229">
        <v>29</v>
      </c>
      <c r="C12" s="230">
        <v>81</v>
      </c>
      <c r="D12" s="231">
        <v>193</v>
      </c>
      <c r="F12" s="732">
        <v>0</v>
      </c>
      <c r="G12" s="733">
        <v>0</v>
      </c>
      <c r="H12" s="733">
        <v>0</v>
      </c>
      <c r="I12" s="733">
        <v>0</v>
      </c>
      <c r="J12" s="733">
        <v>0</v>
      </c>
      <c r="K12" s="733">
        <v>0</v>
      </c>
      <c r="L12" s="733">
        <v>0</v>
      </c>
      <c r="M12" s="733">
        <v>1</v>
      </c>
      <c r="N12" s="733">
        <v>0</v>
      </c>
      <c r="O12" s="733">
        <v>0</v>
      </c>
      <c r="P12" s="733">
        <v>0</v>
      </c>
      <c r="Q12" s="733">
        <v>0</v>
      </c>
      <c r="R12" s="733">
        <v>0</v>
      </c>
      <c r="S12" s="732">
        <v>0</v>
      </c>
      <c r="T12" s="734">
        <v>0</v>
      </c>
      <c r="U12" s="732">
        <v>1</v>
      </c>
      <c r="V12" s="734">
        <v>0</v>
      </c>
      <c r="W12" s="735">
        <v>29</v>
      </c>
      <c r="Y12" t="s">
        <v>113</v>
      </c>
      <c r="Z12">
        <f>COUNT(F4:V4)</f>
        <v>17</v>
      </c>
      <c r="AA12" t="e">
        <f ca="1">DEVSQ(MMULT(DESIGN(F4:V45),Z17:Z34))</f>
        <v>#NAME?</v>
      </c>
      <c r="AB12" t="e">
        <f ca="1">AA12/Z12</f>
        <v>#NAME?</v>
      </c>
      <c r="AC12" t="e">
        <f ca="1">AB12/AB13</f>
        <v>#NAME?</v>
      </c>
      <c r="AD12" t="e">
        <f ca="1">FDIST(AC12,Z12,Z13)</f>
        <v>#NAME?</v>
      </c>
      <c r="AE12" s="720" t="e">
        <f ca="1">IF(AD12&lt;AD10,"yes","no")</f>
        <v>#NAME?</v>
      </c>
      <c r="AH12" s="354" t="s">
        <v>1</v>
      </c>
      <c r="AI12" s="354">
        <f>AA14</f>
        <v>765790.4761904761</v>
      </c>
      <c r="AJ12" s="354">
        <f>Z14</f>
        <v>41</v>
      </c>
      <c r="AK12" s="354">
        <f>AI12/AJ12</f>
        <v>18677.816492450638</v>
      </c>
      <c r="AL12" s="354"/>
      <c r="AM12" s="354"/>
      <c r="AN12" s="354"/>
    </row>
    <row r="13" spans="1:40" x14ac:dyDescent="0.25">
      <c r="A13" s="123"/>
      <c r="B13" s="232">
        <v>3</v>
      </c>
      <c r="C13" s="491">
        <v>54</v>
      </c>
      <c r="D13" s="234">
        <v>285</v>
      </c>
      <c r="F13" s="732">
        <v>0</v>
      </c>
      <c r="G13" s="733">
        <v>0</v>
      </c>
      <c r="H13" s="733">
        <v>0</v>
      </c>
      <c r="I13" s="733">
        <v>0</v>
      </c>
      <c r="J13" s="733">
        <v>0</v>
      </c>
      <c r="K13" s="733">
        <v>0</v>
      </c>
      <c r="L13" s="733">
        <v>0</v>
      </c>
      <c r="M13" s="733">
        <v>0</v>
      </c>
      <c r="N13" s="733">
        <v>1</v>
      </c>
      <c r="O13" s="733">
        <v>0</v>
      </c>
      <c r="P13" s="733">
        <v>0</v>
      </c>
      <c r="Q13" s="733">
        <v>0</v>
      </c>
      <c r="R13" s="733">
        <v>0</v>
      </c>
      <c r="S13" s="732">
        <v>0</v>
      </c>
      <c r="T13" s="734">
        <v>0</v>
      </c>
      <c r="U13" s="736">
        <v>1</v>
      </c>
      <c r="V13" s="737">
        <v>0</v>
      </c>
      <c r="W13" s="738">
        <v>3</v>
      </c>
      <c r="Y13" t="s">
        <v>126</v>
      </c>
      <c r="Z13">
        <f>Z14-Z12</f>
        <v>24</v>
      </c>
      <c r="AA13" t="e">
        <f ca="1">AA14-AA12</f>
        <v>#NAME?</v>
      </c>
      <c r="AB13" t="e">
        <f ca="1">AA13/Z13</f>
        <v>#NAME?</v>
      </c>
    </row>
    <row r="14" spans="1:40" x14ac:dyDescent="0.25">
      <c r="A14" s="574" t="s">
        <v>51</v>
      </c>
      <c r="B14" s="229">
        <v>118</v>
      </c>
      <c r="C14" s="230">
        <v>124</v>
      </c>
      <c r="D14" s="231">
        <v>365</v>
      </c>
      <c r="F14" s="732">
        <v>0</v>
      </c>
      <c r="G14" s="733">
        <v>0</v>
      </c>
      <c r="H14" s="733">
        <v>0</v>
      </c>
      <c r="I14" s="733">
        <v>0</v>
      </c>
      <c r="J14" s="733">
        <v>0</v>
      </c>
      <c r="K14" s="733">
        <v>0</v>
      </c>
      <c r="L14" s="733">
        <v>0</v>
      </c>
      <c r="M14" s="733">
        <v>0</v>
      </c>
      <c r="N14" s="733">
        <v>0</v>
      </c>
      <c r="O14" s="733">
        <v>1</v>
      </c>
      <c r="P14" s="733">
        <v>0</v>
      </c>
      <c r="Q14" s="733">
        <v>0</v>
      </c>
      <c r="R14" s="733">
        <v>0</v>
      </c>
      <c r="S14" s="732">
        <v>0</v>
      </c>
      <c r="T14" s="734">
        <v>0</v>
      </c>
      <c r="U14" s="732">
        <v>0</v>
      </c>
      <c r="V14" s="734">
        <v>1</v>
      </c>
      <c r="W14" s="735">
        <v>118</v>
      </c>
      <c r="Y14" s="354" t="s">
        <v>1</v>
      </c>
      <c r="Z14" s="354">
        <f>Z8-1</f>
        <v>41</v>
      </c>
      <c r="AA14" s="354">
        <f>DEVSQ(W4:W45)</f>
        <v>765790.4761904761</v>
      </c>
      <c r="AB14" s="354"/>
      <c r="AC14" s="354"/>
      <c r="AD14" s="354"/>
      <c r="AE14" s="354"/>
    </row>
    <row r="15" spans="1:40" ht="15.75" thickBot="1" x14ac:dyDescent="0.3">
      <c r="A15" s="185"/>
      <c r="B15" s="229">
        <v>83</v>
      </c>
      <c r="C15" s="230">
        <v>266</v>
      </c>
      <c r="D15" s="231">
        <v>382</v>
      </c>
      <c r="F15" s="732">
        <v>0</v>
      </c>
      <c r="G15" s="733">
        <v>0</v>
      </c>
      <c r="H15" s="733">
        <v>0</v>
      </c>
      <c r="I15" s="733">
        <v>0</v>
      </c>
      <c r="J15" s="733">
        <v>0</v>
      </c>
      <c r="K15" s="733">
        <v>0</v>
      </c>
      <c r="L15" s="733">
        <v>0</v>
      </c>
      <c r="M15" s="733">
        <v>0</v>
      </c>
      <c r="N15" s="733">
        <v>0</v>
      </c>
      <c r="O15" s="733">
        <v>0</v>
      </c>
      <c r="P15" s="733">
        <v>1</v>
      </c>
      <c r="Q15" s="733">
        <v>0</v>
      </c>
      <c r="R15" s="733">
        <v>0</v>
      </c>
      <c r="S15" s="732">
        <v>0</v>
      </c>
      <c r="T15" s="734">
        <v>0</v>
      </c>
      <c r="U15" s="732">
        <v>0</v>
      </c>
      <c r="V15" s="734">
        <v>1</v>
      </c>
      <c r="W15" s="735">
        <v>83</v>
      </c>
    </row>
    <row r="16" spans="1:40" ht="15.75" thickTop="1" x14ac:dyDescent="0.25">
      <c r="A16" s="185"/>
      <c r="B16" s="229">
        <v>38</v>
      </c>
      <c r="C16" s="230">
        <v>207</v>
      </c>
      <c r="D16" s="231">
        <v>289</v>
      </c>
      <c r="F16" s="732">
        <v>0</v>
      </c>
      <c r="G16" s="733">
        <v>0</v>
      </c>
      <c r="H16" s="733">
        <v>0</v>
      </c>
      <c r="I16" s="733">
        <v>0</v>
      </c>
      <c r="J16" s="733">
        <v>0</v>
      </c>
      <c r="K16" s="733">
        <v>0</v>
      </c>
      <c r="L16" s="733">
        <v>0</v>
      </c>
      <c r="M16" s="733">
        <v>0</v>
      </c>
      <c r="N16" s="733">
        <v>0</v>
      </c>
      <c r="O16" s="733">
        <v>0</v>
      </c>
      <c r="P16" s="733">
        <v>0</v>
      </c>
      <c r="Q16" s="733">
        <v>1</v>
      </c>
      <c r="R16" s="733">
        <v>0</v>
      </c>
      <c r="S16" s="732">
        <v>0</v>
      </c>
      <c r="T16" s="734">
        <v>0</v>
      </c>
      <c r="U16" s="732">
        <v>0</v>
      </c>
      <c r="V16" s="734">
        <v>1</v>
      </c>
      <c r="W16" s="735">
        <v>38</v>
      </c>
      <c r="Y16" s="386"/>
      <c r="Z16" s="386" t="s">
        <v>797</v>
      </c>
      <c r="AA16" s="386" t="s">
        <v>390</v>
      </c>
      <c r="AB16" s="386" t="s">
        <v>42</v>
      </c>
      <c r="AC16" s="386" t="s">
        <v>48</v>
      </c>
      <c r="AD16" s="386" t="s">
        <v>15</v>
      </c>
      <c r="AE16" s="386" t="s">
        <v>16</v>
      </c>
      <c r="AF16" s="386" t="s">
        <v>1352</v>
      </c>
    </row>
    <row r="17" spans="1:32" x14ac:dyDescent="0.25">
      <c r="A17" s="123"/>
      <c r="B17" s="232">
        <v>71</v>
      </c>
      <c r="C17" s="491">
        <v>285</v>
      </c>
      <c r="D17" s="234">
        <v>471</v>
      </c>
      <c r="F17" s="732">
        <v>0</v>
      </c>
      <c r="G17" s="733">
        <v>0</v>
      </c>
      <c r="H17" s="733">
        <v>0</v>
      </c>
      <c r="I17" s="733">
        <v>0</v>
      </c>
      <c r="J17" s="733">
        <v>0</v>
      </c>
      <c r="K17" s="733">
        <v>0</v>
      </c>
      <c r="L17" s="733">
        <v>0</v>
      </c>
      <c r="M17" s="733">
        <v>0</v>
      </c>
      <c r="N17" s="733">
        <v>0</v>
      </c>
      <c r="O17" s="733">
        <v>0</v>
      </c>
      <c r="P17" s="733">
        <v>0</v>
      </c>
      <c r="Q17" s="733">
        <v>0</v>
      </c>
      <c r="R17" s="733">
        <v>1</v>
      </c>
      <c r="S17" s="732">
        <v>0</v>
      </c>
      <c r="T17" s="734">
        <v>0</v>
      </c>
      <c r="U17" s="732">
        <v>0</v>
      </c>
      <c r="V17" s="734">
        <v>1</v>
      </c>
      <c r="W17" s="735">
        <v>71</v>
      </c>
      <c r="Y17" t="s">
        <v>127</v>
      </c>
      <c r="Z17" t="e">
        <f t="array" aca="1" ref="Z17:AA34" ca="1">RegCoeff(F4:V45,W4:W45)</f>
        <v>#NAME?</v>
      </c>
      <c r="AA17" t="e">
        <f ca="1"/>
        <v>#NAME?</v>
      </c>
      <c r="AB17" t="e">
        <f ca="1">Z17/AA17</f>
        <v>#NAME?</v>
      </c>
      <c r="AC17" t="e">
        <f ca="1">TDIST(ABS(AB17),$Z$13,2)</f>
        <v>#NAME?</v>
      </c>
      <c r="AD17" t="e">
        <f ca="1">Z17-TINV(AD$10,$Z$13)*AA17</f>
        <v>#NAME?</v>
      </c>
      <c r="AE17" t="e">
        <f ca="1">Z17+TINV(AD$10,$Z$13)*AA17</f>
        <v>#NAME?</v>
      </c>
    </row>
    <row r="18" spans="1:32" x14ac:dyDescent="0.25">
      <c r="F18" s="728">
        <v>0</v>
      </c>
      <c r="G18" s="729">
        <v>0</v>
      </c>
      <c r="H18" s="729">
        <v>0</v>
      </c>
      <c r="I18" s="729">
        <v>0</v>
      </c>
      <c r="J18" s="729">
        <v>0</v>
      </c>
      <c r="K18" s="729">
        <v>0</v>
      </c>
      <c r="L18" s="729">
        <v>0</v>
      </c>
      <c r="M18" s="729">
        <v>0</v>
      </c>
      <c r="N18" s="729">
        <v>0</v>
      </c>
      <c r="O18" s="729">
        <v>0</v>
      </c>
      <c r="P18" s="729">
        <v>0</v>
      </c>
      <c r="Q18" s="729">
        <v>0</v>
      </c>
      <c r="R18" s="729">
        <v>0</v>
      </c>
      <c r="S18" s="728">
        <v>1</v>
      </c>
      <c r="T18" s="730">
        <v>0</v>
      </c>
      <c r="U18" s="729">
        <v>0</v>
      </c>
      <c r="V18" s="730">
        <v>0</v>
      </c>
      <c r="W18" s="731">
        <v>278</v>
      </c>
      <c r="Y18">
        <f t="array" ref="Y18:Y34">TRANSPOSE(F3:V3)</f>
        <v>2</v>
      </c>
      <c r="Z18" t="e">
        <f ca="1"/>
        <v>#NAME?</v>
      </c>
      <c r="AA18" t="e">
        <f ca="1"/>
        <v>#NAME?</v>
      </c>
      <c r="AB18" t="e">
        <f t="shared" ref="AB18:AB34" ca="1" si="0">Z18/AA18</f>
        <v>#NAME?</v>
      </c>
      <c r="AC18" t="e">
        <f t="shared" ref="AC18:AC34" ca="1" si="1">TDIST(ABS(AB18),$Z$13,2)</f>
        <v>#NAME?</v>
      </c>
      <c r="AD18" t="e">
        <f t="shared" ref="AD18:AD34" ca="1" si="2">Z18-TINV(AD$10,$Z$13)*AA18</f>
        <v>#NAME?</v>
      </c>
      <c r="AE18" t="e">
        <f t="shared" ref="AE18:AE34" ca="1" si="3">Z18+TINV(AD$10,$Z$13)*AA18</f>
        <v>#NAME?</v>
      </c>
      <c r="AF18" t="e">
        <f ca="1">VIF(F4:V45,1)</f>
        <v>#NAME?</v>
      </c>
    </row>
    <row r="19" spans="1:32" x14ac:dyDescent="0.25">
      <c r="F19" s="732">
        <v>1</v>
      </c>
      <c r="G19" s="733">
        <v>0</v>
      </c>
      <c r="H19" s="733">
        <v>0</v>
      </c>
      <c r="I19" s="733">
        <v>0</v>
      </c>
      <c r="J19" s="733">
        <v>0</v>
      </c>
      <c r="K19" s="733">
        <v>0</v>
      </c>
      <c r="L19" s="733">
        <v>0</v>
      </c>
      <c r="M19" s="733">
        <v>0</v>
      </c>
      <c r="N19" s="733">
        <v>0</v>
      </c>
      <c r="O19" s="733">
        <v>0</v>
      </c>
      <c r="P19" s="733">
        <v>0</v>
      </c>
      <c r="Q19" s="733">
        <v>0</v>
      </c>
      <c r="R19" s="733">
        <v>0</v>
      </c>
      <c r="S19" s="732">
        <v>1</v>
      </c>
      <c r="T19" s="734">
        <v>0</v>
      </c>
      <c r="U19" s="733">
        <v>0</v>
      </c>
      <c r="V19" s="734">
        <v>0</v>
      </c>
      <c r="W19" s="735">
        <v>207</v>
      </c>
      <c r="Y19">
        <v>3</v>
      </c>
      <c r="Z19" t="e">
        <f ca="1"/>
        <v>#NAME?</v>
      </c>
      <c r="AA19" t="e">
        <f ca="1"/>
        <v>#NAME?</v>
      </c>
      <c r="AB19" t="e">
        <f t="shared" ca="1" si="0"/>
        <v>#NAME?</v>
      </c>
      <c r="AC19" t="e">
        <f t="shared" ca="1" si="1"/>
        <v>#NAME?</v>
      </c>
      <c r="AD19" t="e">
        <f t="shared" ca="1" si="2"/>
        <v>#NAME?</v>
      </c>
      <c r="AE19" t="e">
        <f t="shared" ca="1" si="3"/>
        <v>#NAME?</v>
      </c>
      <c r="AF19" t="e">
        <f ca="1">VIF(F4:V45,2)</f>
        <v>#NAME?</v>
      </c>
    </row>
    <row r="20" spans="1:32" x14ac:dyDescent="0.25">
      <c r="F20" s="732">
        <v>0</v>
      </c>
      <c r="G20" s="733">
        <v>1</v>
      </c>
      <c r="H20" s="733">
        <v>0</v>
      </c>
      <c r="I20" s="733">
        <v>0</v>
      </c>
      <c r="J20" s="733">
        <v>0</v>
      </c>
      <c r="K20" s="733">
        <v>0</v>
      </c>
      <c r="L20" s="733">
        <v>0</v>
      </c>
      <c r="M20" s="733">
        <v>0</v>
      </c>
      <c r="N20" s="733">
        <v>0</v>
      </c>
      <c r="O20" s="733">
        <v>0</v>
      </c>
      <c r="P20" s="733">
        <v>0</v>
      </c>
      <c r="Q20" s="733">
        <v>0</v>
      </c>
      <c r="R20" s="733">
        <v>0</v>
      </c>
      <c r="S20" s="732">
        <v>1</v>
      </c>
      <c r="T20" s="734">
        <v>0</v>
      </c>
      <c r="U20" s="733">
        <v>0</v>
      </c>
      <c r="V20" s="734">
        <v>0</v>
      </c>
      <c r="W20" s="735">
        <v>261</v>
      </c>
      <c r="Y20">
        <v>4</v>
      </c>
      <c r="Z20" t="e">
        <f ca="1"/>
        <v>#NAME?</v>
      </c>
      <c r="AA20" t="e">
        <f ca="1"/>
        <v>#NAME?</v>
      </c>
      <c r="AB20" t="e">
        <f t="shared" ca="1" si="0"/>
        <v>#NAME?</v>
      </c>
      <c r="AC20" t="e">
        <f t="shared" ca="1" si="1"/>
        <v>#NAME?</v>
      </c>
      <c r="AD20" t="e">
        <f t="shared" ca="1" si="2"/>
        <v>#NAME?</v>
      </c>
      <c r="AE20" t="e">
        <f t="shared" ca="1" si="3"/>
        <v>#NAME?</v>
      </c>
      <c r="AF20" t="e">
        <f ca="1">VIF(F4:V45,3)</f>
        <v>#NAME?</v>
      </c>
    </row>
    <row r="21" spans="1:32" x14ac:dyDescent="0.25">
      <c r="F21" s="732">
        <v>0</v>
      </c>
      <c r="G21" s="733">
        <v>0</v>
      </c>
      <c r="H21" s="733">
        <v>1</v>
      </c>
      <c r="I21" s="733">
        <v>0</v>
      </c>
      <c r="J21" s="733">
        <v>0</v>
      </c>
      <c r="K21" s="733">
        <v>0</v>
      </c>
      <c r="L21" s="733">
        <v>0</v>
      </c>
      <c r="M21" s="733">
        <v>0</v>
      </c>
      <c r="N21" s="733">
        <v>0</v>
      </c>
      <c r="O21" s="733">
        <v>0</v>
      </c>
      <c r="P21" s="733">
        <v>0</v>
      </c>
      <c r="Q21" s="733">
        <v>0</v>
      </c>
      <c r="R21" s="733">
        <v>0</v>
      </c>
      <c r="S21" s="732">
        <v>1</v>
      </c>
      <c r="T21" s="734">
        <v>0</v>
      </c>
      <c r="U21" s="733">
        <v>0</v>
      </c>
      <c r="V21" s="734">
        <v>0</v>
      </c>
      <c r="W21" s="735">
        <v>286</v>
      </c>
      <c r="Y21">
        <v>5</v>
      </c>
      <c r="Z21" t="e">
        <f ca="1"/>
        <v>#NAME?</v>
      </c>
      <c r="AA21" t="e">
        <f ca="1"/>
        <v>#NAME?</v>
      </c>
      <c r="AB21" t="e">
        <f t="shared" ca="1" si="0"/>
        <v>#NAME?</v>
      </c>
      <c r="AC21" t="e">
        <f t="shared" ca="1" si="1"/>
        <v>#NAME?</v>
      </c>
      <c r="AD21" t="e">
        <f t="shared" ca="1" si="2"/>
        <v>#NAME?</v>
      </c>
      <c r="AE21" t="e">
        <f t="shared" ca="1" si="3"/>
        <v>#NAME?</v>
      </c>
      <c r="AF21" t="e">
        <f ca="1">VIF(F4:V45,4)</f>
        <v>#NAME?</v>
      </c>
    </row>
    <row r="22" spans="1:32" x14ac:dyDescent="0.25">
      <c r="F22" s="732">
        <v>0</v>
      </c>
      <c r="G22" s="733">
        <v>0</v>
      </c>
      <c r="H22" s="733">
        <v>0</v>
      </c>
      <c r="I22" s="733">
        <v>1</v>
      </c>
      <c r="J22" s="733">
        <v>0</v>
      </c>
      <c r="K22" s="733">
        <v>0</v>
      </c>
      <c r="L22" s="733">
        <v>0</v>
      </c>
      <c r="M22" s="733">
        <v>0</v>
      </c>
      <c r="N22" s="733">
        <v>0</v>
      </c>
      <c r="O22" s="733">
        <v>0</v>
      </c>
      <c r="P22" s="733">
        <v>0</v>
      </c>
      <c r="Q22" s="733">
        <v>0</v>
      </c>
      <c r="R22" s="733">
        <v>0</v>
      </c>
      <c r="S22" s="732">
        <v>1</v>
      </c>
      <c r="T22" s="734">
        <v>0</v>
      </c>
      <c r="U22" s="739">
        <v>0</v>
      </c>
      <c r="V22" s="737">
        <v>0</v>
      </c>
      <c r="W22" s="735">
        <v>306</v>
      </c>
      <c r="Y22">
        <v>6</v>
      </c>
      <c r="Z22" t="e">
        <f ca="1"/>
        <v>#NAME?</v>
      </c>
      <c r="AA22" t="e">
        <f ca="1"/>
        <v>#NAME?</v>
      </c>
      <c r="AB22" t="e">
        <f t="shared" ca="1" si="0"/>
        <v>#NAME?</v>
      </c>
      <c r="AC22" t="e">
        <f t="shared" ca="1" si="1"/>
        <v>#NAME?</v>
      </c>
      <c r="AD22" t="e">
        <f t="shared" ca="1" si="2"/>
        <v>#NAME?</v>
      </c>
      <c r="AE22" t="e">
        <f t="shared" ca="1" si="3"/>
        <v>#NAME?</v>
      </c>
      <c r="AF22" t="e">
        <f ca="1">VIF(F4:V45,5)</f>
        <v>#NAME?</v>
      </c>
    </row>
    <row r="23" spans="1:32" x14ac:dyDescent="0.25">
      <c r="F23" s="732">
        <v>0</v>
      </c>
      <c r="G23" s="733">
        <v>0</v>
      </c>
      <c r="H23" s="733">
        <v>0</v>
      </c>
      <c r="I23" s="733">
        <v>0</v>
      </c>
      <c r="J23" s="733">
        <v>1</v>
      </c>
      <c r="K23" s="733">
        <v>0</v>
      </c>
      <c r="L23" s="733">
        <v>0</v>
      </c>
      <c r="M23" s="733">
        <v>0</v>
      </c>
      <c r="N23" s="733">
        <v>0</v>
      </c>
      <c r="O23" s="733">
        <v>0</v>
      </c>
      <c r="P23" s="733">
        <v>0</v>
      </c>
      <c r="Q23" s="733">
        <v>0</v>
      </c>
      <c r="R23" s="733">
        <v>0</v>
      </c>
      <c r="S23" s="732">
        <v>1</v>
      </c>
      <c r="T23" s="734">
        <v>0</v>
      </c>
      <c r="U23" s="729">
        <v>1</v>
      </c>
      <c r="V23" s="730">
        <v>0</v>
      </c>
      <c r="W23" s="731">
        <v>172</v>
      </c>
      <c r="Y23">
        <v>7</v>
      </c>
      <c r="Z23" t="e">
        <f ca="1"/>
        <v>#NAME?</v>
      </c>
      <c r="AA23" t="e">
        <f ca="1"/>
        <v>#NAME?</v>
      </c>
      <c r="AB23" t="e">
        <f t="shared" ca="1" si="0"/>
        <v>#NAME?</v>
      </c>
      <c r="AC23" t="e">
        <f t="shared" ca="1" si="1"/>
        <v>#NAME?</v>
      </c>
      <c r="AD23" t="e">
        <f t="shared" ca="1" si="2"/>
        <v>#NAME?</v>
      </c>
      <c r="AE23" t="e">
        <f t="shared" ca="1" si="3"/>
        <v>#NAME?</v>
      </c>
      <c r="AF23" t="e">
        <f ca="1">VIF(F4:V45,6)</f>
        <v>#NAME?</v>
      </c>
    </row>
    <row r="24" spans="1:32" x14ac:dyDescent="0.25">
      <c r="F24" s="732">
        <v>0</v>
      </c>
      <c r="G24" s="733">
        <v>0</v>
      </c>
      <c r="H24" s="733">
        <v>0</v>
      </c>
      <c r="I24" s="733">
        <v>0</v>
      </c>
      <c r="J24" s="733">
        <v>0</v>
      </c>
      <c r="K24" s="733">
        <v>1</v>
      </c>
      <c r="L24" s="733">
        <v>0</v>
      </c>
      <c r="M24" s="733">
        <v>0</v>
      </c>
      <c r="N24" s="733">
        <v>0</v>
      </c>
      <c r="O24" s="733">
        <v>0</v>
      </c>
      <c r="P24" s="733">
        <v>0</v>
      </c>
      <c r="Q24" s="733">
        <v>0</v>
      </c>
      <c r="R24" s="733">
        <v>0</v>
      </c>
      <c r="S24" s="732">
        <v>1</v>
      </c>
      <c r="T24" s="734">
        <v>0</v>
      </c>
      <c r="U24" s="733">
        <v>1</v>
      </c>
      <c r="V24" s="734">
        <v>0</v>
      </c>
      <c r="W24" s="735">
        <v>116</v>
      </c>
      <c r="Y24">
        <v>8</v>
      </c>
      <c r="Z24" t="e">
        <f ca="1"/>
        <v>#NAME?</v>
      </c>
      <c r="AA24" t="e">
        <f ca="1"/>
        <v>#NAME?</v>
      </c>
      <c r="AB24" t="e">
        <f t="shared" ca="1" si="0"/>
        <v>#NAME?</v>
      </c>
      <c r="AC24" t="e">
        <f t="shared" ca="1" si="1"/>
        <v>#NAME?</v>
      </c>
      <c r="AD24" t="e">
        <f t="shared" ca="1" si="2"/>
        <v>#NAME?</v>
      </c>
      <c r="AE24" t="e">
        <f t="shared" ca="1" si="3"/>
        <v>#NAME?</v>
      </c>
      <c r="AF24" t="e">
        <f ca="1">VIF(F4:V45,7)</f>
        <v>#NAME?</v>
      </c>
    </row>
    <row r="25" spans="1:32" x14ac:dyDescent="0.25">
      <c r="F25" s="732">
        <v>0</v>
      </c>
      <c r="G25" s="733">
        <v>0</v>
      </c>
      <c r="H25" s="733">
        <v>0</v>
      </c>
      <c r="I25" s="733">
        <v>0</v>
      </c>
      <c r="J25" s="733">
        <v>0</v>
      </c>
      <c r="K25" s="733">
        <v>0</v>
      </c>
      <c r="L25" s="733">
        <v>1</v>
      </c>
      <c r="M25" s="733">
        <v>0</v>
      </c>
      <c r="N25" s="733">
        <v>0</v>
      </c>
      <c r="O25" s="733">
        <v>0</v>
      </c>
      <c r="P25" s="733">
        <v>0</v>
      </c>
      <c r="Q25" s="733">
        <v>0</v>
      </c>
      <c r="R25" s="733">
        <v>0</v>
      </c>
      <c r="S25" s="732">
        <v>1</v>
      </c>
      <c r="T25" s="734">
        <v>0</v>
      </c>
      <c r="U25" s="733">
        <v>1</v>
      </c>
      <c r="V25" s="734">
        <v>0</v>
      </c>
      <c r="W25" s="735">
        <v>168</v>
      </c>
      <c r="Y25">
        <v>9</v>
      </c>
      <c r="Z25" t="e">
        <f ca="1"/>
        <v>#NAME?</v>
      </c>
      <c r="AA25" t="e">
        <f ca="1"/>
        <v>#NAME?</v>
      </c>
      <c r="AB25" t="e">
        <f t="shared" ca="1" si="0"/>
        <v>#NAME?</v>
      </c>
      <c r="AC25" t="e">
        <f t="shared" ca="1" si="1"/>
        <v>#NAME?</v>
      </c>
      <c r="AD25" t="e">
        <f t="shared" ca="1" si="2"/>
        <v>#NAME?</v>
      </c>
      <c r="AE25" t="e">
        <f t="shared" ca="1" si="3"/>
        <v>#NAME?</v>
      </c>
      <c r="AF25" t="e">
        <f ca="1">VIF(F4:V45,8)</f>
        <v>#NAME?</v>
      </c>
    </row>
    <row r="26" spans="1:32" x14ac:dyDescent="0.25">
      <c r="F26" s="732">
        <v>0</v>
      </c>
      <c r="G26" s="733">
        <v>0</v>
      </c>
      <c r="H26" s="733">
        <v>0</v>
      </c>
      <c r="I26" s="733">
        <v>0</v>
      </c>
      <c r="J26" s="733">
        <v>0</v>
      </c>
      <c r="K26" s="733">
        <v>0</v>
      </c>
      <c r="L26" s="733">
        <v>0</v>
      </c>
      <c r="M26" s="733">
        <v>1</v>
      </c>
      <c r="N26" s="733">
        <v>0</v>
      </c>
      <c r="O26" s="733">
        <v>0</v>
      </c>
      <c r="P26" s="733">
        <v>0</v>
      </c>
      <c r="Q26" s="733">
        <v>0</v>
      </c>
      <c r="R26" s="733">
        <v>0</v>
      </c>
      <c r="S26" s="732">
        <v>1</v>
      </c>
      <c r="T26" s="734">
        <v>0</v>
      </c>
      <c r="U26" s="733">
        <v>1</v>
      </c>
      <c r="V26" s="734">
        <v>0</v>
      </c>
      <c r="W26" s="735">
        <v>81</v>
      </c>
      <c r="Y26">
        <v>10</v>
      </c>
      <c r="Z26" t="e">
        <f ca="1"/>
        <v>#NAME?</v>
      </c>
      <c r="AA26" t="e">
        <f ca="1"/>
        <v>#NAME?</v>
      </c>
      <c r="AB26" t="e">
        <f t="shared" ca="1" si="0"/>
        <v>#NAME?</v>
      </c>
      <c r="AC26" t="e">
        <f t="shared" ca="1" si="1"/>
        <v>#NAME?</v>
      </c>
      <c r="AD26" t="e">
        <f t="shared" ca="1" si="2"/>
        <v>#NAME?</v>
      </c>
      <c r="AE26" t="e">
        <f t="shared" ca="1" si="3"/>
        <v>#NAME?</v>
      </c>
      <c r="AF26" t="e">
        <f ca="1">VIF(F4:V45,9)</f>
        <v>#NAME?</v>
      </c>
    </row>
    <row r="27" spans="1:32" x14ac:dyDescent="0.25">
      <c r="F27" s="732">
        <v>0</v>
      </c>
      <c r="G27" s="733">
        <v>0</v>
      </c>
      <c r="H27" s="733">
        <v>0</v>
      </c>
      <c r="I27" s="733">
        <v>0</v>
      </c>
      <c r="J27" s="733">
        <v>0</v>
      </c>
      <c r="K27" s="733">
        <v>0</v>
      </c>
      <c r="L27" s="733">
        <v>0</v>
      </c>
      <c r="M27" s="733">
        <v>0</v>
      </c>
      <c r="N27" s="733">
        <v>1</v>
      </c>
      <c r="O27" s="733">
        <v>0</v>
      </c>
      <c r="P27" s="733">
        <v>0</v>
      </c>
      <c r="Q27" s="733">
        <v>0</v>
      </c>
      <c r="R27" s="733">
        <v>0</v>
      </c>
      <c r="S27" s="732">
        <v>1</v>
      </c>
      <c r="T27" s="734">
        <v>0</v>
      </c>
      <c r="U27" s="739">
        <v>1</v>
      </c>
      <c r="V27" s="737">
        <v>0</v>
      </c>
      <c r="W27" s="738">
        <v>54</v>
      </c>
      <c r="Y27">
        <v>11</v>
      </c>
      <c r="Z27" t="e">
        <f ca="1"/>
        <v>#NAME?</v>
      </c>
      <c r="AA27" t="e">
        <f ca="1"/>
        <v>#NAME?</v>
      </c>
      <c r="AB27" t="e">
        <f t="shared" ca="1" si="0"/>
        <v>#NAME?</v>
      </c>
      <c r="AC27" t="e">
        <f t="shared" ca="1" si="1"/>
        <v>#NAME?</v>
      </c>
      <c r="AD27" t="e">
        <f t="shared" ca="1" si="2"/>
        <v>#NAME?</v>
      </c>
      <c r="AE27" t="e">
        <f t="shared" ca="1" si="3"/>
        <v>#NAME?</v>
      </c>
      <c r="AF27" t="e">
        <f ca="1">VIF(F4:V45,10)</f>
        <v>#NAME?</v>
      </c>
    </row>
    <row r="28" spans="1:32" x14ac:dyDescent="0.25">
      <c r="F28" s="732">
        <v>0</v>
      </c>
      <c r="G28" s="733">
        <v>0</v>
      </c>
      <c r="H28" s="733">
        <v>0</v>
      </c>
      <c r="I28" s="733">
        <v>0</v>
      </c>
      <c r="J28" s="733">
        <v>0</v>
      </c>
      <c r="K28" s="733">
        <v>0</v>
      </c>
      <c r="L28" s="733">
        <v>0</v>
      </c>
      <c r="M28" s="733">
        <v>0</v>
      </c>
      <c r="N28" s="733">
        <v>0</v>
      </c>
      <c r="O28" s="733">
        <v>1</v>
      </c>
      <c r="P28" s="733">
        <v>0</v>
      </c>
      <c r="Q28" s="733">
        <v>0</v>
      </c>
      <c r="R28" s="733">
        <v>0</v>
      </c>
      <c r="S28" s="732">
        <v>1</v>
      </c>
      <c r="T28" s="734">
        <v>0</v>
      </c>
      <c r="U28" s="733">
        <v>0</v>
      </c>
      <c r="V28" s="734">
        <v>1</v>
      </c>
      <c r="W28" s="735">
        <v>124</v>
      </c>
      <c r="Y28">
        <v>12</v>
      </c>
      <c r="Z28" t="e">
        <f ca="1"/>
        <v>#NAME?</v>
      </c>
      <c r="AA28" t="e">
        <f ca="1"/>
        <v>#NAME?</v>
      </c>
      <c r="AB28" t="e">
        <f t="shared" ca="1" si="0"/>
        <v>#NAME?</v>
      </c>
      <c r="AC28" t="e">
        <f t="shared" ca="1" si="1"/>
        <v>#NAME?</v>
      </c>
      <c r="AD28" t="e">
        <f t="shared" ca="1" si="2"/>
        <v>#NAME?</v>
      </c>
      <c r="AE28" t="e">
        <f t="shared" ca="1" si="3"/>
        <v>#NAME?</v>
      </c>
      <c r="AF28" t="e">
        <f ca="1">VIF(F4:V45,11)</f>
        <v>#NAME?</v>
      </c>
    </row>
    <row r="29" spans="1:32" x14ac:dyDescent="0.25">
      <c r="F29" s="732">
        <v>0</v>
      </c>
      <c r="G29" s="733">
        <v>0</v>
      </c>
      <c r="H29" s="733">
        <v>0</v>
      </c>
      <c r="I29" s="733">
        <v>0</v>
      </c>
      <c r="J29" s="733">
        <v>0</v>
      </c>
      <c r="K29" s="733">
        <v>0</v>
      </c>
      <c r="L29" s="733">
        <v>0</v>
      </c>
      <c r="M29" s="733">
        <v>0</v>
      </c>
      <c r="N29" s="733">
        <v>0</v>
      </c>
      <c r="O29" s="733">
        <v>0</v>
      </c>
      <c r="P29" s="733">
        <v>1</v>
      </c>
      <c r="Q29" s="733">
        <v>0</v>
      </c>
      <c r="R29" s="733">
        <v>0</v>
      </c>
      <c r="S29" s="732">
        <v>1</v>
      </c>
      <c r="T29" s="734">
        <v>0</v>
      </c>
      <c r="U29" s="733">
        <v>0</v>
      </c>
      <c r="V29" s="734">
        <v>1</v>
      </c>
      <c r="W29" s="735">
        <v>266</v>
      </c>
      <c r="Y29">
        <v>13</v>
      </c>
      <c r="Z29" t="e">
        <f ca="1"/>
        <v>#NAME?</v>
      </c>
      <c r="AA29" t="e">
        <f ca="1"/>
        <v>#NAME?</v>
      </c>
      <c r="AB29" t="e">
        <f t="shared" ca="1" si="0"/>
        <v>#NAME?</v>
      </c>
      <c r="AC29" t="e">
        <f t="shared" ca="1" si="1"/>
        <v>#NAME?</v>
      </c>
      <c r="AD29" t="e">
        <f t="shared" ca="1" si="2"/>
        <v>#NAME?</v>
      </c>
      <c r="AE29" t="e">
        <f t="shared" ca="1" si="3"/>
        <v>#NAME?</v>
      </c>
      <c r="AF29" t="e">
        <f ca="1">VIF(F4:V45,12)</f>
        <v>#NAME?</v>
      </c>
    </row>
    <row r="30" spans="1:32" x14ac:dyDescent="0.25">
      <c r="F30" s="732">
        <v>0</v>
      </c>
      <c r="G30" s="733">
        <v>0</v>
      </c>
      <c r="H30" s="733">
        <v>0</v>
      </c>
      <c r="I30" s="733">
        <v>0</v>
      </c>
      <c r="J30" s="733">
        <v>0</v>
      </c>
      <c r="K30" s="733">
        <v>0</v>
      </c>
      <c r="L30" s="733">
        <v>0</v>
      </c>
      <c r="M30" s="733">
        <v>0</v>
      </c>
      <c r="N30" s="733">
        <v>0</v>
      </c>
      <c r="O30" s="733">
        <v>0</v>
      </c>
      <c r="P30" s="733">
        <v>0</v>
      </c>
      <c r="Q30" s="733">
        <v>1</v>
      </c>
      <c r="R30" s="733">
        <v>0</v>
      </c>
      <c r="S30" s="732">
        <v>1</v>
      </c>
      <c r="T30" s="734">
        <v>0</v>
      </c>
      <c r="U30" s="733">
        <v>0</v>
      </c>
      <c r="V30" s="734">
        <v>1</v>
      </c>
      <c r="W30" s="735">
        <v>207</v>
      </c>
      <c r="Y30">
        <v>14</v>
      </c>
      <c r="Z30" t="e">
        <f ca="1"/>
        <v>#NAME?</v>
      </c>
      <c r="AA30" t="e">
        <f ca="1"/>
        <v>#NAME?</v>
      </c>
      <c r="AB30" t="e">
        <f t="shared" ca="1" si="0"/>
        <v>#NAME?</v>
      </c>
      <c r="AC30" t="e">
        <f t="shared" ca="1" si="1"/>
        <v>#NAME?</v>
      </c>
      <c r="AD30" t="e">
        <f t="shared" ca="1" si="2"/>
        <v>#NAME?</v>
      </c>
      <c r="AE30" t="e">
        <f t="shared" ca="1" si="3"/>
        <v>#NAME?</v>
      </c>
      <c r="AF30" t="e">
        <f ca="1">VIF(F4:V45,13)</f>
        <v>#NAME?</v>
      </c>
    </row>
    <row r="31" spans="1:32" x14ac:dyDescent="0.25">
      <c r="F31" s="732">
        <v>0</v>
      </c>
      <c r="G31" s="733">
        <v>0</v>
      </c>
      <c r="H31" s="733">
        <v>0</v>
      </c>
      <c r="I31" s="733">
        <v>0</v>
      </c>
      <c r="J31" s="733">
        <v>0</v>
      </c>
      <c r="K31" s="733">
        <v>0</v>
      </c>
      <c r="L31" s="733">
        <v>0</v>
      </c>
      <c r="M31" s="733">
        <v>0</v>
      </c>
      <c r="N31" s="733">
        <v>0</v>
      </c>
      <c r="O31" s="733">
        <v>0</v>
      </c>
      <c r="P31" s="733">
        <v>0</v>
      </c>
      <c r="Q31" s="733">
        <v>0</v>
      </c>
      <c r="R31" s="733">
        <v>1</v>
      </c>
      <c r="S31" s="732">
        <v>1</v>
      </c>
      <c r="T31" s="734">
        <v>0</v>
      </c>
      <c r="U31" s="733">
        <v>0</v>
      </c>
      <c r="V31" s="734">
        <v>1</v>
      </c>
      <c r="W31" s="735">
        <v>285</v>
      </c>
      <c r="Y31">
        <v>2</v>
      </c>
      <c r="Z31" t="e">
        <f ca="1"/>
        <v>#NAME?</v>
      </c>
      <c r="AA31" t="e">
        <f ca="1"/>
        <v>#NAME?</v>
      </c>
      <c r="AB31" t="e">
        <f t="shared" ca="1" si="0"/>
        <v>#NAME?</v>
      </c>
      <c r="AC31" t="e">
        <f t="shared" ca="1" si="1"/>
        <v>#NAME?</v>
      </c>
      <c r="AD31" t="e">
        <f t="shared" ca="1" si="2"/>
        <v>#NAME?</v>
      </c>
      <c r="AE31" t="e">
        <f t="shared" ca="1" si="3"/>
        <v>#NAME?</v>
      </c>
      <c r="AF31" t="e">
        <f ca="1">VIF(F4:V45,14)</f>
        <v>#NAME?</v>
      </c>
    </row>
    <row r="32" spans="1:32" x14ac:dyDescent="0.25">
      <c r="F32" s="728">
        <v>0</v>
      </c>
      <c r="G32" s="729">
        <v>0</v>
      </c>
      <c r="H32" s="729">
        <v>0</v>
      </c>
      <c r="I32" s="729">
        <v>0</v>
      </c>
      <c r="J32" s="729">
        <v>0</v>
      </c>
      <c r="K32" s="729">
        <v>0</v>
      </c>
      <c r="L32" s="729">
        <v>0</v>
      </c>
      <c r="M32" s="729">
        <v>0</v>
      </c>
      <c r="N32" s="729">
        <v>0</v>
      </c>
      <c r="O32" s="729">
        <v>0</v>
      </c>
      <c r="P32" s="729">
        <v>0</v>
      </c>
      <c r="Q32" s="729">
        <v>0</v>
      </c>
      <c r="R32" s="729">
        <v>0</v>
      </c>
      <c r="S32" s="728">
        <v>0</v>
      </c>
      <c r="T32" s="730">
        <v>1</v>
      </c>
      <c r="U32" s="729">
        <v>0</v>
      </c>
      <c r="V32" s="730">
        <v>0</v>
      </c>
      <c r="W32" s="731">
        <v>442</v>
      </c>
      <c r="Y32">
        <v>3</v>
      </c>
      <c r="Z32" t="e">
        <f ca="1"/>
        <v>#NAME?</v>
      </c>
      <c r="AA32" t="e">
        <f ca="1"/>
        <v>#NAME?</v>
      </c>
      <c r="AB32" t="e">
        <f t="shared" ca="1" si="0"/>
        <v>#NAME?</v>
      </c>
      <c r="AC32" t="e">
        <f t="shared" ca="1" si="1"/>
        <v>#NAME?</v>
      </c>
      <c r="AD32" t="e">
        <f t="shared" ca="1" si="2"/>
        <v>#NAME?</v>
      </c>
      <c r="AE32" t="e">
        <f t="shared" ca="1" si="3"/>
        <v>#NAME?</v>
      </c>
      <c r="AF32" t="e">
        <f ca="1">VIF(F4:V45,15)</f>
        <v>#NAME?</v>
      </c>
    </row>
    <row r="33" spans="6:32" x14ac:dyDescent="0.25">
      <c r="F33" s="732">
        <v>1</v>
      </c>
      <c r="G33" s="733">
        <v>0</v>
      </c>
      <c r="H33" s="733">
        <v>0</v>
      </c>
      <c r="I33" s="733">
        <v>0</v>
      </c>
      <c r="J33" s="733">
        <v>0</v>
      </c>
      <c r="K33" s="733">
        <v>0</v>
      </c>
      <c r="L33" s="733">
        <v>0</v>
      </c>
      <c r="M33" s="733">
        <v>0</v>
      </c>
      <c r="N33" s="733">
        <v>0</v>
      </c>
      <c r="O33" s="733">
        <v>0</v>
      </c>
      <c r="P33" s="733">
        <v>0</v>
      </c>
      <c r="Q33" s="733">
        <v>0</v>
      </c>
      <c r="R33" s="733">
        <v>0</v>
      </c>
      <c r="S33" s="732">
        <v>0</v>
      </c>
      <c r="T33" s="734">
        <v>1</v>
      </c>
      <c r="U33" s="733">
        <v>0</v>
      </c>
      <c r="V33" s="734">
        <v>0</v>
      </c>
      <c r="W33" s="735">
        <v>341</v>
      </c>
      <c r="Y33" t="str">
        <v>mid</v>
      </c>
      <c r="Z33" t="e">
        <f ca="1"/>
        <v>#NAME?</v>
      </c>
      <c r="AA33" t="e">
        <f ca="1"/>
        <v>#NAME?</v>
      </c>
      <c r="AB33" t="e">
        <f t="shared" ca="1" si="0"/>
        <v>#NAME?</v>
      </c>
      <c r="AC33" t="e">
        <f t="shared" ca="1" si="1"/>
        <v>#NAME?</v>
      </c>
      <c r="AD33" t="e">
        <f t="shared" ca="1" si="2"/>
        <v>#NAME?</v>
      </c>
      <c r="AE33" t="e">
        <f t="shared" ca="1" si="3"/>
        <v>#NAME?</v>
      </c>
      <c r="AF33" t="e">
        <f ca="1">VIF(F4:V45,16)</f>
        <v>#NAME?</v>
      </c>
    </row>
    <row r="34" spans="6:32" x14ac:dyDescent="0.25">
      <c r="F34" s="732">
        <v>0</v>
      </c>
      <c r="G34" s="733">
        <v>1</v>
      </c>
      <c r="H34" s="733">
        <v>0</v>
      </c>
      <c r="I34" s="733">
        <v>0</v>
      </c>
      <c r="J34" s="733">
        <v>0</v>
      </c>
      <c r="K34" s="733">
        <v>0</v>
      </c>
      <c r="L34" s="733">
        <v>0</v>
      </c>
      <c r="M34" s="733">
        <v>0</v>
      </c>
      <c r="N34" s="733">
        <v>0</v>
      </c>
      <c r="O34" s="733">
        <v>0</v>
      </c>
      <c r="P34" s="733">
        <v>0</v>
      </c>
      <c r="Q34" s="733">
        <v>0</v>
      </c>
      <c r="R34" s="733">
        <v>0</v>
      </c>
      <c r="S34" s="732">
        <v>0</v>
      </c>
      <c r="T34" s="734">
        <v>1</v>
      </c>
      <c r="U34" s="733">
        <v>0</v>
      </c>
      <c r="V34" s="734">
        <v>0</v>
      </c>
      <c r="W34" s="735">
        <v>384</v>
      </c>
      <c r="Y34" s="354" t="str">
        <v>old</v>
      </c>
      <c r="Z34" s="354" t="e">
        <f ca="1"/>
        <v>#NAME?</v>
      </c>
      <c r="AA34" s="354" t="e">
        <f ca="1"/>
        <v>#NAME?</v>
      </c>
      <c r="AB34" s="354" t="e">
        <f t="shared" ca="1" si="0"/>
        <v>#NAME?</v>
      </c>
      <c r="AC34" s="354" t="e">
        <f t="shared" ca="1" si="1"/>
        <v>#NAME?</v>
      </c>
      <c r="AD34" s="354" t="e">
        <f t="shared" ca="1" si="2"/>
        <v>#NAME?</v>
      </c>
      <c r="AE34" s="354" t="e">
        <f t="shared" ca="1" si="3"/>
        <v>#NAME?</v>
      </c>
      <c r="AF34" s="354" t="e">
        <f ca="1">VIF(F4:V45,17)</f>
        <v>#NAME?</v>
      </c>
    </row>
    <row r="35" spans="6:32" x14ac:dyDescent="0.25">
      <c r="F35" s="732">
        <v>0</v>
      </c>
      <c r="G35" s="733">
        <v>0</v>
      </c>
      <c r="H35" s="733">
        <v>1</v>
      </c>
      <c r="I35" s="733">
        <v>0</v>
      </c>
      <c r="J35" s="733">
        <v>0</v>
      </c>
      <c r="K35" s="733">
        <v>0</v>
      </c>
      <c r="L35" s="733">
        <v>0</v>
      </c>
      <c r="M35" s="733">
        <v>0</v>
      </c>
      <c r="N35" s="733">
        <v>0</v>
      </c>
      <c r="O35" s="733">
        <v>0</v>
      </c>
      <c r="P35" s="733">
        <v>0</v>
      </c>
      <c r="Q35" s="733">
        <v>0</v>
      </c>
      <c r="R35" s="733">
        <v>0</v>
      </c>
      <c r="S35" s="732">
        <v>0</v>
      </c>
      <c r="T35" s="734">
        <v>1</v>
      </c>
      <c r="U35" s="733">
        <v>0</v>
      </c>
      <c r="V35" s="734">
        <v>0</v>
      </c>
      <c r="W35" s="735">
        <v>401</v>
      </c>
    </row>
    <row r="36" spans="6:32" x14ac:dyDescent="0.25">
      <c r="F36" s="732">
        <v>0</v>
      </c>
      <c r="G36" s="733">
        <v>0</v>
      </c>
      <c r="H36" s="733">
        <v>0</v>
      </c>
      <c r="I36" s="733">
        <v>1</v>
      </c>
      <c r="J36" s="733">
        <v>0</v>
      </c>
      <c r="K36" s="733">
        <v>0</v>
      </c>
      <c r="L36" s="733">
        <v>0</v>
      </c>
      <c r="M36" s="733">
        <v>0</v>
      </c>
      <c r="N36" s="733">
        <v>0</v>
      </c>
      <c r="O36" s="733">
        <v>0</v>
      </c>
      <c r="P36" s="733">
        <v>0</v>
      </c>
      <c r="Q36" s="733">
        <v>0</v>
      </c>
      <c r="R36" s="733">
        <v>0</v>
      </c>
      <c r="S36" s="732">
        <v>0</v>
      </c>
      <c r="T36" s="734">
        <v>1</v>
      </c>
      <c r="U36" s="739">
        <v>0</v>
      </c>
      <c r="V36" s="737">
        <v>0</v>
      </c>
      <c r="W36" s="738">
        <v>432</v>
      </c>
    </row>
    <row r="37" spans="6:32" x14ac:dyDescent="0.25">
      <c r="F37" s="732">
        <v>0</v>
      </c>
      <c r="G37" s="733">
        <v>0</v>
      </c>
      <c r="H37" s="733">
        <v>0</v>
      </c>
      <c r="I37" s="733">
        <v>0</v>
      </c>
      <c r="J37" s="733">
        <v>1</v>
      </c>
      <c r="K37" s="733">
        <v>0</v>
      </c>
      <c r="L37" s="733">
        <v>0</v>
      </c>
      <c r="M37" s="733">
        <v>0</v>
      </c>
      <c r="N37" s="733">
        <v>0</v>
      </c>
      <c r="O37" s="733">
        <v>0</v>
      </c>
      <c r="P37" s="733">
        <v>0</v>
      </c>
      <c r="Q37" s="733">
        <v>0</v>
      </c>
      <c r="R37" s="733">
        <v>0</v>
      </c>
      <c r="S37" s="732">
        <v>0</v>
      </c>
      <c r="T37" s="734">
        <v>1</v>
      </c>
      <c r="U37" s="729">
        <v>1</v>
      </c>
      <c r="V37" s="730">
        <v>0</v>
      </c>
      <c r="W37" s="731">
        <v>307</v>
      </c>
    </row>
    <row r="38" spans="6:32" x14ac:dyDescent="0.25">
      <c r="F38" s="732">
        <v>0</v>
      </c>
      <c r="G38" s="733">
        <v>0</v>
      </c>
      <c r="H38" s="733">
        <v>0</v>
      </c>
      <c r="I38" s="733">
        <v>0</v>
      </c>
      <c r="J38" s="733">
        <v>0</v>
      </c>
      <c r="K38" s="733">
        <v>1</v>
      </c>
      <c r="L38" s="733">
        <v>0</v>
      </c>
      <c r="M38" s="733">
        <v>0</v>
      </c>
      <c r="N38" s="733">
        <v>0</v>
      </c>
      <c r="O38" s="733">
        <v>0</v>
      </c>
      <c r="P38" s="733">
        <v>0</v>
      </c>
      <c r="Q38" s="733">
        <v>0</v>
      </c>
      <c r="R38" s="733">
        <v>0</v>
      </c>
      <c r="S38" s="732">
        <v>0</v>
      </c>
      <c r="T38" s="734">
        <v>1</v>
      </c>
      <c r="U38" s="733">
        <v>1</v>
      </c>
      <c r="V38" s="734">
        <v>0</v>
      </c>
      <c r="W38" s="735">
        <v>425</v>
      </c>
      <c r="Y38" t="s">
        <v>1500</v>
      </c>
    </row>
    <row r="39" spans="6:32" x14ac:dyDescent="0.25">
      <c r="F39" s="732">
        <v>0</v>
      </c>
      <c r="G39" s="733">
        <v>0</v>
      </c>
      <c r="H39" s="733">
        <v>0</v>
      </c>
      <c r="I39" s="733">
        <v>0</v>
      </c>
      <c r="J39" s="733">
        <v>0</v>
      </c>
      <c r="K39" s="733">
        <v>0</v>
      </c>
      <c r="L39" s="733">
        <v>1</v>
      </c>
      <c r="M39" s="733">
        <v>0</v>
      </c>
      <c r="N39" s="733">
        <v>0</v>
      </c>
      <c r="O39" s="733">
        <v>0</v>
      </c>
      <c r="P39" s="733">
        <v>0</v>
      </c>
      <c r="Q39" s="733">
        <v>0</v>
      </c>
      <c r="R39" s="733">
        <v>0</v>
      </c>
      <c r="S39" s="732">
        <v>0</v>
      </c>
      <c r="T39" s="734">
        <v>1</v>
      </c>
      <c r="U39" s="733">
        <v>1</v>
      </c>
      <c r="V39" s="734">
        <v>0</v>
      </c>
      <c r="W39" s="735">
        <v>378</v>
      </c>
    </row>
    <row r="40" spans="6:32" ht="15.75" thickBot="1" x14ac:dyDescent="0.3">
      <c r="F40" s="732">
        <v>0</v>
      </c>
      <c r="G40" s="733">
        <v>0</v>
      </c>
      <c r="H40" s="733">
        <v>0</v>
      </c>
      <c r="I40" s="733">
        <v>0</v>
      </c>
      <c r="J40" s="733">
        <v>0</v>
      </c>
      <c r="K40" s="733">
        <v>0</v>
      </c>
      <c r="L40" s="733">
        <v>0</v>
      </c>
      <c r="M40" s="733">
        <v>1</v>
      </c>
      <c r="N40" s="733">
        <v>0</v>
      </c>
      <c r="O40" s="733">
        <v>0</v>
      </c>
      <c r="P40" s="733">
        <v>0</v>
      </c>
      <c r="Q40" s="733">
        <v>0</v>
      </c>
      <c r="R40" s="733">
        <v>0</v>
      </c>
      <c r="S40" s="732">
        <v>0</v>
      </c>
      <c r="T40" s="734">
        <v>1</v>
      </c>
      <c r="U40" s="733">
        <v>1</v>
      </c>
      <c r="V40" s="734">
        <v>0</v>
      </c>
      <c r="W40" s="735">
        <v>193</v>
      </c>
      <c r="Y40" s="342" t="s">
        <v>799</v>
      </c>
      <c r="Z40" s="342"/>
      <c r="AB40" s="342"/>
      <c r="AC40" s="342"/>
    </row>
    <row r="41" spans="6:32" ht="15.75" thickTop="1" x14ac:dyDescent="0.25">
      <c r="F41" s="732">
        <v>0</v>
      </c>
      <c r="G41" s="733">
        <v>0</v>
      </c>
      <c r="H41" s="733">
        <v>0</v>
      </c>
      <c r="I41" s="733">
        <v>0</v>
      </c>
      <c r="J41" s="733">
        <v>0</v>
      </c>
      <c r="K41" s="733">
        <v>0</v>
      </c>
      <c r="L41" s="733">
        <v>0</v>
      </c>
      <c r="M41" s="733">
        <v>0</v>
      </c>
      <c r="N41" s="733">
        <v>1</v>
      </c>
      <c r="O41" s="733">
        <v>0</v>
      </c>
      <c r="P41" s="733">
        <v>0</v>
      </c>
      <c r="Q41" s="733">
        <v>0</v>
      </c>
      <c r="R41" s="733">
        <v>0</v>
      </c>
      <c r="S41" s="732">
        <v>0</v>
      </c>
      <c r="T41" s="734">
        <v>1</v>
      </c>
      <c r="U41" s="739">
        <v>1</v>
      </c>
      <c r="V41" s="737">
        <v>0</v>
      </c>
      <c r="W41" s="738">
        <v>285</v>
      </c>
      <c r="Y41" t="s">
        <v>123</v>
      </c>
      <c r="Z41" t="e">
        <f ca="1">SQRT(Z42)</f>
        <v>#NAME?</v>
      </c>
      <c r="AB41" t="s">
        <v>203</v>
      </c>
      <c r="AC41" t="e">
        <f ca="1">Z45*LN(AA50/Z45)+2*(Z49+1)</f>
        <v>#NAME?</v>
      </c>
    </row>
    <row r="42" spans="6:32" x14ac:dyDescent="0.25">
      <c r="F42" s="732">
        <v>0</v>
      </c>
      <c r="G42" s="733">
        <v>0</v>
      </c>
      <c r="H42" s="733">
        <v>0</v>
      </c>
      <c r="I42" s="733">
        <v>0</v>
      </c>
      <c r="J42" s="733">
        <v>0</v>
      </c>
      <c r="K42" s="733">
        <v>0</v>
      </c>
      <c r="L42" s="733">
        <v>0</v>
      </c>
      <c r="M42" s="733">
        <v>0</v>
      </c>
      <c r="N42" s="733">
        <v>0</v>
      </c>
      <c r="O42" s="733">
        <v>1</v>
      </c>
      <c r="P42" s="733">
        <v>0</v>
      </c>
      <c r="Q42" s="733">
        <v>0</v>
      </c>
      <c r="R42" s="733">
        <v>0</v>
      </c>
      <c r="S42" s="732">
        <v>0</v>
      </c>
      <c r="T42" s="734">
        <v>1</v>
      </c>
      <c r="U42" s="733">
        <v>0</v>
      </c>
      <c r="V42" s="734">
        <v>1</v>
      </c>
      <c r="W42" s="735">
        <v>365</v>
      </c>
      <c r="Y42" t="s">
        <v>120</v>
      </c>
      <c r="Z42" t="e">
        <f ca="1">AA49/AA51</f>
        <v>#NAME?</v>
      </c>
      <c r="AB42" t="s">
        <v>204</v>
      </c>
      <c r="AC42" t="e">
        <f ca="1">AC41+2*(Z49+2)*(Z49+3)/(Z45-Z49-3)</f>
        <v>#NAME?</v>
      </c>
    </row>
    <row r="43" spans="6:32" x14ac:dyDescent="0.25">
      <c r="F43" s="732">
        <v>0</v>
      </c>
      <c r="G43" s="733">
        <v>0</v>
      </c>
      <c r="H43" s="733">
        <v>0</v>
      </c>
      <c r="I43" s="733">
        <v>0</v>
      </c>
      <c r="J43" s="733">
        <v>0</v>
      </c>
      <c r="K43" s="733">
        <v>0</v>
      </c>
      <c r="L43" s="733">
        <v>0</v>
      </c>
      <c r="M43" s="733">
        <v>0</v>
      </c>
      <c r="N43" s="733">
        <v>0</v>
      </c>
      <c r="O43" s="733">
        <v>0</v>
      </c>
      <c r="P43" s="733">
        <v>1</v>
      </c>
      <c r="Q43" s="733">
        <v>0</v>
      </c>
      <c r="R43" s="733">
        <v>0</v>
      </c>
      <c r="S43" s="732">
        <v>0</v>
      </c>
      <c r="T43" s="734">
        <v>1</v>
      </c>
      <c r="U43" s="733">
        <v>0</v>
      </c>
      <c r="V43" s="734">
        <v>1</v>
      </c>
      <c r="W43" s="735">
        <v>382</v>
      </c>
      <c r="Y43" t="s">
        <v>124</v>
      </c>
      <c r="Z43" t="e">
        <f ca="1">1-(1-Z42)*(Z45-1)/(Z45-Z49-1)</f>
        <v>#NAME?</v>
      </c>
      <c r="AB43" s="354" t="s">
        <v>1353</v>
      </c>
      <c r="AC43" s="354" t="e">
        <f ca="1">Z45*LN(AA50/Z45)+(Z49+1)*LN(Z45)</f>
        <v>#NAME?</v>
      </c>
    </row>
    <row r="44" spans="6:32" x14ac:dyDescent="0.25">
      <c r="F44" s="732">
        <v>0</v>
      </c>
      <c r="G44" s="733">
        <v>0</v>
      </c>
      <c r="H44" s="733">
        <v>0</v>
      </c>
      <c r="I44" s="733">
        <v>0</v>
      </c>
      <c r="J44" s="733">
        <v>0</v>
      </c>
      <c r="K44" s="733">
        <v>0</v>
      </c>
      <c r="L44" s="733">
        <v>0</v>
      </c>
      <c r="M44" s="733">
        <v>0</v>
      </c>
      <c r="N44" s="733">
        <v>0</v>
      </c>
      <c r="O44" s="733">
        <v>0</v>
      </c>
      <c r="P44" s="733">
        <v>0</v>
      </c>
      <c r="Q44" s="733">
        <v>1</v>
      </c>
      <c r="R44" s="733">
        <v>0</v>
      </c>
      <c r="S44" s="732">
        <v>0</v>
      </c>
      <c r="T44" s="734">
        <v>1</v>
      </c>
      <c r="U44" s="733">
        <v>0</v>
      </c>
      <c r="V44" s="734">
        <v>1</v>
      </c>
      <c r="W44" s="735">
        <v>289</v>
      </c>
      <c r="Y44" t="s">
        <v>10</v>
      </c>
      <c r="Z44" t="e">
        <f ca="1">SQRT(AB50)</f>
        <v>#NAME?</v>
      </c>
    </row>
    <row r="45" spans="6:32" x14ac:dyDescent="0.25">
      <c r="F45" s="736">
        <v>0</v>
      </c>
      <c r="G45" s="739">
        <v>0</v>
      </c>
      <c r="H45" s="739">
        <v>0</v>
      </c>
      <c r="I45" s="739">
        <v>0</v>
      </c>
      <c r="J45" s="739">
        <v>0</v>
      </c>
      <c r="K45" s="739">
        <v>0</v>
      </c>
      <c r="L45" s="739">
        <v>0</v>
      </c>
      <c r="M45" s="739">
        <v>0</v>
      </c>
      <c r="N45" s="739">
        <v>0</v>
      </c>
      <c r="O45" s="739">
        <v>0</v>
      </c>
      <c r="P45" s="739">
        <v>0</v>
      </c>
      <c r="Q45" s="739">
        <v>0</v>
      </c>
      <c r="R45" s="739">
        <v>1</v>
      </c>
      <c r="S45" s="736">
        <v>0</v>
      </c>
      <c r="T45" s="737">
        <v>1</v>
      </c>
      <c r="U45" s="739">
        <v>0</v>
      </c>
      <c r="V45" s="737">
        <v>1</v>
      </c>
      <c r="W45" s="738">
        <v>471</v>
      </c>
      <c r="Y45" s="354" t="s">
        <v>55</v>
      </c>
      <c r="Z45" s="354">
        <f>COUNT(W4:W45)</f>
        <v>42</v>
      </c>
    </row>
    <row r="47" spans="6:32" ht="15.75" thickBot="1" x14ac:dyDescent="0.3">
      <c r="Y47" t="s">
        <v>125</v>
      </c>
      <c r="AC47" s="720" t="s">
        <v>18</v>
      </c>
      <c r="AD47" s="720">
        <v>0.05</v>
      </c>
    </row>
    <row r="48" spans="6:32" ht="15.75" thickTop="1" x14ac:dyDescent="0.25">
      <c r="Y48" s="386"/>
      <c r="Z48" s="386" t="s">
        <v>41</v>
      </c>
      <c r="AA48" s="386" t="s">
        <v>111</v>
      </c>
      <c r="AB48" s="386" t="s">
        <v>115</v>
      </c>
      <c r="AC48" s="386" t="s">
        <v>98</v>
      </c>
      <c r="AD48" s="386" t="s">
        <v>48</v>
      </c>
      <c r="AE48" s="386" t="s">
        <v>164</v>
      </c>
    </row>
    <row r="49" spans="25:32" x14ac:dyDescent="0.25">
      <c r="Y49" t="s">
        <v>113</v>
      </c>
      <c r="Z49">
        <f>COUNT(F4:R4)</f>
        <v>13</v>
      </c>
      <c r="AA49" t="e">
        <f ca="1">DEVSQ(MMULT(DESIGN(F4:R45),Z54:Z67))</f>
        <v>#NAME?</v>
      </c>
      <c r="AB49" t="e">
        <f ca="1">AA49/Z49</f>
        <v>#NAME?</v>
      </c>
      <c r="AC49" t="e">
        <f ca="1">AB49/AB50</f>
        <v>#NAME?</v>
      </c>
      <c r="AD49" t="e">
        <f ca="1">FDIST(AC49,Z49,Z50)</f>
        <v>#NAME?</v>
      </c>
      <c r="AE49" s="720" t="e">
        <f ca="1">IF(AD49&lt;AD47,"yes","no")</f>
        <v>#NAME?</v>
      </c>
    </row>
    <row r="50" spans="25:32" x14ac:dyDescent="0.25">
      <c r="Y50" t="s">
        <v>126</v>
      </c>
      <c r="Z50">
        <f>Z51-Z49</f>
        <v>28</v>
      </c>
      <c r="AA50" t="e">
        <f ca="1">AA51-AA49</f>
        <v>#NAME?</v>
      </c>
      <c r="AB50" t="e">
        <f ca="1">AA50/Z50</f>
        <v>#NAME?</v>
      </c>
    </row>
    <row r="51" spans="25:32" x14ac:dyDescent="0.25">
      <c r="Y51" s="354" t="s">
        <v>1</v>
      </c>
      <c r="Z51" s="354">
        <f>Z45-1</f>
        <v>41</v>
      </c>
      <c r="AA51" s="354">
        <f>DEVSQ(W4:W45)</f>
        <v>765790.4761904761</v>
      </c>
      <c r="AB51" s="354"/>
      <c r="AC51" s="354"/>
      <c r="AD51" s="354"/>
      <c r="AE51" s="354"/>
    </row>
    <row r="52" spans="25:32" ht="15.75" thickBot="1" x14ac:dyDescent="0.3"/>
    <row r="53" spans="25:32" ht="15.75" thickTop="1" x14ac:dyDescent="0.25">
      <c r="Y53" s="386"/>
      <c r="Z53" s="386" t="s">
        <v>797</v>
      </c>
      <c r="AA53" s="386" t="s">
        <v>390</v>
      </c>
      <c r="AB53" s="386" t="s">
        <v>42</v>
      </c>
      <c r="AC53" s="386" t="s">
        <v>48</v>
      </c>
      <c r="AD53" s="386" t="s">
        <v>15</v>
      </c>
      <c r="AE53" s="386" t="s">
        <v>16</v>
      </c>
      <c r="AF53" s="386" t="s">
        <v>1352</v>
      </c>
    </row>
    <row r="54" spans="25:32" x14ac:dyDescent="0.25">
      <c r="Y54" t="s">
        <v>127</v>
      </c>
      <c r="Z54" t="e">
        <f t="array" aca="1" ref="Z54:AA67" ca="1">RegCoeff(F4:R45,W4:W45)</f>
        <v>#NAME?</v>
      </c>
      <c r="AA54" t="e">
        <f ca="1"/>
        <v>#NAME?</v>
      </c>
      <c r="AB54" t="e">
        <f ca="1">Z54/AA54</f>
        <v>#NAME?</v>
      </c>
      <c r="AC54" t="e">
        <f ca="1">TDIST(ABS(AB54),$Z$50,2)</f>
        <v>#NAME?</v>
      </c>
      <c r="AD54" t="e">
        <f ca="1">Z54-TINV(AD$47,$Z$50)*AA54</f>
        <v>#NAME?</v>
      </c>
      <c r="AE54" t="e">
        <f ca="1">Z54+TINV(AD$47,$Z$50)*AA54</f>
        <v>#NAME?</v>
      </c>
    </row>
    <row r="55" spans="25:32" x14ac:dyDescent="0.25">
      <c r="Y55">
        <f t="array" ref="Y55:Y67">TRANSPOSE(F3:R3)</f>
        <v>2</v>
      </c>
      <c r="Z55" t="e">
        <f ca="1"/>
        <v>#NAME?</v>
      </c>
      <c r="AA55" t="e">
        <f ca="1"/>
        <v>#NAME?</v>
      </c>
      <c r="AB55" t="e">
        <f t="shared" ref="AB55:AB67" ca="1" si="4">Z55/AA55</f>
        <v>#NAME?</v>
      </c>
      <c r="AC55" t="e">
        <f t="shared" ref="AC55:AC67" ca="1" si="5">TDIST(ABS(AB55),$Z$50,2)</f>
        <v>#NAME?</v>
      </c>
      <c r="AD55" t="e">
        <f t="shared" ref="AD55:AD67" ca="1" si="6">Z55-TINV(AD$47,$Z$50)*AA55</f>
        <v>#NAME?</v>
      </c>
      <c r="AE55" t="e">
        <f t="shared" ref="AE55:AE67" ca="1" si="7">Z55+TINV(AD$47,$Z$50)*AA55</f>
        <v>#NAME?</v>
      </c>
      <c r="AF55" t="e">
        <f ca="1">VIF(F4:R45,1)</f>
        <v>#NAME?</v>
      </c>
    </row>
    <row r="56" spans="25:32" x14ac:dyDescent="0.25">
      <c r="Y56">
        <v>3</v>
      </c>
      <c r="Z56" t="e">
        <f ca="1"/>
        <v>#NAME?</v>
      </c>
      <c r="AA56" t="e">
        <f ca="1"/>
        <v>#NAME?</v>
      </c>
      <c r="AB56" t="e">
        <f t="shared" ca="1" si="4"/>
        <v>#NAME?</v>
      </c>
      <c r="AC56" t="e">
        <f t="shared" ca="1" si="5"/>
        <v>#NAME?</v>
      </c>
      <c r="AD56" t="e">
        <f t="shared" ca="1" si="6"/>
        <v>#NAME?</v>
      </c>
      <c r="AE56" t="e">
        <f t="shared" ca="1" si="7"/>
        <v>#NAME?</v>
      </c>
      <c r="AF56" t="e">
        <f ca="1">VIF(F4:R45,2)</f>
        <v>#NAME?</v>
      </c>
    </row>
    <row r="57" spans="25:32" x14ac:dyDescent="0.25">
      <c r="Y57">
        <v>4</v>
      </c>
      <c r="Z57" t="e">
        <f ca="1"/>
        <v>#NAME?</v>
      </c>
      <c r="AA57" t="e">
        <f ca="1"/>
        <v>#NAME?</v>
      </c>
      <c r="AB57" t="e">
        <f t="shared" ca="1" si="4"/>
        <v>#NAME?</v>
      </c>
      <c r="AC57" t="e">
        <f t="shared" ca="1" si="5"/>
        <v>#NAME?</v>
      </c>
      <c r="AD57" t="e">
        <f t="shared" ca="1" si="6"/>
        <v>#NAME?</v>
      </c>
      <c r="AE57" t="e">
        <f t="shared" ca="1" si="7"/>
        <v>#NAME?</v>
      </c>
      <c r="AF57" t="e">
        <f ca="1">VIF(F4:R45,3)</f>
        <v>#NAME?</v>
      </c>
    </row>
    <row r="58" spans="25:32" x14ac:dyDescent="0.25">
      <c r="Y58">
        <v>5</v>
      </c>
      <c r="Z58" t="e">
        <f ca="1"/>
        <v>#NAME?</v>
      </c>
      <c r="AA58" t="e">
        <f ca="1"/>
        <v>#NAME?</v>
      </c>
      <c r="AB58" t="e">
        <f t="shared" ca="1" si="4"/>
        <v>#NAME?</v>
      </c>
      <c r="AC58" t="e">
        <f t="shared" ca="1" si="5"/>
        <v>#NAME?</v>
      </c>
      <c r="AD58" t="e">
        <f t="shared" ca="1" si="6"/>
        <v>#NAME?</v>
      </c>
      <c r="AE58" t="e">
        <f t="shared" ca="1" si="7"/>
        <v>#NAME?</v>
      </c>
      <c r="AF58" t="e">
        <f ca="1">VIF(F4:R45,4)</f>
        <v>#NAME?</v>
      </c>
    </row>
    <row r="59" spans="25:32" x14ac:dyDescent="0.25">
      <c r="Y59">
        <v>6</v>
      </c>
      <c r="Z59" t="e">
        <f ca="1"/>
        <v>#NAME?</v>
      </c>
      <c r="AA59" t="e">
        <f ca="1"/>
        <v>#NAME?</v>
      </c>
      <c r="AB59" t="e">
        <f t="shared" ca="1" si="4"/>
        <v>#NAME?</v>
      </c>
      <c r="AC59" t="e">
        <f t="shared" ca="1" si="5"/>
        <v>#NAME?</v>
      </c>
      <c r="AD59" t="e">
        <f t="shared" ca="1" si="6"/>
        <v>#NAME?</v>
      </c>
      <c r="AE59" t="e">
        <f t="shared" ca="1" si="7"/>
        <v>#NAME?</v>
      </c>
      <c r="AF59" t="e">
        <f ca="1">VIF(F4:R45,5)</f>
        <v>#NAME?</v>
      </c>
    </row>
    <row r="60" spans="25:32" x14ac:dyDescent="0.25">
      <c r="Y60">
        <v>7</v>
      </c>
      <c r="Z60" t="e">
        <f ca="1"/>
        <v>#NAME?</v>
      </c>
      <c r="AA60" t="e">
        <f ca="1"/>
        <v>#NAME?</v>
      </c>
      <c r="AB60" t="e">
        <f t="shared" ca="1" si="4"/>
        <v>#NAME?</v>
      </c>
      <c r="AC60" t="e">
        <f t="shared" ca="1" si="5"/>
        <v>#NAME?</v>
      </c>
      <c r="AD60" t="e">
        <f t="shared" ca="1" si="6"/>
        <v>#NAME?</v>
      </c>
      <c r="AE60" t="e">
        <f t="shared" ca="1" si="7"/>
        <v>#NAME?</v>
      </c>
      <c r="AF60" t="e">
        <f ca="1">VIF(F4:R45,6)</f>
        <v>#NAME?</v>
      </c>
    </row>
    <row r="61" spans="25:32" x14ac:dyDescent="0.25">
      <c r="Y61">
        <v>8</v>
      </c>
      <c r="Z61" t="e">
        <f ca="1"/>
        <v>#NAME?</v>
      </c>
      <c r="AA61" t="e">
        <f ca="1"/>
        <v>#NAME?</v>
      </c>
      <c r="AB61" t="e">
        <f t="shared" ca="1" si="4"/>
        <v>#NAME?</v>
      </c>
      <c r="AC61" t="e">
        <f t="shared" ca="1" si="5"/>
        <v>#NAME?</v>
      </c>
      <c r="AD61" t="e">
        <f t="shared" ca="1" si="6"/>
        <v>#NAME?</v>
      </c>
      <c r="AE61" t="e">
        <f t="shared" ca="1" si="7"/>
        <v>#NAME?</v>
      </c>
      <c r="AF61" t="e">
        <f ca="1">VIF(F4:R45,7)</f>
        <v>#NAME?</v>
      </c>
    </row>
    <row r="62" spans="25:32" x14ac:dyDescent="0.25">
      <c r="Y62">
        <v>9</v>
      </c>
      <c r="Z62" t="e">
        <f ca="1"/>
        <v>#NAME?</v>
      </c>
      <c r="AA62" t="e">
        <f ca="1"/>
        <v>#NAME?</v>
      </c>
      <c r="AB62" t="e">
        <f t="shared" ca="1" si="4"/>
        <v>#NAME?</v>
      </c>
      <c r="AC62" t="e">
        <f t="shared" ca="1" si="5"/>
        <v>#NAME?</v>
      </c>
      <c r="AD62" t="e">
        <f t="shared" ca="1" si="6"/>
        <v>#NAME?</v>
      </c>
      <c r="AE62" t="e">
        <f t="shared" ca="1" si="7"/>
        <v>#NAME?</v>
      </c>
      <c r="AF62" t="e">
        <f ca="1">VIF(F4:R45,8)</f>
        <v>#NAME?</v>
      </c>
    </row>
    <row r="63" spans="25:32" x14ac:dyDescent="0.25">
      <c r="Y63">
        <v>10</v>
      </c>
      <c r="Z63" t="e">
        <f ca="1"/>
        <v>#NAME?</v>
      </c>
      <c r="AA63" t="e">
        <f ca="1"/>
        <v>#NAME?</v>
      </c>
      <c r="AB63" t="e">
        <f t="shared" ca="1" si="4"/>
        <v>#NAME?</v>
      </c>
      <c r="AC63" t="e">
        <f t="shared" ca="1" si="5"/>
        <v>#NAME?</v>
      </c>
      <c r="AD63" t="e">
        <f t="shared" ca="1" si="6"/>
        <v>#NAME?</v>
      </c>
      <c r="AE63" t="e">
        <f t="shared" ca="1" si="7"/>
        <v>#NAME?</v>
      </c>
      <c r="AF63" t="e">
        <f ca="1">VIF(F4:R45,9)</f>
        <v>#NAME?</v>
      </c>
    </row>
    <row r="64" spans="25:32" x14ac:dyDescent="0.25">
      <c r="Y64">
        <v>11</v>
      </c>
      <c r="Z64" t="e">
        <f ca="1"/>
        <v>#NAME?</v>
      </c>
      <c r="AA64" t="e">
        <f ca="1"/>
        <v>#NAME?</v>
      </c>
      <c r="AB64" t="e">
        <f t="shared" ca="1" si="4"/>
        <v>#NAME?</v>
      </c>
      <c r="AC64" t="e">
        <f t="shared" ca="1" si="5"/>
        <v>#NAME?</v>
      </c>
      <c r="AD64" t="e">
        <f t="shared" ca="1" si="6"/>
        <v>#NAME?</v>
      </c>
      <c r="AE64" t="e">
        <f t="shared" ca="1" si="7"/>
        <v>#NAME?</v>
      </c>
      <c r="AF64" t="e">
        <f ca="1">VIF(F4:R45,10)</f>
        <v>#NAME?</v>
      </c>
    </row>
    <row r="65" spans="25:32" x14ac:dyDescent="0.25">
      <c r="Y65">
        <v>12</v>
      </c>
      <c r="Z65" t="e">
        <f ca="1"/>
        <v>#NAME?</v>
      </c>
      <c r="AA65" t="e">
        <f ca="1"/>
        <v>#NAME?</v>
      </c>
      <c r="AB65" t="e">
        <f t="shared" ca="1" si="4"/>
        <v>#NAME?</v>
      </c>
      <c r="AC65" t="e">
        <f t="shared" ca="1" si="5"/>
        <v>#NAME?</v>
      </c>
      <c r="AD65" t="e">
        <f t="shared" ca="1" si="6"/>
        <v>#NAME?</v>
      </c>
      <c r="AE65" t="e">
        <f t="shared" ca="1" si="7"/>
        <v>#NAME?</v>
      </c>
      <c r="AF65" t="e">
        <f ca="1">VIF(F4:R45,11)</f>
        <v>#NAME?</v>
      </c>
    </row>
    <row r="66" spans="25:32" x14ac:dyDescent="0.25">
      <c r="Y66">
        <v>13</v>
      </c>
      <c r="Z66" t="e">
        <f ca="1"/>
        <v>#NAME?</v>
      </c>
      <c r="AA66" t="e">
        <f ca="1"/>
        <v>#NAME?</v>
      </c>
      <c r="AB66" t="e">
        <f t="shared" ca="1" si="4"/>
        <v>#NAME?</v>
      </c>
      <c r="AC66" t="e">
        <f t="shared" ca="1" si="5"/>
        <v>#NAME?</v>
      </c>
      <c r="AD66" t="e">
        <f t="shared" ca="1" si="6"/>
        <v>#NAME?</v>
      </c>
      <c r="AE66" t="e">
        <f t="shared" ca="1" si="7"/>
        <v>#NAME?</v>
      </c>
      <c r="AF66" t="e">
        <f ca="1">VIF(F4:R45,12)</f>
        <v>#NAME?</v>
      </c>
    </row>
    <row r="67" spans="25:32" x14ac:dyDescent="0.25">
      <c r="Y67" s="354">
        <v>14</v>
      </c>
      <c r="Z67" s="354" t="e">
        <f ca="1"/>
        <v>#NAME?</v>
      </c>
      <c r="AA67" s="354" t="e">
        <f ca="1"/>
        <v>#NAME?</v>
      </c>
      <c r="AB67" s="354" t="e">
        <f t="shared" ca="1" si="4"/>
        <v>#NAME?</v>
      </c>
      <c r="AC67" s="354" t="e">
        <f t="shared" ca="1" si="5"/>
        <v>#NAME?</v>
      </c>
      <c r="AD67" s="354" t="e">
        <f t="shared" ca="1" si="6"/>
        <v>#NAME?</v>
      </c>
      <c r="AE67" s="354" t="e">
        <f t="shared" ca="1" si="7"/>
        <v>#NAME?</v>
      </c>
      <c r="AF67" s="354" t="e">
        <f ca="1">VIF(F4:R45,13)</f>
        <v>#NAME?</v>
      </c>
    </row>
    <row r="71" spans="25:32" x14ac:dyDescent="0.25">
      <c r="Y71" t="s">
        <v>1501</v>
      </c>
    </row>
    <row r="73" spans="25:32" ht="15.75" thickBot="1" x14ac:dyDescent="0.3">
      <c r="Y73" s="342" t="s">
        <v>799</v>
      </c>
      <c r="Z73" s="342"/>
      <c r="AB73" s="342"/>
      <c r="AC73" s="342"/>
    </row>
    <row r="74" spans="25:32" ht="15.75" thickTop="1" x14ac:dyDescent="0.25">
      <c r="Y74" t="s">
        <v>123</v>
      </c>
      <c r="Z74" t="e">
        <f ca="1">SQRT(Z75)</f>
        <v>#NAME?</v>
      </c>
      <c r="AB74" t="s">
        <v>203</v>
      </c>
      <c r="AC74" t="e">
        <f ca="1">Z78*LN(AA83/Z78)+2*(Z82+1)</f>
        <v>#NAME?</v>
      </c>
    </row>
    <row r="75" spans="25:32" x14ac:dyDescent="0.25">
      <c r="Y75" t="s">
        <v>120</v>
      </c>
      <c r="Z75" t="e">
        <f ca="1">AA82/AA84</f>
        <v>#NAME?</v>
      </c>
      <c r="AB75" t="s">
        <v>204</v>
      </c>
      <c r="AC75" t="e">
        <f ca="1">AC74+2*(Z82+2)*(Z82+3)/(Z78-Z82-3)</f>
        <v>#NAME?</v>
      </c>
    </row>
    <row r="76" spans="25:32" x14ac:dyDescent="0.25">
      <c r="Y76" t="s">
        <v>124</v>
      </c>
      <c r="Z76" t="e">
        <f ca="1">1-(1-Z75)*(Z78-1)/(Z78-Z82-1)</f>
        <v>#NAME?</v>
      </c>
      <c r="AB76" s="354" t="s">
        <v>1353</v>
      </c>
      <c r="AC76" s="354" t="e">
        <f ca="1">Z78*LN(AA83/Z78)+(Z82+1)*LN(Z78)</f>
        <v>#NAME?</v>
      </c>
    </row>
    <row r="77" spans="25:32" x14ac:dyDescent="0.25">
      <c r="Y77" t="s">
        <v>10</v>
      </c>
      <c r="Z77" t="e">
        <f ca="1">SQRT(AB83)</f>
        <v>#NAME?</v>
      </c>
    </row>
    <row r="78" spans="25:32" x14ac:dyDescent="0.25">
      <c r="Y78" s="354" t="s">
        <v>55</v>
      </c>
      <c r="Z78" s="354">
        <f>COUNT(W4:W45)</f>
        <v>42</v>
      </c>
    </row>
    <row r="80" spans="25:32" ht="15.75" thickBot="1" x14ac:dyDescent="0.3">
      <c r="Y80" t="s">
        <v>125</v>
      </c>
      <c r="AC80" s="720" t="s">
        <v>18</v>
      </c>
      <c r="AD80" s="720">
        <v>0.05</v>
      </c>
    </row>
    <row r="81" spans="25:32" ht="15.75" thickTop="1" x14ac:dyDescent="0.25">
      <c r="Y81" s="386"/>
      <c r="Z81" s="386" t="s">
        <v>41</v>
      </c>
      <c r="AA81" s="386" t="s">
        <v>111</v>
      </c>
      <c r="AB81" s="386" t="s">
        <v>115</v>
      </c>
      <c r="AC81" s="386" t="s">
        <v>98</v>
      </c>
      <c r="AD81" s="386" t="s">
        <v>48</v>
      </c>
      <c r="AE81" s="386" t="s">
        <v>164</v>
      </c>
    </row>
    <row r="82" spans="25:32" x14ac:dyDescent="0.25">
      <c r="Y82" t="s">
        <v>113</v>
      </c>
      <c r="Z82">
        <f>COUNT(S4:V4)</f>
        <v>4</v>
      </c>
      <c r="AA82" t="e">
        <f ca="1">DEVSQ(MMULT(DESIGN(S4:V45),Z87:Z91))</f>
        <v>#NAME?</v>
      </c>
      <c r="AB82" t="e">
        <f ca="1">AA82/Z82</f>
        <v>#NAME?</v>
      </c>
      <c r="AC82" t="e">
        <f ca="1">AB82/AB83</f>
        <v>#NAME?</v>
      </c>
      <c r="AD82" t="e">
        <f ca="1">FDIST(AC82,Z82,Z83)</f>
        <v>#NAME?</v>
      </c>
      <c r="AE82" s="720" t="e">
        <f ca="1">IF(AD82&lt;AD80,"yes","no")</f>
        <v>#NAME?</v>
      </c>
    </row>
    <row r="83" spans="25:32" x14ac:dyDescent="0.25">
      <c r="Y83" t="s">
        <v>126</v>
      </c>
      <c r="Z83">
        <f>Z84-Z82</f>
        <v>37</v>
      </c>
      <c r="AA83" t="e">
        <f ca="1">AA84-AA82</f>
        <v>#NAME?</v>
      </c>
      <c r="AB83" t="e">
        <f ca="1">AA83/Z83</f>
        <v>#NAME?</v>
      </c>
    </row>
    <row r="84" spans="25:32" x14ac:dyDescent="0.25">
      <c r="Y84" s="354" t="s">
        <v>1</v>
      </c>
      <c r="Z84" s="354">
        <f>Z78-1</f>
        <v>41</v>
      </c>
      <c r="AA84" s="354">
        <f>DEVSQ(W4:W45)</f>
        <v>765790.4761904761</v>
      </c>
      <c r="AB84" s="354"/>
      <c r="AC84" s="354"/>
      <c r="AD84" s="354"/>
      <c r="AE84" s="354"/>
    </row>
    <row r="85" spans="25:32" ht="15.75" thickBot="1" x14ac:dyDescent="0.3"/>
    <row r="86" spans="25:32" ht="15.75" thickTop="1" x14ac:dyDescent="0.25">
      <c r="Y86" s="386"/>
      <c r="Z86" s="386" t="s">
        <v>797</v>
      </c>
      <c r="AA86" s="386" t="s">
        <v>390</v>
      </c>
      <c r="AB86" s="386" t="s">
        <v>42</v>
      </c>
      <c r="AC86" s="386" t="s">
        <v>48</v>
      </c>
      <c r="AD86" s="386" t="s">
        <v>15</v>
      </c>
      <c r="AE86" s="386" t="s">
        <v>16</v>
      </c>
      <c r="AF86" s="386" t="s">
        <v>1352</v>
      </c>
    </row>
    <row r="87" spans="25:32" x14ac:dyDescent="0.25">
      <c r="Y87" t="s">
        <v>127</v>
      </c>
      <c r="Z87" t="e">
        <f t="array" aca="1" ref="Z87:AA91" ca="1">RegCoeff(S4:V45,W4:W45)</f>
        <v>#NAME?</v>
      </c>
      <c r="AA87" t="e">
        <f ca="1"/>
        <v>#NAME?</v>
      </c>
      <c r="AB87" t="e">
        <f ca="1">Z87/AA87</f>
        <v>#NAME?</v>
      </c>
      <c r="AC87" t="e">
        <f ca="1">TDIST(ABS(AB87),$Z$83,2)</f>
        <v>#NAME?</v>
      </c>
      <c r="AD87" t="e">
        <f ca="1">Z87-TINV(AD$80,$Z$83)*AA87</f>
        <v>#NAME?</v>
      </c>
      <c r="AE87" t="e">
        <f ca="1">Z87+TINV(AD$80,$Z$83)*AA87</f>
        <v>#NAME?</v>
      </c>
    </row>
    <row r="88" spans="25:32" x14ac:dyDescent="0.25">
      <c r="Y88">
        <f t="array" ref="Y88:Y91">TRANSPOSE(S3:V3)</f>
        <v>2</v>
      </c>
      <c r="Z88" t="e">
        <f ca="1"/>
        <v>#NAME?</v>
      </c>
      <c r="AA88" t="e">
        <f ca="1"/>
        <v>#NAME?</v>
      </c>
      <c r="AB88" t="e">
        <f ca="1">Z88/AA88</f>
        <v>#NAME?</v>
      </c>
      <c r="AC88" t="e">
        <f ca="1">TDIST(ABS(AB88),$Z$83,2)</f>
        <v>#NAME?</v>
      </c>
      <c r="AD88" t="e">
        <f ca="1">Z88-TINV(AD$80,$Z$83)*AA88</f>
        <v>#NAME?</v>
      </c>
      <c r="AE88" t="e">
        <f ca="1">Z88+TINV(AD$80,$Z$83)*AA88</f>
        <v>#NAME?</v>
      </c>
      <c r="AF88" t="e">
        <f ca="1">VIF(S4:V45,1)</f>
        <v>#NAME?</v>
      </c>
    </row>
    <row r="89" spans="25:32" x14ac:dyDescent="0.25">
      <c r="Y89">
        <v>3</v>
      </c>
      <c r="Z89" t="e">
        <f ca="1"/>
        <v>#NAME?</v>
      </c>
      <c r="AA89" t="e">
        <f ca="1"/>
        <v>#NAME?</v>
      </c>
      <c r="AB89" t="e">
        <f ca="1">Z89/AA89</f>
        <v>#NAME?</v>
      </c>
      <c r="AC89" t="e">
        <f ca="1">TDIST(ABS(AB89),$Z$83,2)</f>
        <v>#NAME?</v>
      </c>
      <c r="AD89" t="e">
        <f ca="1">Z89-TINV(AD$80,$Z$83)*AA89</f>
        <v>#NAME?</v>
      </c>
      <c r="AE89" t="e">
        <f ca="1">Z89+TINV(AD$80,$Z$83)*AA89</f>
        <v>#NAME?</v>
      </c>
      <c r="AF89" t="e">
        <f ca="1">VIF(S4:V45,2)</f>
        <v>#NAME?</v>
      </c>
    </row>
    <row r="90" spans="25:32" x14ac:dyDescent="0.25">
      <c r="Y90" t="str">
        <v>mid</v>
      </c>
      <c r="Z90" t="e">
        <f ca="1"/>
        <v>#NAME?</v>
      </c>
      <c r="AA90" t="e">
        <f ca="1"/>
        <v>#NAME?</v>
      </c>
      <c r="AB90" t="e">
        <f ca="1">Z90/AA90</f>
        <v>#NAME?</v>
      </c>
      <c r="AC90" t="e">
        <f ca="1">TDIST(ABS(AB90),$Z$83,2)</f>
        <v>#NAME?</v>
      </c>
      <c r="AD90" t="e">
        <f ca="1">Z90-TINV(AD$80,$Z$83)*AA90</f>
        <v>#NAME?</v>
      </c>
      <c r="AE90" t="e">
        <f ca="1">Z90+TINV(AD$80,$Z$83)*AA90</f>
        <v>#NAME?</v>
      </c>
      <c r="AF90" t="e">
        <f ca="1">VIF(S4:V45,3)</f>
        <v>#NAME?</v>
      </c>
    </row>
    <row r="91" spans="25:32" x14ac:dyDescent="0.25">
      <c r="Y91" s="354" t="str">
        <v>old</v>
      </c>
      <c r="Z91" s="354" t="e">
        <f ca="1"/>
        <v>#NAME?</v>
      </c>
      <c r="AA91" s="354" t="e">
        <f ca="1"/>
        <v>#NAME?</v>
      </c>
      <c r="AB91" s="354" t="e">
        <f ca="1">Z91/AA91</f>
        <v>#NAME?</v>
      </c>
      <c r="AC91" s="354" t="e">
        <f ca="1">TDIST(ABS(AB91),$Z$83,2)</f>
        <v>#NAME?</v>
      </c>
      <c r="AD91" s="354" t="e">
        <f ca="1">Z91-TINV(AD$80,$Z$83)*AA91</f>
        <v>#NAME?</v>
      </c>
      <c r="AE91" s="354" t="e">
        <f ca="1">Z91+TINV(AD$80,$Z$83)*AA91</f>
        <v>#NAME?</v>
      </c>
      <c r="AF91" s="354" t="e">
        <f ca="1">VIF(S4:V45,4)</f>
        <v>#NAME?</v>
      </c>
    </row>
    <row r="94" spans="25:32" x14ac:dyDescent="0.25">
      <c r="Y94" t="s">
        <v>1502</v>
      </c>
    </row>
    <row r="96" spans="25:32" ht="15.75" thickBot="1" x14ac:dyDescent="0.3">
      <c r="Y96" s="342" t="s">
        <v>799</v>
      </c>
      <c r="Z96" s="342"/>
      <c r="AB96" s="342"/>
      <c r="AC96" s="342"/>
    </row>
    <row r="97" spans="25:32" ht="15.75" thickTop="1" x14ac:dyDescent="0.25">
      <c r="Y97" t="s">
        <v>123</v>
      </c>
      <c r="Z97" t="e">
        <f ca="1">SQRT(Z98)</f>
        <v>#NAME?</v>
      </c>
      <c r="AB97" t="s">
        <v>203</v>
      </c>
      <c r="AC97" t="e">
        <f ca="1">Z101*LN(AA106/Z101)+2*(Z105+1)</f>
        <v>#NAME?</v>
      </c>
    </row>
    <row r="98" spans="25:32" x14ac:dyDescent="0.25">
      <c r="Y98" t="s">
        <v>120</v>
      </c>
      <c r="Z98" t="e">
        <f ca="1">AA105/AA107</f>
        <v>#NAME?</v>
      </c>
      <c r="AB98" t="s">
        <v>204</v>
      </c>
      <c r="AC98" t="e">
        <f ca="1">AC97+2*(Z105+2)*(Z105+3)/(Z101-Z105-3)</f>
        <v>#NAME?</v>
      </c>
    </row>
    <row r="99" spans="25:32" x14ac:dyDescent="0.25">
      <c r="Y99" t="s">
        <v>124</v>
      </c>
      <c r="Z99" t="e">
        <f ca="1">1-(1-Z98)*(Z101-1)/(Z101-Z105-1)</f>
        <v>#NAME?</v>
      </c>
      <c r="AB99" s="354" t="s">
        <v>1353</v>
      </c>
      <c r="AC99" s="354" t="e">
        <f ca="1">Z101*LN(AA106/Z101)+(Z105+1)*LN(Z101)</f>
        <v>#NAME?</v>
      </c>
    </row>
    <row r="100" spans="25:32" x14ac:dyDescent="0.25">
      <c r="Y100" t="s">
        <v>10</v>
      </c>
      <c r="Z100" t="e">
        <f ca="1">SQRT(AB106)</f>
        <v>#NAME?</v>
      </c>
    </row>
    <row r="101" spans="25:32" x14ac:dyDescent="0.25">
      <c r="Y101" s="354" t="s">
        <v>55</v>
      </c>
      <c r="Z101" s="354">
        <f>COUNT(W4:W45)</f>
        <v>42</v>
      </c>
    </row>
    <row r="103" spans="25:32" ht="15.75" thickBot="1" x14ac:dyDescent="0.3">
      <c r="Y103" t="s">
        <v>125</v>
      </c>
      <c r="AC103" s="720" t="s">
        <v>18</v>
      </c>
      <c r="AD103" s="720">
        <v>0.05</v>
      </c>
    </row>
    <row r="104" spans="25:32" ht="15.75" thickTop="1" x14ac:dyDescent="0.25">
      <c r="Y104" s="386"/>
      <c r="Z104" s="386" t="s">
        <v>41</v>
      </c>
      <c r="AA104" s="386" t="s">
        <v>111</v>
      </c>
      <c r="AB104" s="386" t="s">
        <v>115</v>
      </c>
      <c r="AC104" s="386" t="s">
        <v>98</v>
      </c>
      <c r="AD104" s="386" t="s">
        <v>48</v>
      </c>
      <c r="AE104" s="386" t="s">
        <v>164</v>
      </c>
    </row>
    <row r="105" spans="25:32" x14ac:dyDescent="0.25">
      <c r="Y105" t="s">
        <v>113</v>
      </c>
      <c r="Z105">
        <f>COUNT(U4:V4)</f>
        <v>2</v>
      </c>
      <c r="AA105" t="e">
        <f ca="1">DEVSQ(MMULT(DESIGN(U4:V45),Z110:Z112))</f>
        <v>#NAME?</v>
      </c>
      <c r="AB105" t="e">
        <f ca="1">AA105/Z105</f>
        <v>#NAME?</v>
      </c>
      <c r="AC105" t="e">
        <f ca="1">AB105/AB106</f>
        <v>#NAME?</v>
      </c>
      <c r="AD105" t="e">
        <f ca="1">FDIST(AC105,Z105,Z106)</f>
        <v>#NAME?</v>
      </c>
      <c r="AE105" s="720" t="e">
        <f ca="1">IF(AD105&lt;AD103,"yes","no")</f>
        <v>#NAME?</v>
      </c>
    </row>
    <row r="106" spans="25:32" x14ac:dyDescent="0.25">
      <c r="Y106" t="s">
        <v>126</v>
      </c>
      <c r="Z106">
        <f>Z107-Z105</f>
        <v>39</v>
      </c>
      <c r="AA106" t="e">
        <f ca="1">AA107-AA105</f>
        <v>#NAME?</v>
      </c>
      <c r="AB106" t="e">
        <f ca="1">AA106/Z106</f>
        <v>#NAME?</v>
      </c>
    </row>
    <row r="107" spans="25:32" x14ac:dyDescent="0.25">
      <c r="Y107" s="354" t="s">
        <v>1</v>
      </c>
      <c r="Z107" s="354">
        <f>Z101-1</f>
        <v>41</v>
      </c>
      <c r="AA107" s="354">
        <f>DEVSQ(W4:W45)</f>
        <v>765790.4761904761</v>
      </c>
      <c r="AB107" s="354"/>
      <c r="AC107" s="354"/>
      <c r="AD107" s="354"/>
      <c r="AE107" s="354"/>
    </row>
    <row r="108" spans="25:32" ht="15.75" thickBot="1" x14ac:dyDescent="0.3"/>
    <row r="109" spans="25:32" ht="15.75" thickTop="1" x14ac:dyDescent="0.25">
      <c r="Y109" s="386"/>
      <c r="Z109" s="386" t="s">
        <v>797</v>
      </c>
      <c r="AA109" s="386" t="s">
        <v>390</v>
      </c>
      <c r="AB109" s="386" t="s">
        <v>42</v>
      </c>
      <c r="AC109" s="386" t="s">
        <v>48</v>
      </c>
      <c r="AD109" s="386" t="s">
        <v>15</v>
      </c>
      <c r="AE109" s="386" t="s">
        <v>16</v>
      </c>
      <c r="AF109" s="386" t="s">
        <v>1352</v>
      </c>
    </row>
    <row r="110" spans="25:32" x14ac:dyDescent="0.25">
      <c r="Y110" t="s">
        <v>127</v>
      </c>
      <c r="Z110" t="e">
        <f t="array" aca="1" ref="Z110:AA112" ca="1">RegCoeff(U4:V45,W4:W45)</f>
        <v>#NAME?</v>
      </c>
      <c r="AA110" t="e">
        <f ca="1"/>
        <v>#NAME?</v>
      </c>
      <c r="AB110" t="e">
        <f ca="1">Z110/AA110</f>
        <v>#NAME?</v>
      </c>
      <c r="AC110" t="e">
        <f ca="1">TDIST(ABS(AB110),$Z$106,2)</f>
        <v>#NAME?</v>
      </c>
      <c r="AD110" t="e">
        <f ca="1">Z110-TINV(AD$103,$Z$106)*AA110</f>
        <v>#NAME?</v>
      </c>
      <c r="AE110" t="e">
        <f ca="1">Z110+TINV(AD$103,$Z$106)*AA110</f>
        <v>#NAME?</v>
      </c>
    </row>
    <row r="111" spans="25:32" x14ac:dyDescent="0.25">
      <c r="Y111" t="str">
        <f t="array" ref="Y111:Y112">TRANSPOSE(U3:V3)</f>
        <v>mid</v>
      </c>
      <c r="Z111" t="e">
        <f ca="1"/>
        <v>#NAME?</v>
      </c>
      <c r="AA111" t="e">
        <f ca="1"/>
        <v>#NAME?</v>
      </c>
      <c r="AB111" t="e">
        <f ca="1">Z111/AA111</f>
        <v>#NAME?</v>
      </c>
      <c r="AC111" t="e">
        <f ca="1">TDIST(ABS(AB111),$Z$106,2)</f>
        <v>#NAME?</v>
      </c>
      <c r="AD111" t="e">
        <f ca="1">Z111-TINV(AD$103,$Z$106)*AA111</f>
        <v>#NAME?</v>
      </c>
      <c r="AE111" t="e">
        <f ca="1">Z111+TINV(AD$103,$Z$106)*AA111</f>
        <v>#NAME?</v>
      </c>
      <c r="AF111" t="e">
        <f ca="1">VIF(U4:V45,1)</f>
        <v>#NAME?</v>
      </c>
    </row>
    <row r="112" spans="25:32" x14ac:dyDescent="0.25">
      <c r="Y112" s="354" t="str">
        <v>old</v>
      </c>
      <c r="Z112" s="354" t="e">
        <f ca="1"/>
        <v>#NAME?</v>
      </c>
      <c r="AA112" s="354" t="e">
        <f ca="1"/>
        <v>#NAME?</v>
      </c>
      <c r="AB112" s="354" t="e">
        <f ca="1">Z112/AA112</f>
        <v>#NAME?</v>
      </c>
      <c r="AC112" s="354" t="e">
        <f ca="1">TDIST(ABS(AB112),$Z$106,2)</f>
        <v>#NAME?</v>
      </c>
      <c r="AD112" s="354" t="e">
        <f ca="1">Z112-TINV(AD$103,$Z$106)*AA112</f>
        <v>#NAME?</v>
      </c>
      <c r="AE112" s="354" t="e">
        <f ca="1">Z112+TINV(AD$103,$Z$106)*AA112</f>
        <v>#NAME?</v>
      </c>
      <c r="AF112" s="354" t="e">
        <f ca="1">VIF(U4:V45,2)</f>
        <v>#NAME?</v>
      </c>
    </row>
    <row r="115" spans="25:31" x14ac:dyDescent="0.25">
      <c r="Y115" t="s">
        <v>1503</v>
      </c>
    </row>
    <row r="117" spans="25:31" ht="15.75" thickBot="1" x14ac:dyDescent="0.3">
      <c r="Y117" s="342" t="s">
        <v>799</v>
      </c>
      <c r="Z117" s="342"/>
      <c r="AB117" s="342"/>
      <c r="AC117" s="342"/>
    </row>
    <row r="118" spans="25:31" ht="15.75" thickTop="1" x14ac:dyDescent="0.25">
      <c r="Y118" t="s">
        <v>123</v>
      </c>
      <c r="Z118" t="e">
        <f ca="1">SQRT(Z119)</f>
        <v>#NAME?</v>
      </c>
      <c r="AB118" t="s">
        <v>203</v>
      </c>
      <c r="AC118" t="e">
        <f ca="1">Z122*LN(AA127/Z122)+2*(Z126+1)</f>
        <v>#NAME?</v>
      </c>
    </row>
    <row r="119" spans="25:31" x14ac:dyDescent="0.25">
      <c r="Y119" t="s">
        <v>120</v>
      </c>
      <c r="Z119" t="e">
        <f ca="1">AA126/AA128</f>
        <v>#NAME?</v>
      </c>
      <c r="AB119" t="s">
        <v>204</v>
      </c>
      <c r="AC119" t="e">
        <f ca="1">AC118+2*(Z126+2)*(Z126+3)/(Z122-Z126-3)</f>
        <v>#NAME?</v>
      </c>
    </row>
    <row r="120" spans="25:31" x14ac:dyDescent="0.25">
      <c r="Y120" t="s">
        <v>124</v>
      </c>
      <c r="Z120" t="e">
        <f ca="1">1-(1-Z119)*(Z122-1)/(Z122-Z126-1)</f>
        <v>#NAME?</v>
      </c>
      <c r="AB120" s="354" t="s">
        <v>1353</v>
      </c>
      <c r="AC120" s="354" t="e">
        <f ca="1">Z122*LN(AA127/Z122)+(Z126+1)*LN(Z122)</f>
        <v>#NAME?</v>
      </c>
    </row>
    <row r="121" spans="25:31" x14ac:dyDescent="0.25">
      <c r="Y121" t="s">
        <v>10</v>
      </c>
      <c r="Z121" t="e">
        <f ca="1">SQRT(AB127)</f>
        <v>#NAME?</v>
      </c>
    </row>
    <row r="122" spans="25:31" x14ac:dyDescent="0.25">
      <c r="Y122" s="354" t="s">
        <v>55</v>
      </c>
      <c r="Z122" s="354">
        <f>COUNT(W4:W45)</f>
        <v>42</v>
      </c>
    </row>
    <row r="124" spans="25:31" ht="15.75" thickBot="1" x14ac:dyDescent="0.3">
      <c r="Y124" t="s">
        <v>125</v>
      </c>
      <c r="AC124" s="720" t="s">
        <v>18</v>
      </c>
      <c r="AD124" s="720">
        <v>0.05</v>
      </c>
    </row>
    <row r="125" spans="25:31" ht="15.75" thickTop="1" x14ac:dyDescent="0.25">
      <c r="Y125" s="386"/>
      <c r="Z125" s="386" t="s">
        <v>41</v>
      </c>
      <c r="AA125" s="386" t="s">
        <v>111</v>
      </c>
      <c r="AB125" s="386" t="s">
        <v>115</v>
      </c>
      <c r="AC125" s="386" t="s">
        <v>98</v>
      </c>
      <c r="AD125" s="386" t="s">
        <v>48</v>
      </c>
      <c r="AE125" s="386" t="s">
        <v>164</v>
      </c>
    </row>
    <row r="126" spans="25:31" x14ac:dyDescent="0.25">
      <c r="Y126" t="s">
        <v>113</v>
      </c>
      <c r="Z126">
        <f>COUNT(F4:T4)</f>
        <v>15</v>
      </c>
      <c r="AA126" t="e">
        <f ca="1">DEVSQ(MMULT(DESIGN(F4:T45),Z131:Z146))</f>
        <v>#NAME?</v>
      </c>
      <c r="AB126" t="e">
        <f ca="1">AA126/Z126</f>
        <v>#NAME?</v>
      </c>
      <c r="AC126" t="e">
        <f ca="1">AB126/AB127</f>
        <v>#NAME?</v>
      </c>
      <c r="AD126" t="e">
        <f ca="1">FDIST(AC126,Z126,Z127)</f>
        <v>#NAME?</v>
      </c>
      <c r="AE126" s="720" t="e">
        <f ca="1">IF(AD126&lt;AD124,"yes","no")</f>
        <v>#NAME?</v>
      </c>
    </row>
    <row r="127" spans="25:31" x14ac:dyDescent="0.25">
      <c r="Y127" t="s">
        <v>126</v>
      </c>
      <c r="Z127">
        <f>Z128-Z126</f>
        <v>26</v>
      </c>
      <c r="AA127" t="e">
        <f ca="1">AA128-AA126</f>
        <v>#NAME?</v>
      </c>
      <c r="AB127" t="e">
        <f ca="1">AA127/Z127</f>
        <v>#NAME?</v>
      </c>
    </row>
    <row r="128" spans="25:31" x14ac:dyDescent="0.25">
      <c r="Y128" s="354" t="s">
        <v>1</v>
      </c>
      <c r="Z128" s="354">
        <f>Z122-1</f>
        <v>41</v>
      </c>
      <c r="AA128" s="354">
        <f>DEVSQ(W4:W45)</f>
        <v>765790.4761904761</v>
      </c>
      <c r="AB128" s="354"/>
      <c r="AC128" s="354"/>
      <c r="AD128" s="354"/>
      <c r="AE128" s="354"/>
    </row>
    <row r="129" spans="25:32" ht="15.75" thickBot="1" x14ac:dyDescent="0.3"/>
    <row r="130" spans="25:32" ht="15.75" thickTop="1" x14ac:dyDescent="0.25">
      <c r="Y130" s="386"/>
      <c r="Z130" s="386" t="s">
        <v>797</v>
      </c>
      <c r="AA130" s="386" t="s">
        <v>390</v>
      </c>
      <c r="AB130" s="386" t="s">
        <v>42</v>
      </c>
      <c r="AC130" s="386" t="s">
        <v>48</v>
      </c>
      <c r="AD130" s="386" t="s">
        <v>15</v>
      </c>
      <c r="AE130" s="386" t="s">
        <v>16</v>
      </c>
      <c r="AF130" s="386" t="s">
        <v>1352</v>
      </c>
    </row>
    <row r="131" spans="25:32" x14ac:dyDescent="0.25">
      <c r="Y131" t="s">
        <v>127</v>
      </c>
      <c r="Z131" t="e">
        <f t="array" aca="1" ref="Z131:AA146" ca="1">RegCoeff(F4:T45,W4:W45)</f>
        <v>#NAME?</v>
      </c>
      <c r="AA131" t="e">
        <f ca="1"/>
        <v>#NAME?</v>
      </c>
      <c r="AB131" t="e">
        <f ca="1">Z131/AA131</f>
        <v>#NAME?</v>
      </c>
      <c r="AC131" t="e">
        <f ca="1">TDIST(ABS(AB131),$Z$127,2)</f>
        <v>#NAME?</v>
      </c>
      <c r="AD131" t="e">
        <f ca="1">Z131-TINV(AD$124,$Z$127)*AA131</f>
        <v>#NAME?</v>
      </c>
      <c r="AE131" t="e">
        <f ca="1">Z131+TINV(AD$124,$Z$127)*AA131</f>
        <v>#NAME?</v>
      </c>
    </row>
    <row r="132" spans="25:32" x14ac:dyDescent="0.25">
      <c r="Y132">
        <f t="array" ref="Y132:Y146">TRANSPOSE(F3:T3)</f>
        <v>2</v>
      </c>
      <c r="Z132" t="e">
        <f ca="1"/>
        <v>#NAME?</v>
      </c>
      <c r="AA132" t="e">
        <f ca="1"/>
        <v>#NAME?</v>
      </c>
      <c r="AB132" t="e">
        <f t="shared" ref="AB132:AB146" ca="1" si="8">Z132/AA132</f>
        <v>#NAME?</v>
      </c>
      <c r="AC132" t="e">
        <f t="shared" ref="AC132:AC146" ca="1" si="9">TDIST(ABS(AB132),$Z$127,2)</f>
        <v>#NAME?</v>
      </c>
      <c r="AD132" t="e">
        <f t="shared" ref="AD132:AD146" ca="1" si="10">Z132-TINV(AD$124,$Z$127)*AA132</f>
        <v>#NAME?</v>
      </c>
      <c r="AE132" t="e">
        <f t="shared" ref="AE132:AE146" ca="1" si="11">Z132+TINV(AD$124,$Z$127)*AA132</f>
        <v>#NAME?</v>
      </c>
      <c r="AF132" t="e">
        <f ca="1">VIF(F4:T45,1)</f>
        <v>#NAME?</v>
      </c>
    </row>
    <row r="133" spans="25:32" x14ac:dyDescent="0.25">
      <c r="Y133">
        <v>3</v>
      </c>
      <c r="Z133" t="e">
        <f ca="1"/>
        <v>#NAME?</v>
      </c>
      <c r="AA133" t="e">
        <f ca="1"/>
        <v>#NAME?</v>
      </c>
      <c r="AB133" t="e">
        <f t="shared" ca="1" si="8"/>
        <v>#NAME?</v>
      </c>
      <c r="AC133" t="e">
        <f t="shared" ca="1" si="9"/>
        <v>#NAME?</v>
      </c>
      <c r="AD133" t="e">
        <f t="shared" ca="1" si="10"/>
        <v>#NAME?</v>
      </c>
      <c r="AE133" t="e">
        <f t="shared" ca="1" si="11"/>
        <v>#NAME?</v>
      </c>
      <c r="AF133" t="e">
        <f ca="1">VIF(F4:T45,2)</f>
        <v>#NAME?</v>
      </c>
    </row>
    <row r="134" spans="25:32" x14ac:dyDescent="0.25">
      <c r="Y134">
        <v>4</v>
      </c>
      <c r="Z134" t="e">
        <f ca="1"/>
        <v>#NAME?</v>
      </c>
      <c r="AA134" t="e">
        <f ca="1"/>
        <v>#NAME?</v>
      </c>
      <c r="AB134" t="e">
        <f t="shared" ca="1" si="8"/>
        <v>#NAME?</v>
      </c>
      <c r="AC134" t="e">
        <f t="shared" ca="1" si="9"/>
        <v>#NAME?</v>
      </c>
      <c r="AD134" t="e">
        <f t="shared" ca="1" si="10"/>
        <v>#NAME?</v>
      </c>
      <c r="AE134" t="e">
        <f t="shared" ca="1" si="11"/>
        <v>#NAME?</v>
      </c>
      <c r="AF134" t="e">
        <f ca="1">VIF(F4:T45,3)</f>
        <v>#NAME?</v>
      </c>
    </row>
    <row r="135" spans="25:32" x14ac:dyDescent="0.25">
      <c r="Y135">
        <v>5</v>
      </c>
      <c r="Z135" t="e">
        <f ca="1"/>
        <v>#NAME?</v>
      </c>
      <c r="AA135" t="e">
        <f ca="1"/>
        <v>#NAME?</v>
      </c>
      <c r="AB135" t="e">
        <f t="shared" ca="1" si="8"/>
        <v>#NAME?</v>
      </c>
      <c r="AC135" t="e">
        <f t="shared" ca="1" si="9"/>
        <v>#NAME?</v>
      </c>
      <c r="AD135" t="e">
        <f t="shared" ca="1" si="10"/>
        <v>#NAME?</v>
      </c>
      <c r="AE135" t="e">
        <f t="shared" ca="1" si="11"/>
        <v>#NAME?</v>
      </c>
      <c r="AF135" t="e">
        <f ca="1">VIF(F4:T45,4)</f>
        <v>#NAME?</v>
      </c>
    </row>
    <row r="136" spans="25:32" x14ac:dyDescent="0.25">
      <c r="Y136">
        <v>6</v>
      </c>
      <c r="Z136" t="e">
        <f ca="1"/>
        <v>#NAME?</v>
      </c>
      <c r="AA136" t="e">
        <f ca="1"/>
        <v>#NAME?</v>
      </c>
      <c r="AB136" t="e">
        <f t="shared" ca="1" si="8"/>
        <v>#NAME?</v>
      </c>
      <c r="AC136" t="e">
        <f t="shared" ca="1" si="9"/>
        <v>#NAME?</v>
      </c>
      <c r="AD136" t="e">
        <f t="shared" ca="1" si="10"/>
        <v>#NAME?</v>
      </c>
      <c r="AE136" t="e">
        <f t="shared" ca="1" si="11"/>
        <v>#NAME?</v>
      </c>
      <c r="AF136" t="e">
        <f ca="1">VIF(F4:T45,5)</f>
        <v>#NAME?</v>
      </c>
    </row>
    <row r="137" spans="25:32" x14ac:dyDescent="0.25">
      <c r="Y137">
        <v>7</v>
      </c>
      <c r="Z137" t="e">
        <f ca="1"/>
        <v>#NAME?</v>
      </c>
      <c r="AA137" t="e">
        <f ca="1"/>
        <v>#NAME?</v>
      </c>
      <c r="AB137" t="e">
        <f t="shared" ca="1" si="8"/>
        <v>#NAME?</v>
      </c>
      <c r="AC137" t="e">
        <f t="shared" ca="1" si="9"/>
        <v>#NAME?</v>
      </c>
      <c r="AD137" t="e">
        <f t="shared" ca="1" si="10"/>
        <v>#NAME?</v>
      </c>
      <c r="AE137" t="e">
        <f t="shared" ca="1" si="11"/>
        <v>#NAME?</v>
      </c>
      <c r="AF137" t="e">
        <f ca="1">VIF(F4:T45,6)</f>
        <v>#NAME?</v>
      </c>
    </row>
    <row r="138" spans="25:32" x14ac:dyDescent="0.25">
      <c r="Y138">
        <v>8</v>
      </c>
      <c r="Z138" t="e">
        <f ca="1"/>
        <v>#NAME?</v>
      </c>
      <c r="AA138" t="e">
        <f ca="1"/>
        <v>#NAME?</v>
      </c>
      <c r="AB138" t="e">
        <f t="shared" ca="1" si="8"/>
        <v>#NAME?</v>
      </c>
      <c r="AC138" t="e">
        <f t="shared" ca="1" si="9"/>
        <v>#NAME?</v>
      </c>
      <c r="AD138" t="e">
        <f t="shared" ca="1" si="10"/>
        <v>#NAME?</v>
      </c>
      <c r="AE138" t="e">
        <f t="shared" ca="1" si="11"/>
        <v>#NAME?</v>
      </c>
      <c r="AF138" t="e">
        <f ca="1">VIF(F4:T45,7)</f>
        <v>#NAME?</v>
      </c>
    </row>
    <row r="139" spans="25:32" x14ac:dyDescent="0.25">
      <c r="Y139">
        <v>9</v>
      </c>
      <c r="Z139" t="e">
        <f ca="1"/>
        <v>#NAME?</v>
      </c>
      <c r="AA139" t="e">
        <f ca="1"/>
        <v>#NAME?</v>
      </c>
      <c r="AB139" t="e">
        <f t="shared" ca="1" si="8"/>
        <v>#NAME?</v>
      </c>
      <c r="AC139" t="e">
        <f t="shared" ca="1" si="9"/>
        <v>#NAME?</v>
      </c>
      <c r="AD139" t="e">
        <f t="shared" ca="1" si="10"/>
        <v>#NAME?</v>
      </c>
      <c r="AE139" t="e">
        <f t="shared" ca="1" si="11"/>
        <v>#NAME?</v>
      </c>
      <c r="AF139" t="e">
        <f ca="1">VIF(F4:T45,8)</f>
        <v>#NAME?</v>
      </c>
    </row>
    <row r="140" spans="25:32" x14ac:dyDescent="0.25">
      <c r="Y140">
        <v>10</v>
      </c>
      <c r="Z140" t="e">
        <f ca="1"/>
        <v>#NAME?</v>
      </c>
      <c r="AA140" t="e">
        <f ca="1"/>
        <v>#NAME?</v>
      </c>
      <c r="AB140" t="e">
        <f t="shared" ca="1" si="8"/>
        <v>#NAME?</v>
      </c>
      <c r="AC140" t="e">
        <f t="shared" ca="1" si="9"/>
        <v>#NAME?</v>
      </c>
      <c r="AD140" t="e">
        <f t="shared" ca="1" si="10"/>
        <v>#NAME?</v>
      </c>
      <c r="AE140" t="e">
        <f t="shared" ca="1" si="11"/>
        <v>#NAME?</v>
      </c>
      <c r="AF140" t="e">
        <f ca="1">VIF(F4:T45,9)</f>
        <v>#NAME?</v>
      </c>
    </row>
    <row r="141" spans="25:32" x14ac:dyDescent="0.25">
      <c r="Y141">
        <v>11</v>
      </c>
      <c r="Z141" t="e">
        <f ca="1"/>
        <v>#NAME?</v>
      </c>
      <c r="AA141" t="e">
        <f ca="1"/>
        <v>#NAME?</v>
      </c>
      <c r="AB141" t="e">
        <f t="shared" ca="1" si="8"/>
        <v>#NAME?</v>
      </c>
      <c r="AC141" t="e">
        <f t="shared" ca="1" si="9"/>
        <v>#NAME?</v>
      </c>
      <c r="AD141" t="e">
        <f t="shared" ca="1" si="10"/>
        <v>#NAME?</v>
      </c>
      <c r="AE141" t="e">
        <f t="shared" ca="1" si="11"/>
        <v>#NAME?</v>
      </c>
      <c r="AF141" t="e">
        <f ca="1">VIF(F4:T45,10)</f>
        <v>#NAME?</v>
      </c>
    </row>
    <row r="142" spans="25:32" x14ac:dyDescent="0.25">
      <c r="Y142">
        <v>12</v>
      </c>
      <c r="Z142" t="e">
        <f ca="1"/>
        <v>#NAME?</v>
      </c>
      <c r="AA142" t="e">
        <f ca="1"/>
        <v>#NAME?</v>
      </c>
      <c r="AB142" t="e">
        <f t="shared" ca="1" si="8"/>
        <v>#NAME?</v>
      </c>
      <c r="AC142" t="e">
        <f t="shared" ca="1" si="9"/>
        <v>#NAME?</v>
      </c>
      <c r="AD142" t="e">
        <f t="shared" ca="1" si="10"/>
        <v>#NAME?</v>
      </c>
      <c r="AE142" t="e">
        <f t="shared" ca="1" si="11"/>
        <v>#NAME?</v>
      </c>
      <c r="AF142" t="e">
        <f ca="1">VIF(F4:T45,11)</f>
        <v>#NAME?</v>
      </c>
    </row>
    <row r="143" spans="25:32" x14ac:dyDescent="0.25">
      <c r="Y143">
        <v>13</v>
      </c>
      <c r="Z143" t="e">
        <f ca="1"/>
        <v>#NAME?</v>
      </c>
      <c r="AA143" t="e">
        <f ca="1"/>
        <v>#NAME?</v>
      </c>
      <c r="AB143" t="e">
        <f t="shared" ca="1" si="8"/>
        <v>#NAME?</v>
      </c>
      <c r="AC143" t="e">
        <f t="shared" ca="1" si="9"/>
        <v>#NAME?</v>
      </c>
      <c r="AD143" t="e">
        <f t="shared" ca="1" si="10"/>
        <v>#NAME?</v>
      </c>
      <c r="AE143" t="e">
        <f t="shared" ca="1" si="11"/>
        <v>#NAME?</v>
      </c>
      <c r="AF143" t="e">
        <f ca="1">VIF(F4:T45,12)</f>
        <v>#NAME?</v>
      </c>
    </row>
    <row r="144" spans="25:32" x14ac:dyDescent="0.25">
      <c r="Y144">
        <v>14</v>
      </c>
      <c r="Z144" t="e">
        <f ca="1"/>
        <v>#NAME?</v>
      </c>
      <c r="AA144" t="e">
        <f ca="1"/>
        <v>#NAME?</v>
      </c>
      <c r="AB144" t="e">
        <f t="shared" ca="1" si="8"/>
        <v>#NAME?</v>
      </c>
      <c r="AC144" t="e">
        <f t="shared" ca="1" si="9"/>
        <v>#NAME?</v>
      </c>
      <c r="AD144" t="e">
        <f t="shared" ca="1" si="10"/>
        <v>#NAME?</v>
      </c>
      <c r="AE144" t="e">
        <f t="shared" ca="1" si="11"/>
        <v>#NAME?</v>
      </c>
      <c r="AF144" t="e">
        <f ca="1">VIF(F4:T45,13)</f>
        <v>#NAME?</v>
      </c>
    </row>
    <row r="145" spans="6:32" x14ac:dyDescent="0.25">
      <c r="Y145">
        <v>2</v>
      </c>
      <c r="Z145" t="e">
        <f ca="1"/>
        <v>#NAME?</v>
      </c>
      <c r="AA145" t="e">
        <f ca="1"/>
        <v>#NAME?</v>
      </c>
      <c r="AB145" t="e">
        <f t="shared" ca="1" si="8"/>
        <v>#NAME?</v>
      </c>
      <c r="AC145" t="e">
        <f t="shared" ca="1" si="9"/>
        <v>#NAME?</v>
      </c>
      <c r="AD145" t="e">
        <f t="shared" ca="1" si="10"/>
        <v>#NAME?</v>
      </c>
      <c r="AE145" t="e">
        <f t="shared" ca="1" si="11"/>
        <v>#NAME?</v>
      </c>
      <c r="AF145" t="e">
        <f ca="1">VIF(F4:T45,14)</f>
        <v>#NAME?</v>
      </c>
    </row>
    <row r="146" spans="6:32" x14ac:dyDescent="0.25">
      <c r="Y146" s="354">
        <v>3</v>
      </c>
      <c r="Z146" s="354" t="e">
        <f ca="1"/>
        <v>#NAME?</v>
      </c>
      <c r="AA146" s="354" t="e">
        <f ca="1"/>
        <v>#NAME?</v>
      </c>
      <c r="AB146" s="354" t="e">
        <f t="shared" ca="1" si="8"/>
        <v>#NAME?</v>
      </c>
      <c r="AC146" s="354" t="e">
        <f t="shared" ca="1" si="9"/>
        <v>#NAME?</v>
      </c>
      <c r="AD146" s="354" t="e">
        <f t="shared" ca="1" si="10"/>
        <v>#NAME?</v>
      </c>
      <c r="AE146" s="354" t="e">
        <f t="shared" ca="1" si="11"/>
        <v>#NAME?</v>
      </c>
      <c r="AF146" s="354" t="e">
        <f ca="1">VIF(F4:T45,15)</f>
        <v>#NAME?</v>
      </c>
    </row>
    <row r="150" spans="6:32" x14ac:dyDescent="0.25">
      <c r="Y150" t="s">
        <v>1504</v>
      </c>
    </row>
    <row r="151" spans="6:32" x14ac:dyDescent="0.25">
      <c r="F151" s="720">
        <v>2</v>
      </c>
      <c r="G151" s="720">
        <v>3</v>
      </c>
      <c r="H151" s="720">
        <v>4</v>
      </c>
      <c r="I151" s="720">
        <v>5</v>
      </c>
      <c r="J151" s="720">
        <v>6</v>
      </c>
      <c r="K151" s="720">
        <v>7</v>
      </c>
      <c r="L151" s="720">
        <v>8</v>
      </c>
      <c r="M151" s="720">
        <v>9</v>
      </c>
      <c r="N151" s="720">
        <v>10</v>
      </c>
      <c r="O151" s="720">
        <v>11</v>
      </c>
      <c r="P151" s="720">
        <v>12</v>
      </c>
      <c r="Q151" s="720">
        <v>13</v>
      </c>
      <c r="R151" s="720">
        <v>14</v>
      </c>
      <c r="S151" s="720" t="s">
        <v>1497</v>
      </c>
      <c r="T151" s="720" t="s">
        <v>1498</v>
      </c>
      <c r="U151" t="s">
        <v>1499</v>
      </c>
    </row>
    <row r="152" spans="6:32" ht="15.75" thickBot="1" x14ac:dyDescent="0.3">
      <c r="F152" s="728">
        <v>0</v>
      </c>
      <c r="G152" s="729">
        <v>0</v>
      </c>
      <c r="H152" s="729">
        <v>0</v>
      </c>
      <c r="I152" s="729">
        <v>0</v>
      </c>
      <c r="J152" s="729">
        <v>0</v>
      </c>
      <c r="K152" s="729">
        <v>0</v>
      </c>
      <c r="L152" s="729">
        <v>0</v>
      </c>
      <c r="M152" s="729">
        <v>0</v>
      </c>
      <c r="N152" s="729">
        <v>0</v>
      </c>
      <c r="O152" s="729">
        <v>0</v>
      </c>
      <c r="P152" s="729">
        <v>0</v>
      </c>
      <c r="Q152" s="729">
        <v>0</v>
      </c>
      <c r="R152" s="729">
        <v>0</v>
      </c>
      <c r="S152" s="728">
        <v>0</v>
      </c>
      <c r="T152" s="730">
        <v>0</v>
      </c>
      <c r="U152" s="731">
        <v>250</v>
      </c>
      <c r="Y152" s="342" t="s">
        <v>799</v>
      </c>
      <c r="Z152" s="342"/>
      <c r="AB152" s="342"/>
      <c r="AC152" s="342"/>
    </row>
    <row r="153" spans="6:32" ht="15.75" thickTop="1" x14ac:dyDescent="0.25">
      <c r="F153" s="732">
        <v>1</v>
      </c>
      <c r="G153" s="733">
        <v>0</v>
      </c>
      <c r="H153" s="733">
        <v>0</v>
      </c>
      <c r="I153" s="733">
        <v>0</v>
      </c>
      <c r="J153" s="733">
        <v>0</v>
      </c>
      <c r="K153" s="733">
        <v>0</v>
      </c>
      <c r="L153" s="733">
        <v>0</v>
      </c>
      <c r="M153" s="733">
        <v>0</v>
      </c>
      <c r="N153" s="733">
        <v>0</v>
      </c>
      <c r="O153" s="733">
        <v>0</v>
      </c>
      <c r="P153" s="733">
        <v>0</v>
      </c>
      <c r="Q153" s="733">
        <v>0</v>
      </c>
      <c r="R153" s="733">
        <v>0</v>
      </c>
      <c r="S153" s="732">
        <v>0</v>
      </c>
      <c r="T153" s="734">
        <v>0</v>
      </c>
      <c r="U153" s="735">
        <v>65</v>
      </c>
      <c r="Y153" t="s">
        <v>123</v>
      </c>
      <c r="Z153" t="e">
        <f ca="1">SQRT(Z154)</f>
        <v>#NAME?</v>
      </c>
      <c r="AB153" t="s">
        <v>203</v>
      </c>
      <c r="AC153" t="e">
        <f ca="1">Z157*LN(AA162/Z157)+2*(Z161+1)</f>
        <v>#NAME?</v>
      </c>
    </row>
    <row r="154" spans="6:32" x14ac:dyDescent="0.25">
      <c r="F154" s="732">
        <v>0</v>
      </c>
      <c r="G154" s="733">
        <v>1</v>
      </c>
      <c r="H154" s="733">
        <v>0</v>
      </c>
      <c r="I154" s="733">
        <v>0</v>
      </c>
      <c r="J154" s="733">
        <v>0</v>
      </c>
      <c r="K154" s="733">
        <v>0</v>
      </c>
      <c r="L154" s="733">
        <v>0</v>
      </c>
      <c r="M154" s="733">
        <v>0</v>
      </c>
      <c r="N154" s="733">
        <v>0</v>
      </c>
      <c r="O154" s="733">
        <v>0</v>
      </c>
      <c r="P154" s="733">
        <v>0</v>
      </c>
      <c r="Q154" s="733">
        <v>0</v>
      </c>
      <c r="R154" s="733">
        <v>0</v>
      </c>
      <c r="S154" s="732">
        <v>0</v>
      </c>
      <c r="T154" s="734">
        <v>0</v>
      </c>
      <c r="U154" s="735">
        <v>251</v>
      </c>
      <c r="Y154" t="s">
        <v>120</v>
      </c>
      <c r="Z154" t="e">
        <f ca="1">AA161/AA163</f>
        <v>#NAME?</v>
      </c>
      <c r="AB154" t="s">
        <v>204</v>
      </c>
      <c r="AC154" t="e">
        <f ca="1">AC153+2*(Z161+2)*(Z161+3)/(Z157-Z161-3)</f>
        <v>#NAME?</v>
      </c>
    </row>
    <row r="155" spans="6:32" x14ac:dyDescent="0.25">
      <c r="F155" s="732">
        <v>0</v>
      </c>
      <c r="G155" s="733">
        <v>0</v>
      </c>
      <c r="H155" s="733">
        <v>1</v>
      </c>
      <c r="I155" s="733">
        <v>0</v>
      </c>
      <c r="J155" s="733">
        <v>0</v>
      </c>
      <c r="K155" s="733">
        <v>0</v>
      </c>
      <c r="L155" s="733">
        <v>0</v>
      </c>
      <c r="M155" s="733">
        <v>0</v>
      </c>
      <c r="N155" s="733">
        <v>0</v>
      </c>
      <c r="O155" s="733">
        <v>0</v>
      </c>
      <c r="P155" s="733">
        <v>0</v>
      </c>
      <c r="Q155" s="733">
        <v>0</v>
      </c>
      <c r="R155" s="733">
        <v>0</v>
      </c>
      <c r="S155" s="732">
        <v>0</v>
      </c>
      <c r="T155" s="734">
        <v>0</v>
      </c>
      <c r="U155" s="735">
        <v>103</v>
      </c>
      <c r="Y155" t="s">
        <v>124</v>
      </c>
      <c r="Z155" t="e">
        <f ca="1">1-(1-Z154)*(Z157-1)/(Z157-Z161-1)</f>
        <v>#NAME?</v>
      </c>
      <c r="AB155" s="354" t="s">
        <v>1353</v>
      </c>
      <c r="AC155" s="354" t="e">
        <f ca="1">Z157*LN(AA162/Z157)+(Z161+1)*LN(Z157)</f>
        <v>#NAME?</v>
      </c>
    </row>
    <row r="156" spans="6:32" x14ac:dyDescent="0.25">
      <c r="F156" s="732">
        <v>0</v>
      </c>
      <c r="G156" s="733">
        <v>0</v>
      </c>
      <c r="H156" s="733">
        <v>0</v>
      </c>
      <c r="I156" s="733">
        <v>1</v>
      </c>
      <c r="J156" s="733">
        <v>0</v>
      </c>
      <c r="K156" s="733">
        <v>0</v>
      </c>
      <c r="L156" s="733">
        <v>0</v>
      </c>
      <c r="M156" s="733">
        <v>0</v>
      </c>
      <c r="N156" s="733">
        <v>0</v>
      </c>
      <c r="O156" s="733">
        <v>0</v>
      </c>
      <c r="P156" s="733">
        <v>0</v>
      </c>
      <c r="Q156" s="733">
        <v>0</v>
      </c>
      <c r="R156" s="733">
        <v>0</v>
      </c>
      <c r="S156" s="736">
        <v>0</v>
      </c>
      <c r="T156" s="737">
        <v>0</v>
      </c>
      <c r="U156" s="738">
        <v>230</v>
      </c>
      <c r="Y156" t="s">
        <v>10</v>
      </c>
      <c r="Z156" t="e">
        <f ca="1">SQRT(AB162)</f>
        <v>#NAME?</v>
      </c>
    </row>
    <row r="157" spans="6:32" x14ac:dyDescent="0.25">
      <c r="F157" s="732">
        <v>0</v>
      </c>
      <c r="G157" s="733">
        <v>0</v>
      </c>
      <c r="H157" s="733">
        <v>0</v>
      </c>
      <c r="I157" s="733">
        <v>0</v>
      </c>
      <c r="J157" s="733">
        <v>1</v>
      </c>
      <c r="K157" s="733">
        <v>0</v>
      </c>
      <c r="L157" s="733">
        <v>0</v>
      </c>
      <c r="M157" s="733">
        <v>0</v>
      </c>
      <c r="N157" s="733">
        <v>0</v>
      </c>
      <c r="O157" s="733">
        <v>0</v>
      </c>
      <c r="P157" s="733">
        <v>0</v>
      </c>
      <c r="Q157" s="733">
        <v>0</v>
      </c>
      <c r="R157" s="733">
        <v>0</v>
      </c>
      <c r="S157" s="728">
        <v>1</v>
      </c>
      <c r="T157" s="730">
        <v>0</v>
      </c>
      <c r="U157" s="731">
        <v>54</v>
      </c>
      <c r="Y157" s="354" t="s">
        <v>55</v>
      </c>
      <c r="Z157" s="354">
        <f>COUNT(U152:U193)</f>
        <v>42</v>
      </c>
    </row>
    <row r="158" spans="6:32" x14ac:dyDescent="0.25">
      <c r="F158" s="732">
        <v>0</v>
      </c>
      <c r="G158" s="733">
        <v>0</v>
      </c>
      <c r="H158" s="733">
        <v>0</v>
      </c>
      <c r="I158" s="733">
        <v>0</v>
      </c>
      <c r="J158" s="733">
        <v>0</v>
      </c>
      <c r="K158" s="733">
        <v>1</v>
      </c>
      <c r="L158" s="733">
        <v>0</v>
      </c>
      <c r="M158" s="733">
        <v>0</v>
      </c>
      <c r="N158" s="733">
        <v>0</v>
      </c>
      <c r="O158" s="733">
        <v>0</v>
      </c>
      <c r="P158" s="733">
        <v>0</v>
      </c>
      <c r="Q158" s="733">
        <v>0</v>
      </c>
      <c r="R158" s="733">
        <v>0</v>
      </c>
      <c r="S158" s="732">
        <v>1</v>
      </c>
      <c r="T158" s="734">
        <v>0</v>
      </c>
      <c r="U158" s="735">
        <v>20</v>
      </c>
    </row>
    <row r="159" spans="6:32" ht="15.75" thickBot="1" x14ac:dyDescent="0.3">
      <c r="F159" s="732">
        <v>0</v>
      </c>
      <c r="G159" s="733">
        <v>0</v>
      </c>
      <c r="H159" s="733">
        <v>0</v>
      </c>
      <c r="I159" s="733">
        <v>0</v>
      </c>
      <c r="J159" s="733">
        <v>0</v>
      </c>
      <c r="K159" s="733">
        <v>0</v>
      </c>
      <c r="L159" s="733">
        <v>1</v>
      </c>
      <c r="M159" s="733">
        <v>0</v>
      </c>
      <c r="N159" s="733">
        <v>0</v>
      </c>
      <c r="O159" s="733">
        <v>0</v>
      </c>
      <c r="P159" s="733">
        <v>0</v>
      </c>
      <c r="Q159" s="733">
        <v>0</v>
      </c>
      <c r="R159" s="733">
        <v>0</v>
      </c>
      <c r="S159" s="732">
        <v>1</v>
      </c>
      <c r="T159" s="734">
        <v>0</v>
      </c>
      <c r="U159" s="735">
        <v>41</v>
      </c>
      <c r="Y159" t="s">
        <v>125</v>
      </c>
      <c r="AC159" s="720" t="s">
        <v>18</v>
      </c>
      <c r="AD159" s="720">
        <v>0.05</v>
      </c>
    </row>
    <row r="160" spans="6:32" ht="15.75" thickTop="1" x14ac:dyDescent="0.25">
      <c r="F160" s="732">
        <v>0</v>
      </c>
      <c r="G160" s="733">
        <v>0</v>
      </c>
      <c r="H160" s="733">
        <v>0</v>
      </c>
      <c r="I160" s="733">
        <v>0</v>
      </c>
      <c r="J160" s="733">
        <v>0</v>
      </c>
      <c r="K160" s="733">
        <v>0</v>
      </c>
      <c r="L160" s="733">
        <v>0</v>
      </c>
      <c r="M160" s="733">
        <v>1</v>
      </c>
      <c r="N160" s="733">
        <v>0</v>
      </c>
      <c r="O160" s="733">
        <v>0</v>
      </c>
      <c r="P160" s="733">
        <v>0</v>
      </c>
      <c r="Q160" s="733">
        <v>0</v>
      </c>
      <c r="R160" s="733">
        <v>0</v>
      </c>
      <c r="S160" s="732">
        <v>1</v>
      </c>
      <c r="T160" s="734">
        <v>0</v>
      </c>
      <c r="U160" s="735">
        <v>29</v>
      </c>
      <c r="Y160" s="386"/>
      <c r="Z160" s="386" t="s">
        <v>41</v>
      </c>
      <c r="AA160" s="386" t="s">
        <v>111</v>
      </c>
      <c r="AB160" s="386" t="s">
        <v>115</v>
      </c>
      <c r="AC160" s="386" t="s">
        <v>98</v>
      </c>
      <c r="AD160" s="386" t="s">
        <v>48</v>
      </c>
      <c r="AE160" s="386" t="s">
        <v>164</v>
      </c>
    </row>
    <row r="161" spans="6:32" x14ac:dyDescent="0.25">
      <c r="F161" s="732">
        <v>0</v>
      </c>
      <c r="G161" s="733">
        <v>0</v>
      </c>
      <c r="H161" s="733">
        <v>0</v>
      </c>
      <c r="I161" s="733">
        <v>0</v>
      </c>
      <c r="J161" s="733">
        <v>0</v>
      </c>
      <c r="K161" s="733">
        <v>0</v>
      </c>
      <c r="L161" s="733">
        <v>0</v>
      </c>
      <c r="M161" s="733">
        <v>0</v>
      </c>
      <c r="N161" s="733">
        <v>1</v>
      </c>
      <c r="O161" s="733">
        <v>0</v>
      </c>
      <c r="P161" s="733">
        <v>0</v>
      </c>
      <c r="Q161" s="733">
        <v>0</v>
      </c>
      <c r="R161" s="733">
        <v>0</v>
      </c>
      <c r="S161" s="736">
        <v>1</v>
      </c>
      <c r="T161" s="737">
        <v>0</v>
      </c>
      <c r="U161" s="738">
        <v>3</v>
      </c>
      <c r="Y161" t="s">
        <v>113</v>
      </c>
      <c r="Z161">
        <f>COUNT(F152:T152)</f>
        <v>15</v>
      </c>
      <c r="AA161" t="e">
        <f ca="1">DEVSQ(MMULT(DESIGN(F152:T193),Z166:Z181))</f>
        <v>#NAME?</v>
      </c>
      <c r="AB161" t="e">
        <f ca="1">AA161/Z161</f>
        <v>#NAME?</v>
      </c>
      <c r="AC161" t="e">
        <f ca="1">AB161/AB162</f>
        <v>#NAME?</v>
      </c>
      <c r="AD161" t="e">
        <f ca="1">FDIST(AC161,Z161,Z162)</f>
        <v>#NAME?</v>
      </c>
      <c r="AE161" s="720" t="e">
        <f ca="1">IF(AD161&lt;AD159,"yes","no")</f>
        <v>#NAME?</v>
      </c>
    </row>
    <row r="162" spans="6:32" x14ac:dyDescent="0.25">
      <c r="F162" s="732">
        <v>0</v>
      </c>
      <c r="G162" s="733">
        <v>0</v>
      </c>
      <c r="H162" s="733">
        <v>0</v>
      </c>
      <c r="I162" s="733">
        <v>0</v>
      </c>
      <c r="J162" s="733">
        <v>0</v>
      </c>
      <c r="K162" s="733">
        <v>0</v>
      </c>
      <c r="L162" s="733">
        <v>0</v>
      </c>
      <c r="M162" s="733">
        <v>0</v>
      </c>
      <c r="N162" s="733">
        <v>0</v>
      </c>
      <c r="O162" s="733">
        <v>1</v>
      </c>
      <c r="P162" s="733">
        <v>0</v>
      </c>
      <c r="Q162" s="733">
        <v>0</v>
      </c>
      <c r="R162" s="733">
        <v>0</v>
      </c>
      <c r="S162" s="732">
        <v>0</v>
      </c>
      <c r="T162" s="734">
        <v>1</v>
      </c>
      <c r="U162" s="735">
        <v>118</v>
      </c>
      <c r="Y162" t="s">
        <v>126</v>
      </c>
      <c r="Z162">
        <f>Z163-Z161</f>
        <v>26</v>
      </c>
      <c r="AA162" t="e">
        <f ca="1">AA163-AA161</f>
        <v>#NAME?</v>
      </c>
      <c r="AB162" t="e">
        <f ca="1">AA162/Z162</f>
        <v>#NAME?</v>
      </c>
    </row>
    <row r="163" spans="6:32" x14ac:dyDescent="0.25">
      <c r="F163" s="732">
        <v>0</v>
      </c>
      <c r="G163" s="733">
        <v>0</v>
      </c>
      <c r="H163" s="733">
        <v>0</v>
      </c>
      <c r="I163" s="733">
        <v>0</v>
      </c>
      <c r="J163" s="733">
        <v>0</v>
      </c>
      <c r="K163" s="733">
        <v>0</v>
      </c>
      <c r="L163" s="733">
        <v>0</v>
      </c>
      <c r="M163" s="733">
        <v>0</v>
      </c>
      <c r="N163" s="733">
        <v>0</v>
      </c>
      <c r="O163" s="733">
        <v>0</v>
      </c>
      <c r="P163" s="733">
        <v>1</v>
      </c>
      <c r="Q163" s="733">
        <v>0</v>
      </c>
      <c r="R163" s="733">
        <v>0</v>
      </c>
      <c r="S163" s="732">
        <v>0</v>
      </c>
      <c r="T163" s="734">
        <v>1</v>
      </c>
      <c r="U163" s="735">
        <v>83</v>
      </c>
      <c r="Y163" s="354" t="s">
        <v>1</v>
      </c>
      <c r="Z163" s="354">
        <f>Z157-1</f>
        <v>41</v>
      </c>
      <c r="AA163" s="354">
        <f>DEVSQ(U152:U193)</f>
        <v>765790.4761904761</v>
      </c>
      <c r="AB163" s="354"/>
      <c r="AC163" s="354"/>
      <c r="AD163" s="354"/>
      <c r="AE163" s="354"/>
    </row>
    <row r="164" spans="6:32" ht="15.75" thickBot="1" x14ac:dyDescent="0.3">
      <c r="F164" s="732">
        <v>0</v>
      </c>
      <c r="G164" s="733">
        <v>0</v>
      </c>
      <c r="H164" s="733">
        <v>0</v>
      </c>
      <c r="I164" s="733">
        <v>0</v>
      </c>
      <c r="J164" s="733">
        <v>0</v>
      </c>
      <c r="K164" s="733">
        <v>0</v>
      </c>
      <c r="L164" s="733">
        <v>0</v>
      </c>
      <c r="M164" s="733">
        <v>0</v>
      </c>
      <c r="N164" s="733">
        <v>0</v>
      </c>
      <c r="O164" s="733">
        <v>0</v>
      </c>
      <c r="P164" s="733">
        <v>0</v>
      </c>
      <c r="Q164" s="733">
        <v>1</v>
      </c>
      <c r="R164" s="733">
        <v>0</v>
      </c>
      <c r="S164" s="732">
        <v>0</v>
      </c>
      <c r="T164" s="734">
        <v>1</v>
      </c>
      <c r="U164" s="735">
        <v>38</v>
      </c>
    </row>
    <row r="165" spans="6:32" ht="15.75" thickTop="1" x14ac:dyDescent="0.25">
      <c r="F165" s="732">
        <v>0</v>
      </c>
      <c r="G165" s="733">
        <v>0</v>
      </c>
      <c r="H165" s="733">
        <v>0</v>
      </c>
      <c r="I165" s="733">
        <v>0</v>
      </c>
      <c r="J165" s="733">
        <v>0</v>
      </c>
      <c r="K165" s="733">
        <v>0</v>
      </c>
      <c r="L165" s="733">
        <v>0</v>
      </c>
      <c r="M165" s="733">
        <v>0</v>
      </c>
      <c r="N165" s="733">
        <v>0</v>
      </c>
      <c r="O165" s="733">
        <v>0</v>
      </c>
      <c r="P165" s="733">
        <v>0</v>
      </c>
      <c r="Q165" s="733">
        <v>0</v>
      </c>
      <c r="R165" s="733">
        <v>1</v>
      </c>
      <c r="S165" s="732">
        <v>0</v>
      </c>
      <c r="T165" s="734">
        <v>1</v>
      </c>
      <c r="U165" s="735">
        <v>71</v>
      </c>
      <c r="Y165" s="386"/>
      <c r="Z165" s="386" t="s">
        <v>797</v>
      </c>
      <c r="AA165" s="386" t="s">
        <v>390</v>
      </c>
      <c r="AB165" s="386" t="s">
        <v>42</v>
      </c>
      <c r="AC165" s="386" t="s">
        <v>48</v>
      </c>
      <c r="AD165" s="386" t="s">
        <v>15</v>
      </c>
      <c r="AE165" s="386" t="s">
        <v>16</v>
      </c>
      <c r="AF165" s="386" t="s">
        <v>1352</v>
      </c>
    </row>
    <row r="166" spans="6:32" x14ac:dyDescent="0.25">
      <c r="F166" s="728">
        <v>0</v>
      </c>
      <c r="G166" s="729">
        <v>0</v>
      </c>
      <c r="H166" s="729">
        <v>0</v>
      </c>
      <c r="I166" s="729">
        <v>0</v>
      </c>
      <c r="J166" s="729">
        <v>0</v>
      </c>
      <c r="K166" s="729">
        <v>0</v>
      </c>
      <c r="L166" s="729">
        <v>0</v>
      </c>
      <c r="M166" s="729">
        <v>0</v>
      </c>
      <c r="N166" s="729">
        <v>0</v>
      </c>
      <c r="O166" s="729">
        <v>0</v>
      </c>
      <c r="P166" s="729">
        <v>0</v>
      </c>
      <c r="Q166" s="729">
        <v>0</v>
      </c>
      <c r="R166" s="729">
        <v>0</v>
      </c>
      <c r="S166" s="728">
        <v>0</v>
      </c>
      <c r="T166" s="730">
        <v>0</v>
      </c>
      <c r="U166" s="731">
        <v>278</v>
      </c>
      <c r="Y166" t="s">
        <v>127</v>
      </c>
      <c r="Z166" t="e">
        <f t="array" aca="1" ref="Z166:AA181" ca="1">RegCoeff(F152:T193,U152:U193)</f>
        <v>#NAME?</v>
      </c>
      <c r="AA166" t="e">
        <f ca="1"/>
        <v>#NAME?</v>
      </c>
      <c r="AB166" t="e">
        <f ca="1">Z166/AA166</f>
        <v>#NAME?</v>
      </c>
      <c r="AC166" t="e">
        <f ca="1">TDIST(ABS(AB166),$Z$162,2)</f>
        <v>#NAME?</v>
      </c>
      <c r="AD166" t="e">
        <f ca="1">Z166-TINV(AD$159,$Z$162)*AA166</f>
        <v>#NAME?</v>
      </c>
      <c r="AE166" t="e">
        <f ca="1">Z166+TINV(AD$159,$Z$162)*AA166</f>
        <v>#NAME?</v>
      </c>
    </row>
    <row r="167" spans="6:32" x14ac:dyDescent="0.25">
      <c r="F167" s="732">
        <v>1</v>
      </c>
      <c r="G167" s="733">
        <v>0</v>
      </c>
      <c r="H167" s="733">
        <v>0</v>
      </c>
      <c r="I167" s="733">
        <v>0</v>
      </c>
      <c r="J167" s="733">
        <v>0</v>
      </c>
      <c r="K167" s="733">
        <v>0</v>
      </c>
      <c r="L167" s="733">
        <v>0</v>
      </c>
      <c r="M167" s="733">
        <v>0</v>
      </c>
      <c r="N167" s="733">
        <v>0</v>
      </c>
      <c r="O167" s="733">
        <v>0</v>
      </c>
      <c r="P167" s="733">
        <v>0</v>
      </c>
      <c r="Q167" s="733">
        <v>0</v>
      </c>
      <c r="R167" s="733">
        <v>0</v>
      </c>
      <c r="S167" s="732">
        <v>0</v>
      </c>
      <c r="T167" s="734">
        <v>0</v>
      </c>
      <c r="U167" s="735">
        <v>207</v>
      </c>
      <c r="Y167">
        <f t="array" ref="Y167:Y181">TRANSPOSE(F151:T151)</f>
        <v>2</v>
      </c>
      <c r="Z167" t="e">
        <f ca="1"/>
        <v>#NAME?</v>
      </c>
      <c r="AA167" t="e">
        <f ca="1"/>
        <v>#NAME?</v>
      </c>
      <c r="AB167" t="e">
        <f t="shared" ref="AB167:AB181" ca="1" si="12">Z167/AA167</f>
        <v>#NAME?</v>
      </c>
      <c r="AC167" t="e">
        <f t="shared" ref="AC167:AC181" ca="1" si="13">TDIST(ABS(AB167),$Z$162,2)</f>
        <v>#NAME?</v>
      </c>
      <c r="AD167" t="e">
        <f t="shared" ref="AD167:AD181" ca="1" si="14">Z167-TINV(AD$159,$Z$162)*AA167</f>
        <v>#NAME?</v>
      </c>
      <c r="AE167" t="e">
        <f t="shared" ref="AE167:AE181" ca="1" si="15">Z167+TINV(AD$159,$Z$162)*AA167</f>
        <v>#NAME?</v>
      </c>
      <c r="AF167" t="e">
        <f ca="1">VIF(F152:T193,1)</f>
        <v>#NAME?</v>
      </c>
    </row>
    <row r="168" spans="6:32" x14ac:dyDescent="0.25">
      <c r="F168" s="732">
        <v>0</v>
      </c>
      <c r="G168" s="733">
        <v>1</v>
      </c>
      <c r="H168" s="733">
        <v>0</v>
      </c>
      <c r="I168" s="733">
        <v>0</v>
      </c>
      <c r="J168" s="733">
        <v>0</v>
      </c>
      <c r="K168" s="733">
        <v>0</v>
      </c>
      <c r="L168" s="733">
        <v>0</v>
      </c>
      <c r="M168" s="733">
        <v>0</v>
      </c>
      <c r="N168" s="733">
        <v>0</v>
      </c>
      <c r="O168" s="733">
        <v>0</v>
      </c>
      <c r="P168" s="733">
        <v>0</v>
      </c>
      <c r="Q168" s="733">
        <v>0</v>
      </c>
      <c r="R168" s="733">
        <v>0</v>
      </c>
      <c r="S168" s="732">
        <v>0</v>
      </c>
      <c r="T168" s="734">
        <v>0</v>
      </c>
      <c r="U168" s="735">
        <v>261</v>
      </c>
      <c r="Y168">
        <v>3</v>
      </c>
      <c r="Z168" t="e">
        <f ca="1"/>
        <v>#NAME?</v>
      </c>
      <c r="AA168" t="e">
        <f ca="1"/>
        <v>#NAME?</v>
      </c>
      <c r="AB168" t="e">
        <f t="shared" ca="1" si="12"/>
        <v>#NAME?</v>
      </c>
      <c r="AC168" t="e">
        <f t="shared" ca="1" si="13"/>
        <v>#NAME?</v>
      </c>
      <c r="AD168" t="e">
        <f t="shared" ca="1" si="14"/>
        <v>#NAME?</v>
      </c>
      <c r="AE168" t="e">
        <f t="shared" ca="1" si="15"/>
        <v>#NAME?</v>
      </c>
      <c r="AF168" t="e">
        <f ca="1">VIF(F152:T193,2)</f>
        <v>#NAME?</v>
      </c>
    </row>
    <row r="169" spans="6:32" x14ac:dyDescent="0.25">
      <c r="F169" s="732">
        <v>0</v>
      </c>
      <c r="G169" s="733">
        <v>0</v>
      </c>
      <c r="H169" s="733">
        <v>1</v>
      </c>
      <c r="I169" s="733">
        <v>0</v>
      </c>
      <c r="J169" s="733">
        <v>0</v>
      </c>
      <c r="K169" s="733">
        <v>0</v>
      </c>
      <c r="L169" s="733">
        <v>0</v>
      </c>
      <c r="M169" s="733">
        <v>0</v>
      </c>
      <c r="N169" s="733">
        <v>0</v>
      </c>
      <c r="O169" s="733">
        <v>0</v>
      </c>
      <c r="P169" s="733">
        <v>0</v>
      </c>
      <c r="Q169" s="733">
        <v>0</v>
      </c>
      <c r="R169" s="733">
        <v>0</v>
      </c>
      <c r="S169" s="732">
        <v>0</v>
      </c>
      <c r="T169" s="734">
        <v>0</v>
      </c>
      <c r="U169" s="735">
        <v>286</v>
      </c>
      <c r="Y169">
        <v>4</v>
      </c>
      <c r="Z169" t="e">
        <f ca="1"/>
        <v>#NAME?</v>
      </c>
      <c r="AA169" t="e">
        <f ca="1"/>
        <v>#NAME?</v>
      </c>
      <c r="AB169" t="e">
        <f t="shared" ca="1" si="12"/>
        <v>#NAME?</v>
      </c>
      <c r="AC169" t="e">
        <f t="shared" ca="1" si="13"/>
        <v>#NAME?</v>
      </c>
      <c r="AD169" t="e">
        <f t="shared" ca="1" si="14"/>
        <v>#NAME?</v>
      </c>
      <c r="AE169" t="e">
        <f t="shared" ca="1" si="15"/>
        <v>#NAME?</v>
      </c>
      <c r="AF169" t="e">
        <f ca="1">VIF(F152:T193,3)</f>
        <v>#NAME?</v>
      </c>
    </row>
    <row r="170" spans="6:32" x14ac:dyDescent="0.25">
      <c r="F170" s="732">
        <v>0</v>
      </c>
      <c r="G170" s="733">
        <v>0</v>
      </c>
      <c r="H170" s="733">
        <v>0</v>
      </c>
      <c r="I170" s="733">
        <v>1</v>
      </c>
      <c r="J170" s="733">
        <v>0</v>
      </c>
      <c r="K170" s="733">
        <v>0</v>
      </c>
      <c r="L170" s="733">
        <v>0</v>
      </c>
      <c r="M170" s="733">
        <v>0</v>
      </c>
      <c r="N170" s="733">
        <v>0</v>
      </c>
      <c r="O170" s="733">
        <v>0</v>
      </c>
      <c r="P170" s="733">
        <v>0</v>
      </c>
      <c r="Q170" s="733">
        <v>0</v>
      </c>
      <c r="R170" s="733">
        <v>0</v>
      </c>
      <c r="S170" s="736">
        <v>0</v>
      </c>
      <c r="T170" s="737">
        <v>0</v>
      </c>
      <c r="U170" s="735">
        <v>306</v>
      </c>
      <c r="Y170">
        <v>5</v>
      </c>
      <c r="Z170" t="e">
        <f ca="1"/>
        <v>#NAME?</v>
      </c>
      <c r="AA170" t="e">
        <f ca="1"/>
        <v>#NAME?</v>
      </c>
      <c r="AB170" t="e">
        <f t="shared" ca="1" si="12"/>
        <v>#NAME?</v>
      </c>
      <c r="AC170" t="e">
        <f t="shared" ca="1" si="13"/>
        <v>#NAME?</v>
      </c>
      <c r="AD170" t="e">
        <f t="shared" ca="1" si="14"/>
        <v>#NAME?</v>
      </c>
      <c r="AE170" t="e">
        <f t="shared" ca="1" si="15"/>
        <v>#NAME?</v>
      </c>
      <c r="AF170" t="e">
        <f ca="1">VIF(F152:T193,4)</f>
        <v>#NAME?</v>
      </c>
    </row>
    <row r="171" spans="6:32" x14ac:dyDescent="0.25">
      <c r="F171" s="732">
        <v>0</v>
      </c>
      <c r="G171" s="733">
        <v>0</v>
      </c>
      <c r="H171" s="733">
        <v>0</v>
      </c>
      <c r="I171" s="733">
        <v>0</v>
      </c>
      <c r="J171" s="733">
        <v>1</v>
      </c>
      <c r="K171" s="733">
        <v>0</v>
      </c>
      <c r="L171" s="733">
        <v>0</v>
      </c>
      <c r="M171" s="733">
        <v>0</v>
      </c>
      <c r="N171" s="733">
        <v>0</v>
      </c>
      <c r="O171" s="733">
        <v>0</v>
      </c>
      <c r="P171" s="733">
        <v>0</v>
      </c>
      <c r="Q171" s="733">
        <v>0</v>
      </c>
      <c r="R171" s="733">
        <v>0</v>
      </c>
      <c r="S171" s="728">
        <v>1</v>
      </c>
      <c r="T171" s="730">
        <v>0</v>
      </c>
      <c r="U171" s="731">
        <v>172</v>
      </c>
      <c r="Y171">
        <v>6</v>
      </c>
      <c r="Z171" t="e">
        <f ca="1"/>
        <v>#NAME?</v>
      </c>
      <c r="AA171" t="e">
        <f ca="1"/>
        <v>#NAME?</v>
      </c>
      <c r="AB171" t="e">
        <f t="shared" ca="1" si="12"/>
        <v>#NAME?</v>
      </c>
      <c r="AC171" t="e">
        <f t="shared" ca="1" si="13"/>
        <v>#NAME?</v>
      </c>
      <c r="AD171" t="e">
        <f t="shared" ca="1" si="14"/>
        <v>#NAME?</v>
      </c>
      <c r="AE171" t="e">
        <f t="shared" ca="1" si="15"/>
        <v>#NAME?</v>
      </c>
      <c r="AF171" t="e">
        <f ca="1">VIF(F152:T193,5)</f>
        <v>#NAME?</v>
      </c>
    </row>
    <row r="172" spans="6:32" x14ac:dyDescent="0.25">
      <c r="F172" s="732">
        <v>0</v>
      </c>
      <c r="G172" s="733">
        <v>0</v>
      </c>
      <c r="H172" s="733">
        <v>0</v>
      </c>
      <c r="I172" s="733">
        <v>0</v>
      </c>
      <c r="J172" s="733">
        <v>0</v>
      </c>
      <c r="K172" s="733">
        <v>1</v>
      </c>
      <c r="L172" s="733">
        <v>0</v>
      </c>
      <c r="M172" s="733">
        <v>0</v>
      </c>
      <c r="N172" s="733">
        <v>0</v>
      </c>
      <c r="O172" s="733">
        <v>0</v>
      </c>
      <c r="P172" s="733">
        <v>0</v>
      </c>
      <c r="Q172" s="733">
        <v>0</v>
      </c>
      <c r="R172" s="733">
        <v>0</v>
      </c>
      <c r="S172" s="732">
        <v>1</v>
      </c>
      <c r="T172" s="734">
        <v>0</v>
      </c>
      <c r="U172" s="735">
        <v>116</v>
      </c>
      <c r="Y172">
        <v>7</v>
      </c>
      <c r="Z172" t="e">
        <f ca="1"/>
        <v>#NAME?</v>
      </c>
      <c r="AA172" t="e">
        <f ca="1"/>
        <v>#NAME?</v>
      </c>
      <c r="AB172" t="e">
        <f t="shared" ca="1" si="12"/>
        <v>#NAME?</v>
      </c>
      <c r="AC172" t="e">
        <f t="shared" ca="1" si="13"/>
        <v>#NAME?</v>
      </c>
      <c r="AD172" t="e">
        <f t="shared" ca="1" si="14"/>
        <v>#NAME?</v>
      </c>
      <c r="AE172" t="e">
        <f t="shared" ca="1" si="15"/>
        <v>#NAME?</v>
      </c>
      <c r="AF172" t="e">
        <f ca="1">VIF(F152:T193,6)</f>
        <v>#NAME?</v>
      </c>
    </row>
    <row r="173" spans="6:32" x14ac:dyDescent="0.25">
      <c r="F173" s="732">
        <v>0</v>
      </c>
      <c r="G173" s="733">
        <v>0</v>
      </c>
      <c r="H173" s="733">
        <v>0</v>
      </c>
      <c r="I173" s="733">
        <v>0</v>
      </c>
      <c r="J173" s="733">
        <v>0</v>
      </c>
      <c r="K173" s="733">
        <v>0</v>
      </c>
      <c r="L173" s="733">
        <v>1</v>
      </c>
      <c r="M173" s="733">
        <v>0</v>
      </c>
      <c r="N173" s="733">
        <v>0</v>
      </c>
      <c r="O173" s="733">
        <v>0</v>
      </c>
      <c r="P173" s="733">
        <v>0</v>
      </c>
      <c r="Q173" s="733">
        <v>0</v>
      </c>
      <c r="R173" s="733">
        <v>0</v>
      </c>
      <c r="S173" s="732">
        <v>1</v>
      </c>
      <c r="T173" s="734">
        <v>0</v>
      </c>
      <c r="U173" s="735">
        <v>168</v>
      </c>
      <c r="Y173">
        <v>8</v>
      </c>
      <c r="Z173" t="e">
        <f ca="1"/>
        <v>#NAME?</v>
      </c>
      <c r="AA173" t="e">
        <f ca="1"/>
        <v>#NAME?</v>
      </c>
      <c r="AB173" t="e">
        <f t="shared" ca="1" si="12"/>
        <v>#NAME?</v>
      </c>
      <c r="AC173" t="e">
        <f t="shared" ca="1" si="13"/>
        <v>#NAME?</v>
      </c>
      <c r="AD173" t="e">
        <f t="shared" ca="1" si="14"/>
        <v>#NAME?</v>
      </c>
      <c r="AE173" t="e">
        <f t="shared" ca="1" si="15"/>
        <v>#NAME?</v>
      </c>
      <c r="AF173" t="e">
        <f ca="1">VIF(F152:T193,7)</f>
        <v>#NAME?</v>
      </c>
    </row>
    <row r="174" spans="6:32" x14ac:dyDescent="0.25">
      <c r="F174" s="732">
        <v>0</v>
      </c>
      <c r="G174" s="733">
        <v>0</v>
      </c>
      <c r="H174" s="733">
        <v>0</v>
      </c>
      <c r="I174" s="733">
        <v>0</v>
      </c>
      <c r="J174" s="733">
        <v>0</v>
      </c>
      <c r="K174" s="733">
        <v>0</v>
      </c>
      <c r="L174" s="733">
        <v>0</v>
      </c>
      <c r="M174" s="733">
        <v>1</v>
      </c>
      <c r="N174" s="733">
        <v>0</v>
      </c>
      <c r="O174" s="733">
        <v>0</v>
      </c>
      <c r="P174" s="733">
        <v>0</v>
      </c>
      <c r="Q174" s="733">
        <v>0</v>
      </c>
      <c r="R174" s="733">
        <v>0</v>
      </c>
      <c r="S174" s="732">
        <v>1</v>
      </c>
      <c r="T174" s="734">
        <v>0</v>
      </c>
      <c r="U174" s="735">
        <v>81</v>
      </c>
      <c r="Y174">
        <v>9</v>
      </c>
      <c r="Z174" t="e">
        <f ca="1"/>
        <v>#NAME?</v>
      </c>
      <c r="AA174" t="e">
        <f ca="1"/>
        <v>#NAME?</v>
      </c>
      <c r="AB174" t="e">
        <f t="shared" ca="1" si="12"/>
        <v>#NAME?</v>
      </c>
      <c r="AC174" t="e">
        <f t="shared" ca="1" si="13"/>
        <v>#NAME?</v>
      </c>
      <c r="AD174" t="e">
        <f t="shared" ca="1" si="14"/>
        <v>#NAME?</v>
      </c>
      <c r="AE174" t="e">
        <f t="shared" ca="1" si="15"/>
        <v>#NAME?</v>
      </c>
      <c r="AF174" t="e">
        <f ca="1">VIF(F152:T193,8)</f>
        <v>#NAME?</v>
      </c>
    </row>
    <row r="175" spans="6:32" x14ac:dyDescent="0.25">
      <c r="F175" s="732">
        <v>0</v>
      </c>
      <c r="G175" s="733">
        <v>0</v>
      </c>
      <c r="H175" s="733">
        <v>0</v>
      </c>
      <c r="I175" s="733">
        <v>0</v>
      </c>
      <c r="J175" s="733">
        <v>0</v>
      </c>
      <c r="K175" s="733">
        <v>0</v>
      </c>
      <c r="L175" s="733">
        <v>0</v>
      </c>
      <c r="M175" s="733">
        <v>0</v>
      </c>
      <c r="N175" s="733">
        <v>1</v>
      </c>
      <c r="O175" s="733">
        <v>0</v>
      </c>
      <c r="P175" s="733">
        <v>0</v>
      </c>
      <c r="Q175" s="733">
        <v>0</v>
      </c>
      <c r="R175" s="733">
        <v>0</v>
      </c>
      <c r="S175" s="736">
        <v>1</v>
      </c>
      <c r="T175" s="737">
        <v>0</v>
      </c>
      <c r="U175" s="738">
        <v>54</v>
      </c>
      <c r="Y175">
        <v>10</v>
      </c>
      <c r="Z175" t="e">
        <f ca="1"/>
        <v>#NAME?</v>
      </c>
      <c r="AA175" t="e">
        <f ca="1"/>
        <v>#NAME?</v>
      </c>
      <c r="AB175" t="e">
        <f t="shared" ca="1" si="12"/>
        <v>#NAME?</v>
      </c>
      <c r="AC175" t="e">
        <f t="shared" ca="1" si="13"/>
        <v>#NAME?</v>
      </c>
      <c r="AD175" t="e">
        <f t="shared" ca="1" si="14"/>
        <v>#NAME?</v>
      </c>
      <c r="AE175" t="e">
        <f t="shared" ca="1" si="15"/>
        <v>#NAME?</v>
      </c>
      <c r="AF175" t="e">
        <f ca="1">VIF(F152:T193,9)</f>
        <v>#NAME?</v>
      </c>
    </row>
    <row r="176" spans="6:32" x14ac:dyDescent="0.25">
      <c r="F176" s="732">
        <v>0</v>
      </c>
      <c r="G176" s="733">
        <v>0</v>
      </c>
      <c r="H176" s="733">
        <v>0</v>
      </c>
      <c r="I176" s="733">
        <v>0</v>
      </c>
      <c r="J176" s="733">
        <v>0</v>
      </c>
      <c r="K176" s="733">
        <v>0</v>
      </c>
      <c r="L176" s="733">
        <v>0</v>
      </c>
      <c r="M176" s="733">
        <v>0</v>
      </c>
      <c r="N176" s="733">
        <v>0</v>
      </c>
      <c r="O176" s="733">
        <v>1</v>
      </c>
      <c r="P176" s="733">
        <v>0</v>
      </c>
      <c r="Q176" s="733">
        <v>0</v>
      </c>
      <c r="R176" s="733">
        <v>0</v>
      </c>
      <c r="S176" s="732">
        <v>0</v>
      </c>
      <c r="T176" s="734">
        <v>1</v>
      </c>
      <c r="U176" s="735">
        <v>124</v>
      </c>
      <c r="Y176">
        <v>11</v>
      </c>
      <c r="Z176" t="e">
        <f ca="1"/>
        <v>#NAME?</v>
      </c>
      <c r="AA176" t="e">
        <f ca="1"/>
        <v>#NAME?</v>
      </c>
      <c r="AB176" t="e">
        <f t="shared" ca="1" si="12"/>
        <v>#NAME?</v>
      </c>
      <c r="AC176" t="e">
        <f t="shared" ca="1" si="13"/>
        <v>#NAME?</v>
      </c>
      <c r="AD176" t="e">
        <f t="shared" ca="1" si="14"/>
        <v>#NAME?</v>
      </c>
      <c r="AE176" t="e">
        <f t="shared" ca="1" si="15"/>
        <v>#NAME?</v>
      </c>
      <c r="AF176" t="e">
        <f ca="1">VIF(F152:T193,10)</f>
        <v>#NAME?</v>
      </c>
    </row>
    <row r="177" spans="6:32" x14ac:dyDescent="0.25">
      <c r="F177" s="732">
        <v>0</v>
      </c>
      <c r="G177" s="733">
        <v>0</v>
      </c>
      <c r="H177" s="733">
        <v>0</v>
      </c>
      <c r="I177" s="733">
        <v>0</v>
      </c>
      <c r="J177" s="733">
        <v>0</v>
      </c>
      <c r="K177" s="733">
        <v>0</v>
      </c>
      <c r="L177" s="733">
        <v>0</v>
      </c>
      <c r="M177" s="733">
        <v>0</v>
      </c>
      <c r="N177" s="733">
        <v>0</v>
      </c>
      <c r="O177" s="733">
        <v>0</v>
      </c>
      <c r="P177" s="733">
        <v>1</v>
      </c>
      <c r="Q177" s="733">
        <v>0</v>
      </c>
      <c r="R177" s="733">
        <v>0</v>
      </c>
      <c r="S177" s="732">
        <v>0</v>
      </c>
      <c r="T177" s="734">
        <v>1</v>
      </c>
      <c r="U177" s="735">
        <v>266</v>
      </c>
      <c r="Y177">
        <v>12</v>
      </c>
      <c r="Z177" t="e">
        <f ca="1"/>
        <v>#NAME?</v>
      </c>
      <c r="AA177" t="e">
        <f ca="1"/>
        <v>#NAME?</v>
      </c>
      <c r="AB177" t="e">
        <f t="shared" ca="1" si="12"/>
        <v>#NAME?</v>
      </c>
      <c r="AC177" t="e">
        <f t="shared" ca="1" si="13"/>
        <v>#NAME?</v>
      </c>
      <c r="AD177" t="e">
        <f t="shared" ca="1" si="14"/>
        <v>#NAME?</v>
      </c>
      <c r="AE177" t="e">
        <f t="shared" ca="1" si="15"/>
        <v>#NAME?</v>
      </c>
      <c r="AF177" t="e">
        <f ca="1">VIF(F152:T193,11)</f>
        <v>#NAME?</v>
      </c>
    </row>
    <row r="178" spans="6:32" x14ac:dyDescent="0.25">
      <c r="F178" s="732">
        <v>0</v>
      </c>
      <c r="G178" s="733">
        <v>0</v>
      </c>
      <c r="H178" s="733">
        <v>0</v>
      </c>
      <c r="I178" s="733">
        <v>0</v>
      </c>
      <c r="J178" s="733">
        <v>0</v>
      </c>
      <c r="K178" s="733">
        <v>0</v>
      </c>
      <c r="L178" s="733">
        <v>0</v>
      </c>
      <c r="M178" s="733">
        <v>0</v>
      </c>
      <c r="N178" s="733">
        <v>0</v>
      </c>
      <c r="O178" s="733">
        <v>0</v>
      </c>
      <c r="P178" s="733">
        <v>0</v>
      </c>
      <c r="Q178" s="733">
        <v>1</v>
      </c>
      <c r="R178" s="733">
        <v>0</v>
      </c>
      <c r="S178" s="732">
        <v>0</v>
      </c>
      <c r="T178" s="734">
        <v>1</v>
      </c>
      <c r="U178" s="735">
        <v>207</v>
      </c>
      <c r="Y178">
        <v>13</v>
      </c>
      <c r="Z178" t="e">
        <f ca="1"/>
        <v>#NAME?</v>
      </c>
      <c r="AA178" t="e">
        <f ca="1"/>
        <v>#NAME?</v>
      </c>
      <c r="AB178" t="e">
        <f t="shared" ca="1" si="12"/>
        <v>#NAME?</v>
      </c>
      <c r="AC178" t="e">
        <f t="shared" ca="1" si="13"/>
        <v>#NAME?</v>
      </c>
      <c r="AD178" t="e">
        <f t="shared" ca="1" si="14"/>
        <v>#NAME?</v>
      </c>
      <c r="AE178" t="e">
        <f t="shared" ca="1" si="15"/>
        <v>#NAME?</v>
      </c>
      <c r="AF178" t="e">
        <f ca="1">VIF(F152:T193,12)</f>
        <v>#NAME?</v>
      </c>
    </row>
    <row r="179" spans="6:32" x14ac:dyDescent="0.25">
      <c r="F179" s="732">
        <v>0</v>
      </c>
      <c r="G179" s="733">
        <v>0</v>
      </c>
      <c r="H179" s="733">
        <v>0</v>
      </c>
      <c r="I179" s="733">
        <v>0</v>
      </c>
      <c r="J179" s="733">
        <v>0</v>
      </c>
      <c r="K179" s="733">
        <v>0</v>
      </c>
      <c r="L179" s="733">
        <v>0</v>
      </c>
      <c r="M179" s="733">
        <v>0</v>
      </c>
      <c r="N179" s="733">
        <v>0</v>
      </c>
      <c r="O179" s="733">
        <v>0</v>
      </c>
      <c r="P179" s="733">
        <v>0</v>
      </c>
      <c r="Q179" s="733">
        <v>0</v>
      </c>
      <c r="R179" s="733">
        <v>1</v>
      </c>
      <c r="S179" s="732">
        <v>0</v>
      </c>
      <c r="T179" s="734">
        <v>1</v>
      </c>
      <c r="U179" s="735">
        <v>285</v>
      </c>
      <c r="Y179">
        <v>14</v>
      </c>
      <c r="Z179" t="e">
        <f ca="1"/>
        <v>#NAME?</v>
      </c>
      <c r="AA179" t="e">
        <f ca="1"/>
        <v>#NAME?</v>
      </c>
      <c r="AB179" t="e">
        <f t="shared" ca="1" si="12"/>
        <v>#NAME?</v>
      </c>
      <c r="AC179" t="e">
        <f t="shared" ca="1" si="13"/>
        <v>#NAME?</v>
      </c>
      <c r="AD179" t="e">
        <f t="shared" ca="1" si="14"/>
        <v>#NAME?</v>
      </c>
      <c r="AE179" t="e">
        <f t="shared" ca="1" si="15"/>
        <v>#NAME?</v>
      </c>
      <c r="AF179" t="e">
        <f ca="1">VIF(F152:T193,13)</f>
        <v>#NAME?</v>
      </c>
    </row>
    <row r="180" spans="6:32" x14ac:dyDescent="0.25">
      <c r="F180" s="728">
        <v>0</v>
      </c>
      <c r="G180" s="729">
        <v>0</v>
      </c>
      <c r="H180" s="729">
        <v>0</v>
      </c>
      <c r="I180" s="729">
        <v>0</v>
      </c>
      <c r="J180" s="729">
        <v>0</v>
      </c>
      <c r="K180" s="729">
        <v>0</v>
      </c>
      <c r="L180" s="729">
        <v>0</v>
      </c>
      <c r="M180" s="729">
        <v>0</v>
      </c>
      <c r="N180" s="729">
        <v>0</v>
      </c>
      <c r="O180" s="729">
        <v>0</v>
      </c>
      <c r="P180" s="729">
        <v>0</v>
      </c>
      <c r="Q180" s="729">
        <v>0</v>
      </c>
      <c r="R180" s="729">
        <v>0</v>
      </c>
      <c r="S180" s="728">
        <v>0</v>
      </c>
      <c r="T180" s="730">
        <v>0</v>
      </c>
      <c r="U180" s="731">
        <v>442</v>
      </c>
      <c r="Y180" t="str">
        <v>mid</v>
      </c>
      <c r="Z180" t="e">
        <f ca="1"/>
        <v>#NAME?</v>
      </c>
      <c r="AA180" t="e">
        <f ca="1"/>
        <v>#NAME?</v>
      </c>
      <c r="AB180" t="e">
        <f t="shared" ca="1" si="12"/>
        <v>#NAME?</v>
      </c>
      <c r="AC180" t="e">
        <f t="shared" ca="1" si="13"/>
        <v>#NAME?</v>
      </c>
      <c r="AD180" t="e">
        <f t="shared" ca="1" si="14"/>
        <v>#NAME?</v>
      </c>
      <c r="AE180" t="e">
        <f t="shared" ca="1" si="15"/>
        <v>#NAME?</v>
      </c>
      <c r="AF180" t="e">
        <f ca="1">VIF(F152:T193,14)</f>
        <v>#NAME?</v>
      </c>
    </row>
    <row r="181" spans="6:32" x14ac:dyDescent="0.25">
      <c r="F181" s="732">
        <v>1</v>
      </c>
      <c r="G181" s="733">
        <v>0</v>
      </c>
      <c r="H181" s="733">
        <v>0</v>
      </c>
      <c r="I181" s="733">
        <v>0</v>
      </c>
      <c r="J181" s="733">
        <v>0</v>
      </c>
      <c r="K181" s="733">
        <v>0</v>
      </c>
      <c r="L181" s="733">
        <v>0</v>
      </c>
      <c r="M181" s="733">
        <v>0</v>
      </c>
      <c r="N181" s="733">
        <v>0</v>
      </c>
      <c r="O181" s="733">
        <v>0</v>
      </c>
      <c r="P181" s="733">
        <v>0</v>
      </c>
      <c r="Q181" s="733">
        <v>0</v>
      </c>
      <c r="R181" s="733">
        <v>0</v>
      </c>
      <c r="S181" s="732">
        <v>0</v>
      </c>
      <c r="T181" s="734">
        <v>0</v>
      </c>
      <c r="U181" s="735">
        <v>341</v>
      </c>
      <c r="Y181" s="354" t="str">
        <v>old</v>
      </c>
      <c r="Z181" s="354" t="e">
        <f ca="1"/>
        <v>#NAME?</v>
      </c>
      <c r="AA181" s="354" t="e">
        <f ca="1"/>
        <v>#NAME?</v>
      </c>
      <c r="AB181" s="354" t="e">
        <f t="shared" ca="1" si="12"/>
        <v>#NAME?</v>
      </c>
      <c r="AC181" s="354" t="e">
        <f t="shared" ca="1" si="13"/>
        <v>#NAME?</v>
      </c>
      <c r="AD181" s="354" t="e">
        <f t="shared" ca="1" si="14"/>
        <v>#NAME?</v>
      </c>
      <c r="AE181" s="354" t="e">
        <f t="shared" ca="1" si="15"/>
        <v>#NAME?</v>
      </c>
      <c r="AF181" s="354" t="e">
        <f ca="1">VIF(F152:T193,15)</f>
        <v>#NAME?</v>
      </c>
    </row>
    <row r="182" spans="6:32" x14ac:dyDescent="0.25">
      <c r="F182" s="732">
        <v>0</v>
      </c>
      <c r="G182" s="733">
        <v>1</v>
      </c>
      <c r="H182" s="733">
        <v>0</v>
      </c>
      <c r="I182" s="733">
        <v>0</v>
      </c>
      <c r="J182" s="733">
        <v>0</v>
      </c>
      <c r="K182" s="733">
        <v>0</v>
      </c>
      <c r="L182" s="733">
        <v>0</v>
      </c>
      <c r="M182" s="733">
        <v>0</v>
      </c>
      <c r="N182" s="733">
        <v>0</v>
      </c>
      <c r="O182" s="733">
        <v>0</v>
      </c>
      <c r="P182" s="733">
        <v>0</v>
      </c>
      <c r="Q182" s="733">
        <v>0</v>
      </c>
      <c r="R182" s="733">
        <v>0</v>
      </c>
      <c r="S182" s="732">
        <v>0</v>
      </c>
      <c r="T182" s="734">
        <v>0</v>
      </c>
      <c r="U182" s="735">
        <v>384</v>
      </c>
    </row>
    <row r="183" spans="6:32" x14ac:dyDescent="0.25">
      <c r="F183" s="732">
        <v>0</v>
      </c>
      <c r="G183" s="733">
        <v>0</v>
      </c>
      <c r="H183" s="733">
        <v>1</v>
      </c>
      <c r="I183" s="733">
        <v>0</v>
      </c>
      <c r="J183" s="733">
        <v>0</v>
      </c>
      <c r="K183" s="733">
        <v>0</v>
      </c>
      <c r="L183" s="733">
        <v>0</v>
      </c>
      <c r="M183" s="733">
        <v>0</v>
      </c>
      <c r="N183" s="733">
        <v>0</v>
      </c>
      <c r="O183" s="733">
        <v>0</v>
      </c>
      <c r="P183" s="733">
        <v>0</v>
      </c>
      <c r="Q183" s="733">
        <v>0</v>
      </c>
      <c r="R183" s="733">
        <v>0</v>
      </c>
      <c r="S183" s="732">
        <v>0</v>
      </c>
      <c r="T183" s="734">
        <v>0</v>
      </c>
      <c r="U183" s="735">
        <v>401</v>
      </c>
    </row>
    <row r="184" spans="6:32" x14ac:dyDescent="0.25">
      <c r="F184" s="732">
        <v>0</v>
      </c>
      <c r="G184" s="733">
        <v>0</v>
      </c>
      <c r="H184" s="733">
        <v>0</v>
      </c>
      <c r="I184" s="733">
        <v>1</v>
      </c>
      <c r="J184" s="733">
        <v>0</v>
      </c>
      <c r="K184" s="733">
        <v>0</v>
      </c>
      <c r="L184" s="733">
        <v>0</v>
      </c>
      <c r="M184" s="733">
        <v>0</v>
      </c>
      <c r="N184" s="733">
        <v>0</v>
      </c>
      <c r="O184" s="733">
        <v>0</v>
      </c>
      <c r="P184" s="733">
        <v>0</v>
      </c>
      <c r="Q184" s="733">
        <v>0</v>
      </c>
      <c r="R184" s="733">
        <v>0</v>
      </c>
      <c r="S184" s="736">
        <v>0</v>
      </c>
      <c r="T184" s="737">
        <v>0</v>
      </c>
      <c r="U184" s="738">
        <v>432</v>
      </c>
    </row>
    <row r="185" spans="6:32" x14ac:dyDescent="0.25">
      <c r="F185" s="732">
        <v>0</v>
      </c>
      <c r="G185" s="733">
        <v>0</v>
      </c>
      <c r="H185" s="733">
        <v>0</v>
      </c>
      <c r="I185" s="733">
        <v>0</v>
      </c>
      <c r="J185" s="733">
        <v>1</v>
      </c>
      <c r="K185" s="733">
        <v>0</v>
      </c>
      <c r="L185" s="733">
        <v>0</v>
      </c>
      <c r="M185" s="733">
        <v>0</v>
      </c>
      <c r="N185" s="733">
        <v>0</v>
      </c>
      <c r="O185" s="733">
        <v>0</v>
      </c>
      <c r="P185" s="733">
        <v>0</v>
      </c>
      <c r="Q185" s="733">
        <v>0</v>
      </c>
      <c r="R185" s="733">
        <v>0</v>
      </c>
      <c r="S185" s="728">
        <v>1</v>
      </c>
      <c r="T185" s="730">
        <v>0</v>
      </c>
      <c r="U185" s="731">
        <v>307</v>
      </c>
    </row>
    <row r="186" spans="6:32" x14ac:dyDescent="0.25">
      <c r="F186" s="732">
        <v>0</v>
      </c>
      <c r="G186" s="733">
        <v>0</v>
      </c>
      <c r="H186" s="733">
        <v>0</v>
      </c>
      <c r="I186" s="733">
        <v>0</v>
      </c>
      <c r="J186" s="733">
        <v>0</v>
      </c>
      <c r="K186" s="733">
        <v>1</v>
      </c>
      <c r="L186" s="733">
        <v>0</v>
      </c>
      <c r="M186" s="733">
        <v>0</v>
      </c>
      <c r="N186" s="733">
        <v>0</v>
      </c>
      <c r="O186" s="733">
        <v>0</v>
      </c>
      <c r="P186" s="733">
        <v>0</v>
      </c>
      <c r="Q186" s="733">
        <v>0</v>
      </c>
      <c r="R186" s="733">
        <v>0</v>
      </c>
      <c r="S186" s="732">
        <v>1</v>
      </c>
      <c r="T186" s="734">
        <v>0</v>
      </c>
      <c r="U186" s="735">
        <v>425</v>
      </c>
    </row>
    <row r="187" spans="6:32" x14ac:dyDescent="0.25">
      <c r="F187" s="732">
        <v>0</v>
      </c>
      <c r="G187" s="733">
        <v>0</v>
      </c>
      <c r="H187" s="733">
        <v>0</v>
      </c>
      <c r="I187" s="733">
        <v>0</v>
      </c>
      <c r="J187" s="733">
        <v>0</v>
      </c>
      <c r="K187" s="733">
        <v>0</v>
      </c>
      <c r="L187" s="733">
        <v>1</v>
      </c>
      <c r="M187" s="733">
        <v>0</v>
      </c>
      <c r="N187" s="733">
        <v>0</v>
      </c>
      <c r="O187" s="733">
        <v>0</v>
      </c>
      <c r="P187" s="733">
        <v>0</v>
      </c>
      <c r="Q187" s="733">
        <v>0</v>
      </c>
      <c r="R187" s="733">
        <v>0</v>
      </c>
      <c r="S187" s="732">
        <v>1</v>
      </c>
      <c r="T187" s="734">
        <v>0</v>
      </c>
      <c r="U187" s="735">
        <v>378</v>
      </c>
    </row>
    <row r="188" spans="6:32" x14ac:dyDescent="0.25">
      <c r="F188" s="732">
        <v>0</v>
      </c>
      <c r="G188" s="733">
        <v>0</v>
      </c>
      <c r="H188" s="733">
        <v>0</v>
      </c>
      <c r="I188" s="733">
        <v>0</v>
      </c>
      <c r="J188" s="733">
        <v>0</v>
      </c>
      <c r="K188" s="733">
        <v>0</v>
      </c>
      <c r="L188" s="733">
        <v>0</v>
      </c>
      <c r="M188" s="733">
        <v>1</v>
      </c>
      <c r="N188" s="733">
        <v>0</v>
      </c>
      <c r="O188" s="733">
        <v>0</v>
      </c>
      <c r="P188" s="733">
        <v>0</v>
      </c>
      <c r="Q188" s="733">
        <v>0</v>
      </c>
      <c r="R188" s="733">
        <v>0</v>
      </c>
      <c r="S188" s="732">
        <v>1</v>
      </c>
      <c r="T188" s="734">
        <v>0</v>
      </c>
      <c r="U188" s="735">
        <v>193</v>
      </c>
    </row>
    <row r="189" spans="6:32" x14ac:dyDescent="0.25">
      <c r="F189" s="732">
        <v>0</v>
      </c>
      <c r="G189" s="733">
        <v>0</v>
      </c>
      <c r="H189" s="733">
        <v>0</v>
      </c>
      <c r="I189" s="733">
        <v>0</v>
      </c>
      <c r="J189" s="733">
        <v>0</v>
      </c>
      <c r="K189" s="733">
        <v>0</v>
      </c>
      <c r="L189" s="733">
        <v>0</v>
      </c>
      <c r="M189" s="733">
        <v>0</v>
      </c>
      <c r="N189" s="733">
        <v>1</v>
      </c>
      <c r="O189" s="733">
        <v>0</v>
      </c>
      <c r="P189" s="733">
        <v>0</v>
      </c>
      <c r="Q189" s="733">
        <v>0</v>
      </c>
      <c r="R189" s="733">
        <v>0</v>
      </c>
      <c r="S189" s="736">
        <v>1</v>
      </c>
      <c r="T189" s="737">
        <v>0</v>
      </c>
      <c r="U189" s="738">
        <v>285</v>
      </c>
    </row>
    <row r="190" spans="6:32" x14ac:dyDescent="0.25">
      <c r="F190" s="732">
        <v>0</v>
      </c>
      <c r="G190" s="733">
        <v>0</v>
      </c>
      <c r="H190" s="733">
        <v>0</v>
      </c>
      <c r="I190" s="733">
        <v>0</v>
      </c>
      <c r="J190" s="733">
        <v>0</v>
      </c>
      <c r="K190" s="733">
        <v>0</v>
      </c>
      <c r="L190" s="733">
        <v>0</v>
      </c>
      <c r="M190" s="733">
        <v>0</v>
      </c>
      <c r="N190" s="733">
        <v>0</v>
      </c>
      <c r="O190" s="733">
        <v>1</v>
      </c>
      <c r="P190" s="733">
        <v>0</v>
      </c>
      <c r="Q190" s="733">
        <v>0</v>
      </c>
      <c r="R190" s="733">
        <v>0</v>
      </c>
      <c r="S190" s="732">
        <v>0</v>
      </c>
      <c r="T190" s="734">
        <v>1</v>
      </c>
      <c r="U190" s="735">
        <v>365</v>
      </c>
    </row>
    <row r="191" spans="6:32" x14ac:dyDescent="0.25">
      <c r="F191" s="732">
        <v>0</v>
      </c>
      <c r="G191" s="733">
        <v>0</v>
      </c>
      <c r="H191" s="733">
        <v>0</v>
      </c>
      <c r="I191" s="733">
        <v>0</v>
      </c>
      <c r="J191" s="733">
        <v>0</v>
      </c>
      <c r="K191" s="733">
        <v>0</v>
      </c>
      <c r="L191" s="733">
        <v>0</v>
      </c>
      <c r="M191" s="733">
        <v>0</v>
      </c>
      <c r="N191" s="733">
        <v>0</v>
      </c>
      <c r="O191" s="733">
        <v>0</v>
      </c>
      <c r="P191" s="733">
        <v>1</v>
      </c>
      <c r="Q191" s="733">
        <v>0</v>
      </c>
      <c r="R191" s="733">
        <v>0</v>
      </c>
      <c r="S191" s="732">
        <v>0</v>
      </c>
      <c r="T191" s="734">
        <v>1</v>
      </c>
      <c r="U191" s="735">
        <v>382</v>
      </c>
    </row>
    <row r="192" spans="6:32" x14ac:dyDescent="0.25">
      <c r="F192" s="732">
        <v>0</v>
      </c>
      <c r="G192" s="733">
        <v>0</v>
      </c>
      <c r="H192" s="733">
        <v>0</v>
      </c>
      <c r="I192" s="733">
        <v>0</v>
      </c>
      <c r="J192" s="733">
        <v>0</v>
      </c>
      <c r="K192" s="733">
        <v>0</v>
      </c>
      <c r="L192" s="733">
        <v>0</v>
      </c>
      <c r="M192" s="733">
        <v>0</v>
      </c>
      <c r="N192" s="733">
        <v>0</v>
      </c>
      <c r="O192" s="733">
        <v>0</v>
      </c>
      <c r="P192" s="733">
        <v>0</v>
      </c>
      <c r="Q192" s="733">
        <v>1</v>
      </c>
      <c r="R192" s="733">
        <v>0</v>
      </c>
      <c r="S192" s="732">
        <v>0</v>
      </c>
      <c r="T192" s="734">
        <v>1</v>
      </c>
      <c r="U192" s="735">
        <v>289</v>
      </c>
    </row>
    <row r="193" spans="6:31" x14ac:dyDescent="0.25">
      <c r="F193" s="736">
        <v>0</v>
      </c>
      <c r="G193" s="739">
        <v>0</v>
      </c>
      <c r="H193" s="739">
        <v>0</v>
      </c>
      <c r="I193" s="739">
        <v>0</v>
      </c>
      <c r="J193" s="739">
        <v>0</v>
      </c>
      <c r="K193" s="739">
        <v>0</v>
      </c>
      <c r="L193" s="739">
        <v>0</v>
      </c>
      <c r="M193" s="739">
        <v>0</v>
      </c>
      <c r="N193" s="739">
        <v>0</v>
      </c>
      <c r="O193" s="739">
        <v>0</v>
      </c>
      <c r="P193" s="739">
        <v>0</v>
      </c>
      <c r="Q193" s="739">
        <v>0</v>
      </c>
      <c r="R193" s="739">
        <v>1</v>
      </c>
      <c r="S193" s="736">
        <v>0</v>
      </c>
      <c r="T193" s="737">
        <v>1</v>
      </c>
      <c r="U193" s="738">
        <v>471</v>
      </c>
    </row>
    <row r="197" spans="6:31" x14ac:dyDescent="0.25">
      <c r="Y197" t="s">
        <v>1505</v>
      </c>
    </row>
    <row r="198" spans="6:31" x14ac:dyDescent="0.25">
      <c r="H198" s="720">
        <v>2</v>
      </c>
      <c r="I198" s="720">
        <v>3</v>
      </c>
      <c r="J198" s="720" t="s">
        <v>1497</v>
      </c>
      <c r="K198" s="720" t="s">
        <v>1498</v>
      </c>
      <c r="L198" t="s">
        <v>1506</v>
      </c>
      <c r="M198" s="720" t="s">
        <v>1507</v>
      </c>
      <c r="N198" t="s">
        <v>1508</v>
      </c>
      <c r="O198" s="720" t="s">
        <v>1509</v>
      </c>
      <c r="P198" t="s">
        <v>1499</v>
      </c>
    </row>
    <row r="199" spans="6:31" ht="15.75" thickBot="1" x14ac:dyDescent="0.3">
      <c r="H199" s="728">
        <v>0</v>
      </c>
      <c r="I199" s="730">
        <v>0</v>
      </c>
      <c r="J199" s="728">
        <v>0</v>
      </c>
      <c r="K199" s="730">
        <v>0</v>
      </c>
      <c r="L199" s="646">
        <f>H199*J199</f>
        <v>0</v>
      </c>
      <c r="M199" s="664">
        <f>H199*K199</f>
        <v>0</v>
      </c>
      <c r="N199" s="646">
        <f>I199*J199</f>
        <v>0</v>
      </c>
      <c r="O199" s="647">
        <f>I199*K199</f>
        <v>0</v>
      </c>
      <c r="P199" s="731">
        <v>250</v>
      </c>
      <c r="Y199" s="342" t="s">
        <v>799</v>
      </c>
      <c r="Z199" s="342"/>
      <c r="AB199" s="342"/>
      <c r="AC199" s="342"/>
    </row>
    <row r="200" spans="6:31" ht="15.75" thickTop="1" x14ac:dyDescent="0.25">
      <c r="H200" s="732">
        <v>0</v>
      </c>
      <c r="I200" s="734">
        <v>0</v>
      </c>
      <c r="J200" s="732">
        <v>0</v>
      </c>
      <c r="K200" s="734">
        <v>0</v>
      </c>
      <c r="L200" s="214">
        <f t="shared" ref="L200:L240" si="16">H200*J200</f>
        <v>0</v>
      </c>
      <c r="M200" s="7">
        <f t="shared" ref="M200:M240" si="17">H200*K200</f>
        <v>0</v>
      </c>
      <c r="N200" s="214">
        <f t="shared" ref="N200:N240" si="18">I200*J200</f>
        <v>0</v>
      </c>
      <c r="O200" s="215">
        <f t="shared" ref="O200:O240" si="19">I200*K200</f>
        <v>0</v>
      </c>
      <c r="P200" s="735">
        <v>65</v>
      </c>
      <c r="Y200" t="s">
        <v>123</v>
      </c>
      <c r="Z200" t="e">
        <f ca="1">SQRT(Z201)</f>
        <v>#NAME?</v>
      </c>
      <c r="AB200" t="s">
        <v>203</v>
      </c>
      <c r="AC200" t="e">
        <f ca="1">Z204*LN(AA209/Z204)+2*(Z208+1)</f>
        <v>#NAME?</v>
      </c>
    </row>
    <row r="201" spans="6:31" x14ac:dyDescent="0.25">
      <c r="H201" s="732">
        <v>0</v>
      </c>
      <c r="I201" s="734">
        <v>0</v>
      </c>
      <c r="J201" s="732">
        <v>0</v>
      </c>
      <c r="K201" s="734">
        <v>0</v>
      </c>
      <c r="L201" s="214">
        <f t="shared" si="16"/>
        <v>0</v>
      </c>
      <c r="M201" s="7">
        <f t="shared" si="17"/>
        <v>0</v>
      </c>
      <c r="N201" s="214">
        <f t="shared" si="18"/>
        <v>0</v>
      </c>
      <c r="O201" s="215">
        <f t="shared" si="19"/>
        <v>0</v>
      </c>
      <c r="P201" s="735">
        <v>251</v>
      </c>
      <c r="Y201" t="s">
        <v>120</v>
      </c>
      <c r="Z201" t="e">
        <f ca="1">AA208/AA210</f>
        <v>#NAME?</v>
      </c>
      <c r="AB201" t="s">
        <v>204</v>
      </c>
      <c r="AC201" t="e">
        <f ca="1">AC200+2*(Z208+2)*(Z208+3)/(Z204-Z208-3)</f>
        <v>#NAME?</v>
      </c>
    </row>
    <row r="202" spans="6:31" x14ac:dyDescent="0.25">
      <c r="H202" s="732">
        <v>0</v>
      </c>
      <c r="I202" s="734">
        <v>0</v>
      </c>
      <c r="J202" s="732">
        <v>0</v>
      </c>
      <c r="K202" s="734">
        <v>0</v>
      </c>
      <c r="L202" s="214">
        <f t="shared" si="16"/>
        <v>0</v>
      </c>
      <c r="M202" s="7">
        <f t="shared" si="17"/>
        <v>0</v>
      </c>
      <c r="N202" s="214">
        <f t="shared" si="18"/>
        <v>0</v>
      </c>
      <c r="O202" s="215">
        <f t="shared" si="19"/>
        <v>0</v>
      </c>
      <c r="P202" s="735">
        <v>103</v>
      </c>
      <c r="Y202" t="s">
        <v>124</v>
      </c>
      <c r="Z202" t="e">
        <f ca="1">1-(1-Z201)*(Z204-1)/(Z204-Z208-1)</f>
        <v>#NAME?</v>
      </c>
      <c r="AB202" s="354" t="s">
        <v>1353</v>
      </c>
      <c r="AC202" s="354" t="e">
        <f ca="1">Z204*LN(AA209/Z204)+(Z208+1)*LN(Z204)</f>
        <v>#NAME?</v>
      </c>
    </row>
    <row r="203" spans="6:31" x14ac:dyDescent="0.25">
      <c r="H203" s="732">
        <v>0</v>
      </c>
      <c r="I203" s="734">
        <v>0</v>
      </c>
      <c r="J203" s="736">
        <v>0</v>
      </c>
      <c r="K203" s="737">
        <v>0</v>
      </c>
      <c r="L203" s="214">
        <f t="shared" si="16"/>
        <v>0</v>
      </c>
      <c r="M203" s="7">
        <f t="shared" si="17"/>
        <v>0</v>
      </c>
      <c r="N203" s="214">
        <f t="shared" si="18"/>
        <v>0</v>
      </c>
      <c r="O203" s="215">
        <f t="shared" si="19"/>
        <v>0</v>
      </c>
      <c r="P203" s="738">
        <v>230</v>
      </c>
      <c r="Y203" t="s">
        <v>10</v>
      </c>
      <c r="Z203" t="e">
        <f ca="1">SQRT(AB209)</f>
        <v>#NAME?</v>
      </c>
    </row>
    <row r="204" spans="6:31" x14ac:dyDescent="0.25">
      <c r="H204" s="732">
        <v>0</v>
      </c>
      <c r="I204" s="734">
        <v>0</v>
      </c>
      <c r="J204" s="728">
        <v>1</v>
      </c>
      <c r="K204" s="730">
        <v>0</v>
      </c>
      <c r="L204" s="214">
        <f t="shared" si="16"/>
        <v>0</v>
      </c>
      <c r="M204" s="7">
        <f t="shared" si="17"/>
        <v>0</v>
      </c>
      <c r="N204" s="214">
        <f t="shared" si="18"/>
        <v>0</v>
      </c>
      <c r="O204" s="215">
        <f t="shared" si="19"/>
        <v>0</v>
      </c>
      <c r="P204" s="731">
        <v>54</v>
      </c>
      <c r="Y204" s="354" t="s">
        <v>55</v>
      </c>
      <c r="Z204" s="354">
        <f>COUNT(P199:P240)</f>
        <v>42</v>
      </c>
    </row>
    <row r="205" spans="6:31" x14ac:dyDescent="0.25">
      <c r="H205" s="732">
        <v>0</v>
      </c>
      <c r="I205" s="734">
        <v>0</v>
      </c>
      <c r="J205" s="732">
        <v>1</v>
      </c>
      <c r="K205" s="734">
        <v>0</v>
      </c>
      <c r="L205" s="214">
        <f t="shared" si="16"/>
        <v>0</v>
      </c>
      <c r="M205" s="7">
        <f t="shared" si="17"/>
        <v>0</v>
      </c>
      <c r="N205" s="214">
        <f t="shared" si="18"/>
        <v>0</v>
      </c>
      <c r="O205" s="215">
        <f t="shared" si="19"/>
        <v>0</v>
      </c>
      <c r="P205" s="735">
        <v>20</v>
      </c>
    </row>
    <row r="206" spans="6:31" ht="15.75" thickBot="1" x14ac:dyDescent="0.3">
      <c r="H206" s="732">
        <v>0</v>
      </c>
      <c r="I206" s="734">
        <v>0</v>
      </c>
      <c r="J206" s="732">
        <v>1</v>
      </c>
      <c r="K206" s="734">
        <v>0</v>
      </c>
      <c r="L206" s="214">
        <f t="shared" si="16"/>
        <v>0</v>
      </c>
      <c r="M206" s="7">
        <f t="shared" si="17"/>
        <v>0</v>
      </c>
      <c r="N206" s="214">
        <f t="shared" si="18"/>
        <v>0</v>
      </c>
      <c r="O206" s="215">
        <f t="shared" si="19"/>
        <v>0</v>
      </c>
      <c r="P206" s="735">
        <v>41</v>
      </c>
      <c r="Y206" t="s">
        <v>125</v>
      </c>
      <c r="AC206" s="720" t="s">
        <v>18</v>
      </c>
      <c r="AD206" s="720">
        <v>0.05</v>
      </c>
    </row>
    <row r="207" spans="6:31" ht="15.75" thickTop="1" x14ac:dyDescent="0.25">
      <c r="H207" s="732">
        <v>0</v>
      </c>
      <c r="I207" s="734">
        <v>0</v>
      </c>
      <c r="J207" s="732">
        <v>1</v>
      </c>
      <c r="K207" s="734">
        <v>0</v>
      </c>
      <c r="L207" s="214">
        <f t="shared" si="16"/>
        <v>0</v>
      </c>
      <c r="M207" s="7">
        <f t="shared" si="17"/>
        <v>0</v>
      </c>
      <c r="N207" s="214">
        <f t="shared" si="18"/>
        <v>0</v>
      </c>
      <c r="O207" s="215">
        <f t="shared" si="19"/>
        <v>0</v>
      </c>
      <c r="P207" s="735">
        <v>29</v>
      </c>
      <c r="Y207" s="386"/>
      <c r="Z207" s="386" t="s">
        <v>41</v>
      </c>
      <c r="AA207" s="386" t="s">
        <v>111</v>
      </c>
      <c r="AB207" s="386" t="s">
        <v>115</v>
      </c>
      <c r="AC207" s="386" t="s">
        <v>98</v>
      </c>
      <c r="AD207" s="386" t="s">
        <v>48</v>
      </c>
      <c r="AE207" s="386" t="s">
        <v>164</v>
      </c>
    </row>
    <row r="208" spans="6:31" x14ac:dyDescent="0.25">
      <c r="H208" s="732">
        <v>0</v>
      </c>
      <c r="I208" s="734">
        <v>0</v>
      </c>
      <c r="J208" s="736">
        <v>1</v>
      </c>
      <c r="K208" s="737">
        <v>0</v>
      </c>
      <c r="L208" s="214">
        <f t="shared" si="16"/>
        <v>0</v>
      </c>
      <c r="M208" s="7">
        <f t="shared" si="17"/>
        <v>0</v>
      </c>
      <c r="N208" s="214">
        <f t="shared" si="18"/>
        <v>0</v>
      </c>
      <c r="O208" s="215">
        <f t="shared" si="19"/>
        <v>0</v>
      </c>
      <c r="P208" s="738">
        <v>3</v>
      </c>
      <c r="Y208" t="s">
        <v>113</v>
      </c>
      <c r="Z208">
        <f>COUNT(H199:O199)</f>
        <v>8</v>
      </c>
      <c r="AA208" t="e">
        <f ca="1">DEVSQ(MMULT(DESIGN(H199:O240),Z213:Z221))</f>
        <v>#NAME?</v>
      </c>
      <c r="AB208" t="e">
        <f ca="1">AA208/Z208</f>
        <v>#NAME?</v>
      </c>
      <c r="AC208" t="e">
        <f ca="1">AB208/AB209</f>
        <v>#NAME?</v>
      </c>
      <c r="AD208" t="e">
        <f ca="1">FDIST(AC208,Z208,Z209)</f>
        <v>#NAME?</v>
      </c>
      <c r="AE208" s="720" t="e">
        <f ca="1">IF(AD208&lt;AD206,"yes","no")</f>
        <v>#NAME?</v>
      </c>
    </row>
    <row r="209" spans="8:32" x14ac:dyDescent="0.25">
      <c r="H209" s="732">
        <v>0</v>
      </c>
      <c r="I209" s="734">
        <v>0</v>
      </c>
      <c r="J209" s="732">
        <v>0</v>
      </c>
      <c r="K209" s="734">
        <v>1</v>
      </c>
      <c r="L209" s="214">
        <f t="shared" si="16"/>
        <v>0</v>
      </c>
      <c r="M209" s="7">
        <f t="shared" si="17"/>
        <v>0</v>
      </c>
      <c r="N209" s="214">
        <f t="shared" si="18"/>
        <v>0</v>
      </c>
      <c r="O209" s="215">
        <f t="shared" si="19"/>
        <v>0</v>
      </c>
      <c r="P209" s="735">
        <v>118</v>
      </c>
      <c r="Y209" t="s">
        <v>126</v>
      </c>
      <c r="Z209">
        <f>Z210-Z208</f>
        <v>33</v>
      </c>
      <c r="AA209" t="e">
        <f ca="1">AA210-AA208</f>
        <v>#NAME?</v>
      </c>
      <c r="AB209" t="e">
        <f ca="1">AA209/Z209</f>
        <v>#NAME?</v>
      </c>
    </row>
    <row r="210" spans="8:32" x14ac:dyDescent="0.25">
      <c r="H210" s="732">
        <v>0</v>
      </c>
      <c r="I210" s="734">
        <v>0</v>
      </c>
      <c r="J210" s="732">
        <v>0</v>
      </c>
      <c r="K210" s="734">
        <v>1</v>
      </c>
      <c r="L210" s="214">
        <f t="shared" si="16"/>
        <v>0</v>
      </c>
      <c r="M210" s="7">
        <f t="shared" si="17"/>
        <v>0</v>
      </c>
      <c r="N210" s="214">
        <f t="shared" si="18"/>
        <v>0</v>
      </c>
      <c r="O210" s="215">
        <f t="shared" si="19"/>
        <v>0</v>
      </c>
      <c r="P210" s="735">
        <v>83</v>
      </c>
      <c r="Y210" s="354" t="s">
        <v>1</v>
      </c>
      <c r="Z210" s="354">
        <f>Z204-1</f>
        <v>41</v>
      </c>
      <c r="AA210" s="354">
        <f>DEVSQ(P199:P240)</f>
        <v>765790.4761904761</v>
      </c>
      <c r="AB210" s="354"/>
      <c r="AC210" s="354"/>
      <c r="AD210" s="354"/>
      <c r="AE210" s="354"/>
    </row>
    <row r="211" spans="8:32" ht="15.75" thickBot="1" x14ac:dyDescent="0.3">
      <c r="H211" s="732">
        <v>0</v>
      </c>
      <c r="I211" s="734">
        <v>0</v>
      </c>
      <c r="J211" s="732">
        <v>0</v>
      </c>
      <c r="K211" s="734">
        <v>1</v>
      </c>
      <c r="L211" s="214">
        <f t="shared" si="16"/>
        <v>0</v>
      </c>
      <c r="M211" s="7">
        <f t="shared" si="17"/>
        <v>0</v>
      </c>
      <c r="N211" s="214">
        <f t="shared" si="18"/>
        <v>0</v>
      </c>
      <c r="O211" s="215">
        <f t="shared" si="19"/>
        <v>0</v>
      </c>
      <c r="P211" s="735">
        <v>38</v>
      </c>
    </row>
    <row r="212" spans="8:32" ht="15.75" thickTop="1" x14ac:dyDescent="0.25">
      <c r="H212" s="732">
        <v>0</v>
      </c>
      <c r="I212" s="734">
        <v>0</v>
      </c>
      <c r="J212" s="732">
        <v>0</v>
      </c>
      <c r="K212" s="734">
        <v>1</v>
      </c>
      <c r="L212" s="214">
        <f t="shared" si="16"/>
        <v>0</v>
      </c>
      <c r="M212" s="7">
        <f t="shared" si="17"/>
        <v>0</v>
      </c>
      <c r="N212" s="214">
        <f t="shared" si="18"/>
        <v>0</v>
      </c>
      <c r="O212" s="215">
        <f t="shared" si="19"/>
        <v>0</v>
      </c>
      <c r="P212" s="735">
        <v>71</v>
      </c>
      <c r="Y212" s="386"/>
      <c r="Z212" s="386" t="s">
        <v>797</v>
      </c>
      <c r="AA212" s="386" t="s">
        <v>390</v>
      </c>
      <c r="AB212" s="386" t="s">
        <v>42</v>
      </c>
      <c r="AC212" s="386" t="s">
        <v>48</v>
      </c>
      <c r="AD212" s="386" t="s">
        <v>15</v>
      </c>
      <c r="AE212" s="386" t="s">
        <v>16</v>
      </c>
      <c r="AF212" s="386" t="s">
        <v>1352</v>
      </c>
    </row>
    <row r="213" spans="8:32" x14ac:dyDescent="0.25">
      <c r="H213" s="728">
        <v>1</v>
      </c>
      <c r="I213" s="730">
        <v>0</v>
      </c>
      <c r="J213" s="729">
        <v>0</v>
      </c>
      <c r="K213" s="730">
        <v>0</v>
      </c>
      <c r="L213" s="214">
        <f t="shared" si="16"/>
        <v>0</v>
      </c>
      <c r="M213" s="7">
        <f t="shared" si="17"/>
        <v>0</v>
      </c>
      <c r="N213" s="214">
        <f t="shared" si="18"/>
        <v>0</v>
      </c>
      <c r="O213" s="215">
        <f t="shared" si="19"/>
        <v>0</v>
      </c>
      <c r="P213" s="731">
        <v>278</v>
      </c>
      <c r="Y213" t="s">
        <v>127</v>
      </c>
      <c r="Z213" t="e">
        <f t="array" aca="1" ref="Z213:AA221" ca="1">RegCoeff(H199:O240,P199:P240)</f>
        <v>#NAME?</v>
      </c>
      <c r="AA213" t="e">
        <f ca="1"/>
        <v>#NAME?</v>
      </c>
      <c r="AB213" t="e">
        <f ca="1">Z213/AA213</f>
        <v>#NAME?</v>
      </c>
      <c r="AC213" t="e">
        <f ca="1">TDIST(ABS(AB213),$Z$209,2)</f>
        <v>#NAME?</v>
      </c>
      <c r="AD213" t="e">
        <f ca="1">Z213-TINV(AD$206,$Z$209)*AA213</f>
        <v>#NAME?</v>
      </c>
      <c r="AE213" t="e">
        <f ca="1">Z213+TINV(AD$206,$Z$209)*AA213</f>
        <v>#NAME?</v>
      </c>
    </row>
    <row r="214" spans="8:32" x14ac:dyDescent="0.25">
      <c r="H214" s="732">
        <v>1</v>
      </c>
      <c r="I214" s="734">
        <v>0</v>
      </c>
      <c r="J214" s="733">
        <v>0</v>
      </c>
      <c r="K214" s="734">
        <v>0</v>
      </c>
      <c r="L214" s="214">
        <f t="shared" si="16"/>
        <v>0</v>
      </c>
      <c r="M214" s="7">
        <f t="shared" si="17"/>
        <v>0</v>
      </c>
      <c r="N214" s="214">
        <f t="shared" si="18"/>
        <v>0</v>
      </c>
      <c r="O214" s="215">
        <f t="shared" si="19"/>
        <v>0</v>
      </c>
      <c r="P214" s="735">
        <v>207</v>
      </c>
      <c r="Y214">
        <f t="array" ref="Y214:Y221">TRANSPOSE(H198:O198)</f>
        <v>2</v>
      </c>
      <c r="Z214" t="e">
        <f ca="1"/>
        <v>#NAME?</v>
      </c>
      <c r="AA214" t="e">
        <f ca="1"/>
        <v>#NAME?</v>
      </c>
      <c r="AB214" t="e">
        <f t="shared" ref="AB214:AB221" ca="1" si="20">Z214/AA214</f>
        <v>#NAME?</v>
      </c>
      <c r="AC214" t="e">
        <f t="shared" ref="AC214:AC221" ca="1" si="21">TDIST(ABS(AB214),$Z$209,2)</f>
        <v>#NAME?</v>
      </c>
      <c r="AD214" t="e">
        <f t="shared" ref="AD214:AD221" ca="1" si="22">Z214-TINV(AD$206,$Z$209)*AA214</f>
        <v>#NAME?</v>
      </c>
      <c r="AE214" t="e">
        <f t="shared" ref="AE214:AE221" ca="1" si="23">Z214+TINV(AD$206,$Z$209)*AA214</f>
        <v>#NAME?</v>
      </c>
      <c r="AF214" t="e">
        <f ca="1">VIF(H199:O240,1)</f>
        <v>#NAME?</v>
      </c>
    </row>
    <row r="215" spans="8:32" x14ac:dyDescent="0.25">
      <c r="H215" s="732">
        <v>1</v>
      </c>
      <c r="I215" s="734">
        <v>0</v>
      </c>
      <c r="J215" s="733">
        <v>0</v>
      </c>
      <c r="K215" s="734">
        <v>0</v>
      </c>
      <c r="L215" s="214">
        <f t="shared" si="16"/>
        <v>0</v>
      </c>
      <c r="M215" s="7">
        <f t="shared" si="17"/>
        <v>0</v>
      </c>
      <c r="N215" s="214">
        <f t="shared" si="18"/>
        <v>0</v>
      </c>
      <c r="O215" s="215">
        <f t="shared" si="19"/>
        <v>0</v>
      </c>
      <c r="P215" s="735">
        <v>261</v>
      </c>
      <c r="Y215">
        <v>3</v>
      </c>
      <c r="Z215" t="e">
        <f ca="1"/>
        <v>#NAME?</v>
      </c>
      <c r="AA215" t="e">
        <f ca="1"/>
        <v>#NAME?</v>
      </c>
      <c r="AB215" t="e">
        <f t="shared" ca="1" si="20"/>
        <v>#NAME?</v>
      </c>
      <c r="AC215" t="e">
        <f t="shared" ca="1" si="21"/>
        <v>#NAME?</v>
      </c>
      <c r="AD215" t="e">
        <f t="shared" ca="1" si="22"/>
        <v>#NAME?</v>
      </c>
      <c r="AE215" t="e">
        <f t="shared" ca="1" si="23"/>
        <v>#NAME?</v>
      </c>
      <c r="AF215" t="e">
        <f ca="1">VIF(H199:O240,2)</f>
        <v>#NAME?</v>
      </c>
    </row>
    <row r="216" spans="8:32" x14ac:dyDescent="0.25">
      <c r="H216" s="732">
        <v>1</v>
      </c>
      <c r="I216" s="734">
        <v>0</v>
      </c>
      <c r="J216" s="733">
        <v>0</v>
      </c>
      <c r="K216" s="734">
        <v>0</v>
      </c>
      <c r="L216" s="214">
        <f t="shared" si="16"/>
        <v>0</v>
      </c>
      <c r="M216" s="7">
        <f t="shared" si="17"/>
        <v>0</v>
      </c>
      <c r="N216" s="214">
        <f t="shared" si="18"/>
        <v>0</v>
      </c>
      <c r="O216" s="215">
        <f t="shared" si="19"/>
        <v>0</v>
      </c>
      <c r="P216" s="735">
        <v>286</v>
      </c>
      <c r="Y216" t="str">
        <v>mid</v>
      </c>
      <c r="Z216" t="e">
        <f ca="1"/>
        <v>#NAME?</v>
      </c>
      <c r="AA216" t="e">
        <f ca="1"/>
        <v>#NAME?</v>
      </c>
      <c r="AB216" t="e">
        <f t="shared" ca="1" si="20"/>
        <v>#NAME?</v>
      </c>
      <c r="AC216" t="e">
        <f t="shared" ca="1" si="21"/>
        <v>#NAME?</v>
      </c>
      <c r="AD216" t="e">
        <f t="shared" ca="1" si="22"/>
        <v>#NAME?</v>
      </c>
      <c r="AE216" t="e">
        <f t="shared" ca="1" si="23"/>
        <v>#NAME?</v>
      </c>
      <c r="AF216" t="e">
        <f ca="1">VIF(H199:O240,3)</f>
        <v>#NAME?</v>
      </c>
    </row>
    <row r="217" spans="8:32" x14ac:dyDescent="0.25">
      <c r="H217" s="732">
        <v>1</v>
      </c>
      <c r="I217" s="734">
        <v>0</v>
      </c>
      <c r="J217" s="739">
        <v>0</v>
      </c>
      <c r="K217" s="737">
        <v>0</v>
      </c>
      <c r="L217" s="214">
        <f t="shared" si="16"/>
        <v>0</v>
      </c>
      <c r="M217" s="7">
        <f t="shared" si="17"/>
        <v>0</v>
      </c>
      <c r="N217" s="214">
        <f t="shared" si="18"/>
        <v>0</v>
      </c>
      <c r="O217" s="215">
        <f t="shared" si="19"/>
        <v>0</v>
      </c>
      <c r="P217" s="735">
        <v>306</v>
      </c>
      <c r="Y217" t="str">
        <v>old</v>
      </c>
      <c r="Z217" t="e">
        <f ca="1"/>
        <v>#NAME?</v>
      </c>
      <c r="AA217" t="e">
        <f ca="1"/>
        <v>#NAME?</v>
      </c>
      <c r="AB217" t="e">
        <f t="shared" ca="1" si="20"/>
        <v>#NAME?</v>
      </c>
      <c r="AC217" t="e">
        <f t="shared" ca="1" si="21"/>
        <v>#NAME?</v>
      </c>
      <c r="AD217" t="e">
        <f t="shared" ca="1" si="22"/>
        <v>#NAME?</v>
      </c>
      <c r="AE217" t="e">
        <f t="shared" ca="1" si="23"/>
        <v>#NAME?</v>
      </c>
      <c r="AF217" t="e">
        <f ca="1">VIF(H199:O240,4)</f>
        <v>#NAME?</v>
      </c>
    </row>
    <row r="218" spans="8:32" x14ac:dyDescent="0.25">
      <c r="H218" s="732">
        <v>1</v>
      </c>
      <c r="I218" s="734">
        <v>0</v>
      </c>
      <c r="J218" s="729">
        <v>1</v>
      </c>
      <c r="K218" s="730">
        <v>0</v>
      </c>
      <c r="L218" s="214">
        <f t="shared" si="16"/>
        <v>1</v>
      </c>
      <c r="M218" s="7">
        <f t="shared" si="17"/>
        <v>0</v>
      </c>
      <c r="N218" s="214">
        <f t="shared" si="18"/>
        <v>0</v>
      </c>
      <c r="O218" s="215">
        <f t="shared" si="19"/>
        <v>0</v>
      </c>
      <c r="P218" s="731">
        <v>172</v>
      </c>
      <c r="Y218" t="str">
        <v>mid2</v>
      </c>
      <c r="Z218" t="e">
        <f ca="1"/>
        <v>#NAME?</v>
      </c>
      <c r="AA218" t="e">
        <f ca="1"/>
        <v>#NAME?</v>
      </c>
      <c r="AB218" t="e">
        <f t="shared" ca="1" si="20"/>
        <v>#NAME?</v>
      </c>
      <c r="AC218" t="e">
        <f t="shared" ca="1" si="21"/>
        <v>#NAME?</v>
      </c>
      <c r="AD218" t="e">
        <f t="shared" ca="1" si="22"/>
        <v>#NAME?</v>
      </c>
      <c r="AE218" t="e">
        <f t="shared" ca="1" si="23"/>
        <v>#NAME?</v>
      </c>
      <c r="AF218" t="e">
        <f ca="1">VIF(H199:O240,5)</f>
        <v>#NAME?</v>
      </c>
    </row>
    <row r="219" spans="8:32" x14ac:dyDescent="0.25">
      <c r="H219" s="732">
        <v>1</v>
      </c>
      <c r="I219" s="734">
        <v>0</v>
      </c>
      <c r="J219" s="733">
        <v>1</v>
      </c>
      <c r="K219" s="734">
        <v>0</v>
      </c>
      <c r="L219" s="214">
        <f t="shared" si="16"/>
        <v>1</v>
      </c>
      <c r="M219" s="7">
        <f t="shared" si="17"/>
        <v>0</v>
      </c>
      <c r="N219" s="214">
        <f t="shared" si="18"/>
        <v>0</v>
      </c>
      <c r="O219" s="215">
        <f t="shared" si="19"/>
        <v>0</v>
      </c>
      <c r="P219" s="735">
        <v>116</v>
      </c>
      <c r="Y219" t="str">
        <v>old2</v>
      </c>
      <c r="Z219" t="e">
        <f ca="1"/>
        <v>#NAME?</v>
      </c>
      <c r="AA219" t="e">
        <f ca="1"/>
        <v>#NAME?</v>
      </c>
      <c r="AB219" t="e">
        <f t="shared" ca="1" si="20"/>
        <v>#NAME?</v>
      </c>
      <c r="AC219" t="e">
        <f t="shared" ca="1" si="21"/>
        <v>#NAME?</v>
      </c>
      <c r="AD219" t="e">
        <f t="shared" ca="1" si="22"/>
        <v>#NAME?</v>
      </c>
      <c r="AE219" t="e">
        <f t="shared" ca="1" si="23"/>
        <v>#NAME?</v>
      </c>
      <c r="AF219" t="e">
        <f ca="1">VIF(H199:O240,6)</f>
        <v>#NAME?</v>
      </c>
    </row>
    <row r="220" spans="8:32" x14ac:dyDescent="0.25">
      <c r="H220" s="732">
        <v>1</v>
      </c>
      <c r="I220" s="734">
        <v>0</v>
      </c>
      <c r="J220" s="733">
        <v>1</v>
      </c>
      <c r="K220" s="734">
        <v>0</v>
      </c>
      <c r="L220" s="214">
        <f t="shared" si="16"/>
        <v>1</v>
      </c>
      <c r="M220" s="7">
        <f t="shared" si="17"/>
        <v>0</v>
      </c>
      <c r="N220" s="214">
        <f t="shared" si="18"/>
        <v>0</v>
      </c>
      <c r="O220" s="215">
        <f t="shared" si="19"/>
        <v>0</v>
      </c>
      <c r="P220" s="735">
        <v>168</v>
      </c>
      <c r="Y220" t="str">
        <v>mid3</v>
      </c>
      <c r="Z220" t="e">
        <f ca="1"/>
        <v>#NAME?</v>
      </c>
      <c r="AA220" t="e">
        <f ca="1"/>
        <v>#NAME?</v>
      </c>
      <c r="AB220" t="e">
        <f t="shared" ca="1" si="20"/>
        <v>#NAME?</v>
      </c>
      <c r="AC220" t="e">
        <f t="shared" ca="1" si="21"/>
        <v>#NAME?</v>
      </c>
      <c r="AD220" t="e">
        <f t="shared" ca="1" si="22"/>
        <v>#NAME?</v>
      </c>
      <c r="AE220" t="e">
        <f t="shared" ca="1" si="23"/>
        <v>#NAME?</v>
      </c>
      <c r="AF220" t="e">
        <f ca="1">VIF(H199:O240,7)</f>
        <v>#NAME?</v>
      </c>
    </row>
    <row r="221" spans="8:32" x14ac:dyDescent="0.25">
      <c r="H221" s="732">
        <v>1</v>
      </c>
      <c r="I221" s="734">
        <v>0</v>
      </c>
      <c r="J221" s="733">
        <v>1</v>
      </c>
      <c r="K221" s="734">
        <v>0</v>
      </c>
      <c r="L221" s="214">
        <f t="shared" si="16"/>
        <v>1</v>
      </c>
      <c r="M221" s="7">
        <f t="shared" si="17"/>
        <v>0</v>
      </c>
      <c r="N221" s="214">
        <f t="shared" si="18"/>
        <v>0</v>
      </c>
      <c r="O221" s="215">
        <f t="shared" si="19"/>
        <v>0</v>
      </c>
      <c r="P221" s="735">
        <v>81</v>
      </c>
      <c r="Y221" s="354" t="str">
        <v>old3</v>
      </c>
      <c r="Z221" s="354" t="e">
        <f ca="1"/>
        <v>#NAME?</v>
      </c>
      <c r="AA221" s="354" t="e">
        <f ca="1"/>
        <v>#NAME?</v>
      </c>
      <c r="AB221" s="354" t="e">
        <f t="shared" ca="1" si="20"/>
        <v>#NAME?</v>
      </c>
      <c r="AC221" s="354" t="e">
        <f t="shared" ca="1" si="21"/>
        <v>#NAME?</v>
      </c>
      <c r="AD221" s="354" t="e">
        <f t="shared" ca="1" si="22"/>
        <v>#NAME?</v>
      </c>
      <c r="AE221" s="354" t="e">
        <f t="shared" ca="1" si="23"/>
        <v>#NAME?</v>
      </c>
      <c r="AF221" s="354" t="e">
        <f ca="1">VIF(H199:O240,8)</f>
        <v>#NAME?</v>
      </c>
    </row>
    <row r="222" spans="8:32" x14ac:dyDescent="0.25">
      <c r="H222" s="732">
        <v>1</v>
      </c>
      <c r="I222" s="734">
        <v>0</v>
      </c>
      <c r="J222" s="739">
        <v>1</v>
      </c>
      <c r="K222" s="737">
        <v>0</v>
      </c>
      <c r="L222" s="214">
        <f t="shared" si="16"/>
        <v>1</v>
      </c>
      <c r="M222" s="7">
        <f t="shared" si="17"/>
        <v>0</v>
      </c>
      <c r="N222" s="214">
        <f t="shared" si="18"/>
        <v>0</v>
      </c>
      <c r="O222" s="215">
        <f t="shared" si="19"/>
        <v>0</v>
      </c>
      <c r="P222" s="738">
        <v>54</v>
      </c>
    </row>
    <row r="223" spans="8:32" x14ac:dyDescent="0.25">
      <c r="H223" s="732">
        <v>1</v>
      </c>
      <c r="I223" s="734">
        <v>0</v>
      </c>
      <c r="J223" s="733">
        <v>0</v>
      </c>
      <c r="K223" s="734">
        <v>1</v>
      </c>
      <c r="L223" s="214">
        <f t="shared" si="16"/>
        <v>0</v>
      </c>
      <c r="M223" s="7">
        <f t="shared" si="17"/>
        <v>1</v>
      </c>
      <c r="N223" s="214">
        <f t="shared" si="18"/>
        <v>0</v>
      </c>
      <c r="O223" s="215">
        <f t="shared" si="19"/>
        <v>0</v>
      </c>
      <c r="P223" s="735">
        <v>124</v>
      </c>
    </row>
    <row r="224" spans="8:32" x14ac:dyDescent="0.25">
      <c r="H224" s="732">
        <v>1</v>
      </c>
      <c r="I224" s="734">
        <v>0</v>
      </c>
      <c r="J224" s="733">
        <v>0</v>
      </c>
      <c r="K224" s="734">
        <v>1</v>
      </c>
      <c r="L224" s="214">
        <f t="shared" si="16"/>
        <v>0</v>
      </c>
      <c r="M224" s="7">
        <f t="shared" si="17"/>
        <v>1</v>
      </c>
      <c r="N224" s="214">
        <f t="shared" si="18"/>
        <v>0</v>
      </c>
      <c r="O224" s="215">
        <f t="shared" si="19"/>
        <v>0</v>
      </c>
      <c r="P224" s="735">
        <v>266</v>
      </c>
      <c r="Y224" t="s">
        <v>1510</v>
      </c>
    </row>
    <row r="225" spans="8:32" x14ac:dyDescent="0.25">
      <c r="H225" s="732">
        <v>1</v>
      </c>
      <c r="I225" s="734">
        <v>0</v>
      </c>
      <c r="J225" s="733">
        <v>0</v>
      </c>
      <c r="K225" s="734">
        <v>1</v>
      </c>
      <c r="L225" s="214">
        <f t="shared" si="16"/>
        <v>0</v>
      </c>
      <c r="M225" s="7">
        <f t="shared" si="17"/>
        <v>1</v>
      </c>
      <c r="N225" s="214">
        <f t="shared" si="18"/>
        <v>0</v>
      </c>
      <c r="O225" s="215">
        <f t="shared" si="19"/>
        <v>0</v>
      </c>
      <c r="P225" s="735">
        <v>207</v>
      </c>
    </row>
    <row r="226" spans="8:32" ht="15.75" thickBot="1" x14ac:dyDescent="0.3">
      <c r="H226" s="732">
        <v>1</v>
      </c>
      <c r="I226" s="734">
        <v>0</v>
      </c>
      <c r="J226" s="733">
        <v>0</v>
      </c>
      <c r="K226" s="734">
        <v>1</v>
      </c>
      <c r="L226" s="214">
        <f t="shared" si="16"/>
        <v>0</v>
      </c>
      <c r="M226" s="7">
        <f t="shared" si="17"/>
        <v>1</v>
      </c>
      <c r="N226" s="214">
        <f t="shared" si="18"/>
        <v>0</v>
      </c>
      <c r="O226" s="215">
        <f t="shared" si="19"/>
        <v>0</v>
      </c>
      <c r="P226" s="735">
        <v>285</v>
      </c>
      <c r="Y226" s="342" t="s">
        <v>799</v>
      </c>
      <c r="Z226" s="342"/>
      <c r="AB226" s="342"/>
      <c r="AC226" s="342"/>
    </row>
    <row r="227" spans="8:32" ht="15.75" thickTop="1" x14ac:dyDescent="0.25">
      <c r="H227" s="728">
        <v>0</v>
      </c>
      <c r="I227" s="730">
        <v>1</v>
      </c>
      <c r="J227" s="729">
        <v>0</v>
      </c>
      <c r="K227" s="730">
        <v>0</v>
      </c>
      <c r="L227" s="214">
        <f t="shared" si="16"/>
        <v>0</v>
      </c>
      <c r="M227" s="7">
        <f t="shared" si="17"/>
        <v>0</v>
      </c>
      <c r="N227" s="214">
        <f t="shared" si="18"/>
        <v>0</v>
      </c>
      <c r="O227" s="215">
        <f t="shared" si="19"/>
        <v>0</v>
      </c>
      <c r="P227" s="731">
        <v>442</v>
      </c>
      <c r="Y227" t="s">
        <v>123</v>
      </c>
      <c r="Z227" t="e">
        <f ca="1">SQRT(Z228)</f>
        <v>#NAME?</v>
      </c>
      <c r="AB227" t="s">
        <v>203</v>
      </c>
      <c r="AC227" t="e">
        <f ca="1">Z231*LN(AA236/Z231)+2*(Z235+1)</f>
        <v>#NAME?</v>
      </c>
    </row>
    <row r="228" spans="8:32" x14ac:dyDescent="0.25">
      <c r="H228" s="732">
        <v>0</v>
      </c>
      <c r="I228" s="734">
        <v>1</v>
      </c>
      <c r="J228" s="733">
        <v>0</v>
      </c>
      <c r="K228" s="734">
        <v>0</v>
      </c>
      <c r="L228" s="214">
        <f t="shared" si="16"/>
        <v>0</v>
      </c>
      <c r="M228" s="7">
        <f t="shared" si="17"/>
        <v>0</v>
      </c>
      <c r="N228" s="214">
        <f t="shared" si="18"/>
        <v>0</v>
      </c>
      <c r="O228" s="215">
        <f t="shared" si="19"/>
        <v>0</v>
      </c>
      <c r="P228" s="735">
        <v>341</v>
      </c>
      <c r="Y228" t="s">
        <v>120</v>
      </c>
      <c r="Z228" t="e">
        <f ca="1">AA235/AA237</f>
        <v>#NAME?</v>
      </c>
      <c r="AB228" t="s">
        <v>204</v>
      </c>
      <c r="AC228" t="e">
        <f ca="1">AC227+2*(Z235+2)*(Z235+3)/(Z231-Z235-3)</f>
        <v>#NAME?</v>
      </c>
    </row>
    <row r="229" spans="8:32" x14ac:dyDescent="0.25">
      <c r="H229" s="732">
        <v>0</v>
      </c>
      <c r="I229" s="734">
        <v>1</v>
      </c>
      <c r="J229" s="733">
        <v>0</v>
      </c>
      <c r="K229" s="734">
        <v>0</v>
      </c>
      <c r="L229" s="214">
        <f t="shared" si="16"/>
        <v>0</v>
      </c>
      <c r="M229" s="7">
        <f t="shared" si="17"/>
        <v>0</v>
      </c>
      <c r="N229" s="214">
        <f t="shared" si="18"/>
        <v>0</v>
      </c>
      <c r="O229" s="215">
        <f t="shared" si="19"/>
        <v>0</v>
      </c>
      <c r="P229" s="735">
        <v>384</v>
      </c>
      <c r="Y229" t="s">
        <v>124</v>
      </c>
      <c r="Z229" t="e">
        <f ca="1">1-(1-Z228)*(Z231-1)/(Z231-Z235-1)</f>
        <v>#NAME?</v>
      </c>
      <c r="AB229" s="354" t="s">
        <v>1353</v>
      </c>
      <c r="AC229" s="354" t="e">
        <f ca="1">Z231*LN(AA236/Z231)+(Z235+1)*LN(Z231)</f>
        <v>#NAME?</v>
      </c>
    </row>
    <row r="230" spans="8:32" x14ac:dyDescent="0.25">
      <c r="H230" s="732">
        <v>0</v>
      </c>
      <c r="I230" s="734">
        <v>1</v>
      </c>
      <c r="J230" s="733">
        <v>0</v>
      </c>
      <c r="K230" s="734">
        <v>0</v>
      </c>
      <c r="L230" s="214">
        <f t="shared" si="16"/>
        <v>0</v>
      </c>
      <c r="M230" s="7">
        <f t="shared" si="17"/>
        <v>0</v>
      </c>
      <c r="N230" s="214">
        <f t="shared" si="18"/>
        <v>0</v>
      </c>
      <c r="O230" s="215">
        <f t="shared" si="19"/>
        <v>0</v>
      </c>
      <c r="P230" s="735">
        <v>401</v>
      </c>
      <c r="Y230" t="s">
        <v>10</v>
      </c>
      <c r="Z230" t="e">
        <f ca="1">SQRT(AB236)</f>
        <v>#NAME?</v>
      </c>
    </row>
    <row r="231" spans="8:32" x14ac:dyDescent="0.25">
      <c r="H231" s="732">
        <v>0</v>
      </c>
      <c r="I231" s="734">
        <v>1</v>
      </c>
      <c r="J231" s="739">
        <v>0</v>
      </c>
      <c r="K231" s="737">
        <v>0</v>
      </c>
      <c r="L231" s="214">
        <f t="shared" si="16"/>
        <v>0</v>
      </c>
      <c r="M231" s="7">
        <f t="shared" si="17"/>
        <v>0</v>
      </c>
      <c r="N231" s="214">
        <f t="shared" si="18"/>
        <v>0</v>
      </c>
      <c r="O231" s="215">
        <f t="shared" si="19"/>
        <v>0</v>
      </c>
      <c r="P231" s="738">
        <v>432</v>
      </c>
      <c r="Y231" s="354" t="s">
        <v>55</v>
      </c>
      <c r="Z231" s="354">
        <f>COUNT(W4:W45)</f>
        <v>42</v>
      </c>
    </row>
    <row r="232" spans="8:32" x14ac:dyDescent="0.25">
      <c r="H232" s="732">
        <v>0</v>
      </c>
      <c r="I232" s="734">
        <v>1</v>
      </c>
      <c r="J232" s="729">
        <v>1</v>
      </c>
      <c r="K232" s="730">
        <v>0</v>
      </c>
      <c r="L232" s="214">
        <f t="shared" si="16"/>
        <v>0</v>
      </c>
      <c r="M232" s="7">
        <f t="shared" si="17"/>
        <v>0</v>
      </c>
      <c r="N232" s="214">
        <f t="shared" si="18"/>
        <v>1</v>
      </c>
      <c r="O232" s="215">
        <f t="shared" si="19"/>
        <v>0</v>
      </c>
      <c r="P232" s="731">
        <v>307</v>
      </c>
    </row>
    <row r="233" spans="8:32" ht="15.75" thickBot="1" x14ac:dyDescent="0.3">
      <c r="H233" s="732">
        <v>0</v>
      </c>
      <c r="I233" s="734">
        <v>1</v>
      </c>
      <c r="J233" s="733">
        <v>1</v>
      </c>
      <c r="K233" s="734">
        <v>0</v>
      </c>
      <c r="L233" s="214">
        <f t="shared" si="16"/>
        <v>0</v>
      </c>
      <c r="M233" s="7">
        <f t="shared" si="17"/>
        <v>0</v>
      </c>
      <c r="N233" s="214">
        <f t="shared" si="18"/>
        <v>1</v>
      </c>
      <c r="O233" s="215">
        <f t="shared" si="19"/>
        <v>0</v>
      </c>
      <c r="P233" s="735">
        <v>425</v>
      </c>
      <c r="Y233" t="s">
        <v>125</v>
      </c>
      <c r="AC233" s="720" t="s">
        <v>18</v>
      </c>
      <c r="AD233" s="720">
        <v>0.05</v>
      </c>
    </row>
    <row r="234" spans="8:32" ht="15.75" thickTop="1" x14ac:dyDescent="0.25">
      <c r="H234" s="732">
        <v>0</v>
      </c>
      <c r="I234" s="734">
        <v>1</v>
      </c>
      <c r="J234" s="733">
        <v>1</v>
      </c>
      <c r="K234" s="734">
        <v>0</v>
      </c>
      <c r="L234" s="214">
        <f t="shared" si="16"/>
        <v>0</v>
      </c>
      <c r="M234" s="7">
        <f t="shared" si="17"/>
        <v>0</v>
      </c>
      <c r="N234" s="214">
        <f t="shared" si="18"/>
        <v>1</v>
      </c>
      <c r="O234" s="215">
        <f t="shared" si="19"/>
        <v>0</v>
      </c>
      <c r="P234" s="735">
        <v>378</v>
      </c>
      <c r="Y234" s="386"/>
      <c r="Z234" s="386" t="s">
        <v>41</v>
      </c>
      <c r="AA234" s="386" t="s">
        <v>111</v>
      </c>
      <c r="AB234" s="386" t="s">
        <v>115</v>
      </c>
      <c r="AC234" s="386" t="s">
        <v>98</v>
      </c>
      <c r="AD234" s="386" t="s">
        <v>48</v>
      </c>
      <c r="AE234" s="386" t="s">
        <v>164</v>
      </c>
    </row>
    <row r="235" spans="8:32" x14ac:dyDescent="0.25">
      <c r="H235" s="732">
        <v>0</v>
      </c>
      <c r="I235" s="734">
        <v>1</v>
      </c>
      <c r="J235" s="733">
        <v>1</v>
      </c>
      <c r="K235" s="734">
        <v>0</v>
      </c>
      <c r="L235" s="214">
        <f t="shared" si="16"/>
        <v>0</v>
      </c>
      <c r="M235" s="7">
        <f t="shared" si="17"/>
        <v>0</v>
      </c>
      <c r="N235" s="214">
        <f t="shared" si="18"/>
        <v>1</v>
      </c>
      <c r="O235" s="215">
        <f t="shared" si="19"/>
        <v>0</v>
      </c>
      <c r="P235" s="735">
        <v>193</v>
      </c>
      <c r="Y235" t="s">
        <v>113</v>
      </c>
      <c r="Z235">
        <f>COUNT(S4:T4)</f>
        <v>2</v>
      </c>
      <c r="AA235" t="e">
        <f ca="1">DEVSQ(MMULT(DESIGN(S4:T45),Z240:Z242))</f>
        <v>#NAME?</v>
      </c>
      <c r="AB235" t="e">
        <f ca="1">AA235/Z235</f>
        <v>#NAME?</v>
      </c>
      <c r="AC235" t="e">
        <f ca="1">AB235/AB236</f>
        <v>#NAME?</v>
      </c>
      <c r="AD235" t="e">
        <f ca="1">FDIST(AC235,Z235,Z236)</f>
        <v>#NAME?</v>
      </c>
      <c r="AE235" s="720" t="e">
        <f ca="1">IF(AD235&lt;AD233,"yes","no")</f>
        <v>#NAME?</v>
      </c>
    </row>
    <row r="236" spans="8:32" x14ac:dyDescent="0.25">
      <c r="H236" s="732">
        <v>0</v>
      </c>
      <c r="I236" s="734">
        <v>1</v>
      </c>
      <c r="J236" s="739">
        <v>1</v>
      </c>
      <c r="K236" s="737">
        <v>0</v>
      </c>
      <c r="L236" s="214">
        <f t="shared" si="16"/>
        <v>0</v>
      </c>
      <c r="M236" s="7">
        <f t="shared" si="17"/>
        <v>0</v>
      </c>
      <c r="N236" s="214">
        <f t="shared" si="18"/>
        <v>1</v>
      </c>
      <c r="O236" s="215">
        <f t="shared" si="19"/>
        <v>0</v>
      </c>
      <c r="P236" s="738">
        <v>285</v>
      </c>
      <c r="Y236" t="s">
        <v>126</v>
      </c>
      <c r="Z236">
        <f>Z237-Z235</f>
        <v>39</v>
      </c>
      <c r="AA236" t="e">
        <f ca="1">AA237-AA235</f>
        <v>#NAME?</v>
      </c>
      <c r="AB236" t="e">
        <f ca="1">AA236/Z236</f>
        <v>#NAME?</v>
      </c>
    </row>
    <row r="237" spans="8:32" x14ac:dyDescent="0.25">
      <c r="H237" s="732">
        <v>0</v>
      </c>
      <c r="I237" s="734">
        <v>1</v>
      </c>
      <c r="J237" s="733">
        <v>0</v>
      </c>
      <c r="K237" s="734">
        <v>1</v>
      </c>
      <c r="L237" s="214">
        <f t="shared" si="16"/>
        <v>0</v>
      </c>
      <c r="M237" s="7">
        <f t="shared" si="17"/>
        <v>0</v>
      </c>
      <c r="N237" s="214">
        <f t="shared" si="18"/>
        <v>0</v>
      </c>
      <c r="O237" s="215">
        <f t="shared" si="19"/>
        <v>1</v>
      </c>
      <c r="P237" s="735">
        <v>365</v>
      </c>
      <c r="Y237" s="354" t="s">
        <v>1</v>
      </c>
      <c r="Z237" s="354">
        <f>Z231-1</f>
        <v>41</v>
      </c>
      <c r="AA237" s="354">
        <f>DEVSQ(W4:W45)</f>
        <v>765790.4761904761</v>
      </c>
      <c r="AB237" s="354"/>
      <c r="AC237" s="354"/>
      <c r="AD237" s="354"/>
      <c r="AE237" s="354"/>
    </row>
    <row r="238" spans="8:32" ht="15.75" thickBot="1" x14ac:dyDescent="0.3">
      <c r="H238" s="732">
        <v>0</v>
      </c>
      <c r="I238" s="734">
        <v>1</v>
      </c>
      <c r="J238" s="733">
        <v>0</v>
      </c>
      <c r="K238" s="734">
        <v>1</v>
      </c>
      <c r="L238" s="214">
        <f t="shared" si="16"/>
        <v>0</v>
      </c>
      <c r="M238" s="7">
        <f t="shared" si="17"/>
        <v>0</v>
      </c>
      <c r="N238" s="214">
        <f t="shared" si="18"/>
        <v>0</v>
      </c>
      <c r="O238" s="215">
        <f t="shared" si="19"/>
        <v>1</v>
      </c>
      <c r="P238" s="735">
        <v>382</v>
      </c>
    </row>
    <row r="239" spans="8:32" ht="15.75" thickTop="1" x14ac:dyDescent="0.25">
      <c r="H239" s="732">
        <v>0</v>
      </c>
      <c r="I239" s="734">
        <v>1</v>
      </c>
      <c r="J239" s="733">
        <v>0</v>
      </c>
      <c r="K239" s="734">
        <v>1</v>
      </c>
      <c r="L239" s="214">
        <f t="shared" si="16"/>
        <v>0</v>
      </c>
      <c r="M239" s="7">
        <f t="shared" si="17"/>
        <v>0</v>
      </c>
      <c r="N239" s="214">
        <f t="shared" si="18"/>
        <v>0</v>
      </c>
      <c r="O239" s="215">
        <f t="shared" si="19"/>
        <v>1</v>
      </c>
      <c r="P239" s="735">
        <v>289</v>
      </c>
      <c r="Y239" s="386"/>
      <c r="Z239" s="386" t="s">
        <v>797</v>
      </c>
      <c r="AA239" s="386" t="s">
        <v>390</v>
      </c>
      <c r="AB239" s="386" t="s">
        <v>42</v>
      </c>
      <c r="AC239" s="386" t="s">
        <v>48</v>
      </c>
      <c r="AD239" s="386" t="s">
        <v>15</v>
      </c>
      <c r="AE239" s="386" t="s">
        <v>16</v>
      </c>
      <c r="AF239" s="386" t="s">
        <v>1352</v>
      </c>
    </row>
    <row r="240" spans="8:32" x14ac:dyDescent="0.25">
      <c r="H240" s="736">
        <v>0</v>
      </c>
      <c r="I240" s="737">
        <v>1</v>
      </c>
      <c r="J240" s="739">
        <v>0</v>
      </c>
      <c r="K240" s="737">
        <v>1</v>
      </c>
      <c r="L240" s="112">
        <f t="shared" si="16"/>
        <v>0</v>
      </c>
      <c r="M240" s="354">
        <f t="shared" si="17"/>
        <v>0</v>
      </c>
      <c r="N240" s="112">
        <f t="shared" si="18"/>
        <v>0</v>
      </c>
      <c r="O240" s="120">
        <f t="shared" si="19"/>
        <v>1</v>
      </c>
      <c r="P240" s="738">
        <v>471</v>
      </c>
      <c r="Y240" t="s">
        <v>127</v>
      </c>
      <c r="Z240" t="e">
        <f t="array" aca="1" ref="Z240:AA242" ca="1">RegCoeff(S4:T45,W4:W45)</f>
        <v>#NAME?</v>
      </c>
      <c r="AA240" t="e">
        <f ca="1"/>
        <v>#NAME?</v>
      </c>
      <c r="AB240" t="e">
        <f ca="1">Z240/AA240</f>
        <v>#NAME?</v>
      </c>
      <c r="AC240" t="e">
        <f ca="1">TDIST(ABS(AB240),$Z$236,2)</f>
        <v>#NAME?</v>
      </c>
      <c r="AD240" t="e">
        <f ca="1">Z240-TINV(AD$233,$Z$236)*AA240</f>
        <v>#NAME?</v>
      </c>
      <c r="AE240" t="e">
        <f ca="1">Z240+TINV(AD$233,$Z$236)*AA240</f>
        <v>#NAME?</v>
      </c>
    </row>
    <row r="241" spans="25:32" x14ac:dyDescent="0.25">
      <c r="Y241">
        <f t="array" ref="Y241:Y242">TRANSPOSE(S3:T3)</f>
        <v>2</v>
      </c>
      <c r="Z241" t="e">
        <f ca="1"/>
        <v>#NAME?</v>
      </c>
      <c r="AA241" t="e">
        <f ca="1"/>
        <v>#NAME?</v>
      </c>
      <c r="AB241" t="e">
        <f ca="1">Z241/AA241</f>
        <v>#NAME?</v>
      </c>
      <c r="AC241" t="e">
        <f ca="1">TDIST(ABS(AB241),$Z$236,2)</f>
        <v>#NAME?</v>
      </c>
      <c r="AD241" t="e">
        <f ca="1">Z241-TINV(AD$233,$Z$236)*AA241</f>
        <v>#NAME?</v>
      </c>
      <c r="AE241" t="e">
        <f ca="1">Z241+TINV(AD$233,$Z$236)*AA241</f>
        <v>#NAME?</v>
      </c>
      <c r="AF241" t="e">
        <f ca="1">VIF(S4:T45,1)</f>
        <v>#NAME?</v>
      </c>
    </row>
    <row r="242" spans="25:32" x14ac:dyDescent="0.25">
      <c r="Y242" s="354">
        <v>3</v>
      </c>
      <c r="Z242" s="354" t="e">
        <f ca="1"/>
        <v>#NAME?</v>
      </c>
      <c r="AA242" s="354" t="e">
        <f ca="1"/>
        <v>#NAME?</v>
      </c>
      <c r="AB242" s="354" t="e">
        <f ca="1">Z242/AA242</f>
        <v>#NAME?</v>
      </c>
      <c r="AC242" s="354" t="e">
        <f ca="1">TDIST(ABS(AB242),$Z$236,2)</f>
        <v>#NAME?</v>
      </c>
      <c r="AD242" s="354" t="e">
        <f ca="1">Z242-TINV(AD$233,$Z$236)*AA242</f>
        <v>#NAME?</v>
      </c>
      <c r="AE242" s="354" t="e">
        <f ca="1">Z242+TINV(AD$233,$Z$236)*AA242</f>
        <v>#NAME?</v>
      </c>
      <c r="AF242" s="354" t="e">
        <f ca="1">VIF(S4:T45,2)</f>
        <v>#NAME?</v>
      </c>
    </row>
  </sheetData>
  <mergeCells count="3">
    <mergeCell ref="F2:R2"/>
    <mergeCell ref="S2:T2"/>
    <mergeCell ref="U2:V2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V43"/>
  <sheetViews>
    <sheetView zoomScaleNormal="100" workbookViewId="0"/>
  </sheetViews>
  <sheetFormatPr defaultRowHeight="15" x14ac:dyDescent="0.25"/>
  <cols>
    <col min="9" max="9" width="9.140625" customWidth="1"/>
    <col min="10" max="10" width="10.42578125" customWidth="1"/>
    <col min="16" max="16" width="17" customWidth="1"/>
    <col min="21" max="21" width="9.140625" customWidth="1"/>
  </cols>
  <sheetData>
    <row r="1" spans="1:22" x14ac:dyDescent="0.25">
      <c r="A1" s="1" t="s">
        <v>1354</v>
      </c>
    </row>
    <row r="3" spans="1:22" x14ac:dyDescent="0.25">
      <c r="A3" s="697" t="s">
        <v>2</v>
      </c>
      <c r="B3" s="12" t="s">
        <v>476</v>
      </c>
      <c r="C3" s="12" t="s">
        <v>477</v>
      </c>
      <c r="D3" s="12" t="s">
        <v>478</v>
      </c>
      <c r="F3" t="s">
        <v>1490</v>
      </c>
      <c r="J3" t="s">
        <v>13</v>
      </c>
      <c r="P3" t="s">
        <v>1129</v>
      </c>
    </row>
    <row r="4" spans="1:22" x14ac:dyDescent="0.25">
      <c r="A4" s="713" t="s">
        <v>474</v>
      </c>
      <c r="B4" s="722">
        <v>250</v>
      </c>
      <c r="C4" s="723">
        <v>278</v>
      </c>
      <c r="D4" s="724">
        <v>442</v>
      </c>
    </row>
    <row r="5" spans="1:22" ht="15.75" thickBot="1" x14ac:dyDescent="0.3">
      <c r="A5" s="214"/>
      <c r="B5" s="229">
        <v>65</v>
      </c>
      <c r="C5" s="230">
        <v>207</v>
      </c>
      <c r="D5" s="231">
        <v>341</v>
      </c>
      <c r="F5" t="e">
        <f t="array" aca="1" ref="F5:H43" ca="1">Anova2Std(A3:D16)</f>
        <v>#NAME?</v>
      </c>
      <c r="G5" t="e">
        <f ca="1"/>
        <v>#NAME?</v>
      </c>
      <c r="H5" t="e">
        <f ca="1"/>
        <v>#NAME?</v>
      </c>
      <c r="J5" t="s">
        <v>820</v>
      </c>
      <c r="K5" t="str">
        <f ca="1">IF(COUNTIF(K7:M9,K7)=COUNT(K7:M9),"balanced","unbalanced")</f>
        <v>balanced</v>
      </c>
      <c r="P5" t="s">
        <v>125</v>
      </c>
      <c r="T5" s="720" t="s">
        <v>18</v>
      </c>
      <c r="U5" s="720">
        <v>0.05</v>
      </c>
    </row>
    <row r="6" spans="1:22" ht="15.75" thickTop="1" x14ac:dyDescent="0.25">
      <c r="A6" s="214"/>
      <c r="B6" s="229">
        <v>251</v>
      </c>
      <c r="C6" s="230">
        <v>261</v>
      </c>
      <c r="D6" s="231">
        <v>384</v>
      </c>
      <c r="F6" t="e">
        <f ca="1"/>
        <v>#NAME?</v>
      </c>
      <c r="G6" t="e">
        <f ca="1"/>
        <v>#NAME?</v>
      </c>
      <c r="H6" t="e">
        <f ca="1"/>
        <v>#NAME?</v>
      </c>
      <c r="K6" t="e">
        <f t="array" aca="1" ref="K6:M6" ca="1">TRANSPOSE(SortUnique(G5:G43))</f>
        <v>#NAME?</v>
      </c>
      <c r="L6" t="e">
        <f ca="1"/>
        <v>#NAME?</v>
      </c>
      <c r="M6" t="e">
        <f ca="1"/>
        <v>#NAME?</v>
      </c>
      <c r="P6" s="386"/>
      <c r="Q6" s="386" t="s">
        <v>111</v>
      </c>
      <c r="R6" s="386" t="s">
        <v>41</v>
      </c>
      <c r="S6" s="386" t="s">
        <v>115</v>
      </c>
      <c r="T6" s="386" t="s">
        <v>98</v>
      </c>
      <c r="U6" s="386" t="s">
        <v>154</v>
      </c>
      <c r="V6" s="386" t="s">
        <v>161</v>
      </c>
    </row>
    <row r="7" spans="1:22" x14ac:dyDescent="0.25">
      <c r="A7" s="214"/>
      <c r="B7" s="229">
        <v>103</v>
      </c>
      <c r="C7" s="230">
        <v>286</v>
      </c>
      <c r="D7" s="231">
        <v>401</v>
      </c>
      <c r="F7" t="e">
        <f ca="1"/>
        <v>#NAME?</v>
      </c>
      <c r="G7" t="e">
        <f ca="1"/>
        <v>#NAME?</v>
      </c>
      <c r="H7" t="e">
        <f ca="1"/>
        <v>#NAME?</v>
      </c>
      <c r="J7" t="e">
        <f t="array" aca="1" ref="J7:J9" ca="1">SortUnique(F5:F43)</f>
        <v>#NAME?</v>
      </c>
      <c r="K7" s="648">
        <f t="array" ref="K7" ca="1">COUNTIFS($F$5:$F$43,$J7,$G$5:$G$43,K$6)</f>
        <v>39</v>
      </c>
      <c r="L7" s="649">
        <f t="array" ref="L7" ca="1">COUNTIFS($F$5:$F$43,$J7,$G$5:$G$43,L$6)</f>
        <v>39</v>
      </c>
      <c r="M7" s="650">
        <f t="array" ref="M7" ca="1">COUNTIFS($F$5:$F$43,$J7,$G$5:$G$43,M$6)</f>
        <v>39</v>
      </c>
      <c r="N7">
        <f t="array" ref="N7" ca="1">SUM(K7:M7)</f>
        <v>117</v>
      </c>
      <c r="P7" t="s">
        <v>466</v>
      </c>
      <c r="Q7" t="e">
        <f ca="1">Q14-Q10</f>
        <v>#NAME?</v>
      </c>
      <c r="R7">
        <f ca="1">K10-1</f>
        <v>116</v>
      </c>
    </row>
    <row r="8" spans="1:22" x14ac:dyDescent="0.25">
      <c r="A8" s="574" t="s">
        <v>475</v>
      </c>
      <c r="B8" s="725">
        <v>54</v>
      </c>
      <c r="C8" s="726">
        <v>172</v>
      </c>
      <c r="D8" s="727">
        <v>307</v>
      </c>
      <c r="F8" t="e">
        <f ca="1"/>
        <v>#NAME?</v>
      </c>
      <c r="G8" t="e">
        <f ca="1"/>
        <v>#NAME?</v>
      </c>
      <c r="H8" t="e">
        <f ca="1"/>
        <v>#NAME?</v>
      </c>
      <c r="J8" t="e">
        <f ca="1"/>
        <v>#NAME?</v>
      </c>
      <c r="K8" s="183">
        <f t="array" ref="K8" ca="1">COUNTIFS($F$5:$F$43,$J8,$G$5:$G$43,K$6)</f>
        <v>39</v>
      </c>
      <c r="L8" s="7">
        <f t="array" ref="L8" ca="1">COUNTIFS($F$5:$F$43,$J8,$G$5:$G$43,L$6)</f>
        <v>39</v>
      </c>
      <c r="M8" s="43">
        <f t="array" ref="M8" ca="1">COUNTIFS($F$5:$F$43,$J8,$G$5:$G$43,M$6)</f>
        <v>39</v>
      </c>
      <c r="N8">
        <f t="array" ref="N8" ca="1">SUM(K8:M8)</f>
        <v>117</v>
      </c>
      <c r="P8" t="s">
        <v>1130</v>
      </c>
      <c r="Q8" t="e">
        <f ca="1">SSRRow(A3:D16)</f>
        <v>#NAME?</v>
      </c>
      <c r="R8">
        <f ca="1">COUNT(N14:N16)-1</f>
        <v>-1</v>
      </c>
      <c r="S8" t="e">
        <f ca="1">Q8/R8</f>
        <v>#NAME?</v>
      </c>
      <c r="T8" t="e">
        <f ca="1">S8/S9</f>
        <v>#NAME?</v>
      </c>
      <c r="U8" t="e">
        <f ca="1">FDIST(T8,R8,R9)</f>
        <v>#NAME?</v>
      </c>
      <c r="V8" t="e">
        <f ca="1">FINV(U5,R8,R9)</f>
        <v>#NUM!</v>
      </c>
    </row>
    <row r="9" spans="1:22" x14ac:dyDescent="0.25">
      <c r="A9" s="185"/>
      <c r="B9" s="229">
        <v>20</v>
      </c>
      <c r="C9" s="230">
        <v>116</v>
      </c>
      <c r="D9" s="231">
        <v>425</v>
      </c>
      <c r="F9" t="e">
        <f ca="1"/>
        <v>#NAME?</v>
      </c>
      <c r="G9" t="e">
        <f ca="1"/>
        <v>#NAME?</v>
      </c>
      <c r="H9" t="e">
        <f ca="1"/>
        <v>#NAME?</v>
      </c>
      <c r="J9" t="e">
        <f ca="1"/>
        <v>#NAME?</v>
      </c>
      <c r="K9" s="351">
        <f t="array" ref="K9" ca="1">COUNTIFS($F$5:$F$43,$J9,$G$5:$G$43,K$6)</f>
        <v>39</v>
      </c>
      <c r="L9" s="352">
        <f t="array" ref="L9" ca="1">COUNTIFS($F$5:$F$43,$J9,$G$5:$G$43,L$6)</f>
        <v>39</v>
      </c>
      <c r="M9" s="353">
        <f t="array" ref="M9" ca="1">COUNTIFS($F$5:$F$43,$J9,$G$5:$G$43,M$6)</f>
        <v>39</v>
      </c>
      <c r="N9">
        <f t="array" ref="N9" ca="1">SUM(K9:M9)</f>
        <v>117</v>
      </c>
      <c r="P9" t="s">
        <v>1131</v>
      </c>
      <c r="Q9" t="e">
        <f ca="1">Q7-Q8</f>
        <v>#NAME?</v>
      </c>
      <c r="R9">
        <f ca="1">R7-R8</f>
        <v>117</v>
      </c>
      <c r="S9" t="e">
        <f ca="1">Q9/R9</f>
        <v>#NAME?</v>
      </c>
    </row>
    <row r="10" spans="1:22" x14ac:dyDescent="0.25">
      <c r="A10" s="185"/>
      <c r="B10" s="229">
        <v>41</v>
      </c>
      <c r="C10" s="230">
        <v>168</v>
      </c>
      <c r="D10" s="231">
        <v>378</v>
      </c>
      <c r="F10" t="e">
        <f ca="1"/>
        <v>#NAME?</v>
      </c>
      <c r="G10" t="e">
        <f ca="1"/>
        <v>#NAME?</v>
      </c>
      <c r="H10" t="e">
        <f ca="1"/>
        <v>#NAME?</v>
      </c>
      <c r="K10">
        <f t="array" ref="K10" ca="1">SUM(K7:K9)</f>
        <v>117</v>
      </c>
      <c r="L10">
        <f t="array" ref="L10" ca="1">SUM(L7:L9)</f>
        <v>117</v>
      </c>
      <c r="M10">
        <f t="array" ref="M10" ca="1">SUM(M7:M9)</f>
        <v>117</v>
      </c>
      <c r="N10">
        <f t="array" ref="N10" ca="1">SUM(N7:N9)</f>
        <v>351</v>
      </c>
      <c r="P10" t="s">
        <v>468</v>
      </c>
      <c r="Q10" t="e">
        <f ca="1">SSRW(B4:D16)</f>
        <v>#NAME?</v>
      </c>
      <c r="R10">
        <f ca="1">R14-R7</f>
        <v>234</v>
      </c>
    </row>
    <row r="11" spans="1:22" x14ac:dyDescent="0.25">
      <c r="A11" s="185"/>
      <c r="B11" s="229">
        <v>29</v>
      </c>
      <c r="C11" s="230">
        <v>81</v>
      </c>
      <c r="D11" s="231">
        <v>193</v>
      </c>
      <c r="F11" t="e">
        <f ca="1"/>
        <v>#NAME?</v>
      </c>
      <c r="G11" t="e">
        <f ca="1"/>
        <v>#NAME?</v>
      </c>
      <c r="H11" t="e">
        <f ca="1"/>
        <v>#NAME?</v>
      </c>
      <c r="P11" t="s">
        <v>1132</v>
      </c>
      <c r="Q11" t="e">
        <f ca="1">SSBet(B4:D16)</f>
        <v>#NAME?</v>
      </c>
      <c r="R11">
        <f ca="1">COUNT(K17:M17)-1</f>
        <v>-1</v>
      </c>
      <c r="S11" t="e">
        <f ca="1">Q11/R11</f>
        <v>#NAME?</v>
      </c>
      <c r="T11" t="e">
        <f ca="1">S11/S13</f>
        <v>#NAME?</v>
      </c>
      <c r="U11" t="e">
        <f ca="1">FDIST(T11,R11,R13)</f>
        <v>#NAME?</v>
      </c>
      <c r="V11" t="e">
        <f ca="1">FINV(U5,R11,R13)</f>
        <v>#NUM!</v>
      </c>
    </row>
    <row r="12" spans="1:22" x14ac:dyDescent="0.25">
      <c r="A12" s="123"/>
      <c r="B12" s="232">
        <v>3</v>
      </c>
      <c r="C12" s="491">
        <v>54</v>
      </c>
      <c r="D12" s="234">
        <v>285</v>
      </c>
      <c r="F12" t="e">
        <f ca="1"/>
        <v>#NAME?</v>
      </c>
      <c r="G12" t="e">
        <f ca="1"/>
        <v>#NAME?</v>
      </c>
      <c r="H12" t="e">
        <f ca="1"/>
        <v>#NAME?</v>
      </c>
      <c r="J12" t="s">
        <v>179</v>
      </c>
      <c r="P12" t="s">
        <v>1133</v>
      </c>
      <c r="Q12" t="e">
        <f ca="1">SSRInt(A3:D16)</f>
        <v>#NAME?</v>
      </c>
      <c r="R12">
        <f ca="1">R8*R11</f>
        <v>1</v>
      </c>
      <c r="S12" t="e">
        <f ca="1">Q12/R12</f>
        <v>#NAME?</v>
      </c>
      <c r="T12" t="e">
        <f ca="1">S12/S13</f>
        <v>#NAME?</v>
      </c>
      <c r="U12" t="e">
        <f ca="1">FDIST(T12,R12,R13)</f>
        <v>#NAME?</v>
      </c>
      <c r="V12">
        <f ca="1">FINV(U5,R12,R13)</f>
        <v>3.8815053755433415</v>
      </c>
    </row>
    <row r="13" spans="1:22" x14ac:dyDescent="0.25">
      <c r="A13" s="574" t="s">
        <v>51</v>
      </c>
      <c r="B13" s="229">
        <v>118</v>
      </c>
      <c r="C13" s="230">
        <v>124</v>
      </c>
      <c r="D13" s="231">
        <v>365</v>
      </c>
      <c r="F13" t="e">
        <f ca="1"/>
        <v>#NAME?</v>
      </c>
      <c r="G13" t="e">
        <f ca="1"/>
        <v>#NAME?</v>
      </c>
      <c r="H13" t="e">
        <f ca="1"/>
        <v>#NAME?</v>
      </c>
      <c r="K13" t="e">
        <f t="array" aca="1" ref="K13:M13" ca="1">TRANSPOSE(SortUnique(G5:G43))</f>
        <v>#NAME?</v>
      </c>
      <c r="L13" t="e">
        <f ca="1"/>
        <v>#NAME?</v>
      </c>
      <c r="M13" t="e">
        <f ca="1"/>
        <v>#NAME?</v>
      </c>
      <c r="P13" t="s">
        <v>1131</v>
      </c>
      <c r="Q13" t="e">
        <f ca="1">Q10-Q11-Q12</f>
        <v>#NAME?</v>
      </c>
      <c r="R13">
        <f ca="1">R10-R11-R12</f>
        <v>234</v>
      </c>
      <c r="S13" t="e">
        <f ca="1">Q13/R13</f>
        <v>#NAME?</v>
      </c>
    </row>
    <row r="14" spans="1:22" x14ac:dyDescent="0.25">
      <c r="A14" s="185"/>
      <c r="B14" s="229">
        <v>83</v>
      </c>
      <c r="C14" s="230">
        <v>266</v>
      </c>
      <c r="D14" s="231">
        <v>382</v>
      </c>
      <c r="F14" t="e">
        <f ca="1"/>
        <v>#NAME?</v>
      </c>
      <c r="G14" t="e">
        <f ca="1"/>
        <v>#NAME?</v>
      </c>
      <c r="H14" t="e">
        <f ca="1"/>
        <v>#NAME?</v>
      </c>
      <c r="J14" t="e">
        <f t="array" aca="1" ref="J14:J16" ca="1">SortUnique(F5:F43)</f>
        <v>#NAME?</v>
      </c>
      <c r="K14" s="648" t="e">
        <f t="array" ref="K14" ca="1">AVERAGEIFS($H$5:$H$43,$F$5:$F$43,$J14,$G$5:$G$43,K$13)</f>
        <v>#NAME?</v>
      </c>
      <c r="L14" s="649" t="e">
        <f t="array" ref="L14" ca="1">AVERAGEIFS($H$5:$H$43,$F$5:$F$43,$J14,$G$5:$G$43,L$13)</f>
        <v>#NAME?</v>
      </c>
      <c r="M14" s="650" t="e">
        <f t="array" ref="M14" ca="1">AVERAGEIFS($H$5:$H$43,$F$5:$F$43,$J14,$G$5:$G$43,M$13)</f>
        <v>#NAME?</v>
      </c>
      <c r="N14" t="e">
        <f t="array" ref="N14" ca="1">AVERAGE(K14:M14)</f>
        <v>#NAME?</v>
      </c>
      <c r="P14" s="354" t="s">
        <v>1</v>
      </c>
      <c r="Q14" s="354" t="e">
        <f ca="1">S14*R14</f>
        <v>#NAME?</v>
      </c>
      <c r="R14" s="354">
        <f ca="1">N10-1</f>
        <v>350</v>
      </c>
      <c r="S14" s="354" t="e">
        <f ca="1">N24</f>
        <v>#NAME?</v>
      </c>
      <c r="T14" s="354"/>
      <c r="U14" s="354"/>
      <c r="V14" s="354"/>
    </row>
    <row r="15" spans="1:22" x14ac:dyDescent="0.25">
      <c r="A15" s="185"/>
      <c r="B15" s="229">
        <v>38</v>
      </c>
      <c r="C15" s="230">
        <v>207</v>
      </c>
      <c r="D15" s="231">
        <v>289</v>
      </c>
      <c r="F15" t="e">
        <f ca="1"/>
        <v>#NAME?</v>
      </c>
      <c r="G15" t="e">
        <f ca="1"/>
        <v>#NAME?</v>
      </c>
      <c r="H15" t="e">
        <f ca="1"/>
        <v>#NAME?</v>
      </c>
      <c r="J15" t="e">
        <f ca="1"/>
        <v>#NAME?</v>
      </c>
      <c r="K15" s="183" t="e">
        <f t="array" ref="K15" ca="1">AVERAGEIFS($H$5:$H$43,$F$5:$F$43,$J15,$G$5:$G$43,K$13)</f>
        <v>#NAME?</v>
      </c>
      <c r="L15" s="7" t="e">
        <f t="array" ref="L15" ca="1">AVERAGEIFS($H$5:$H$43,$F$5:$F$43,$J15,$G$5:$G$43,L$13)</f>
        <v>#NAME?</v>
      </c>
      <c r="M15" s="43" t="e">
        <f t="array" ref="M15" ca="1">AVERAGEIFS($H$5:$H$43,$F$5:$F$43,$J15,$G$5:$G$43,M$13)</f>
        <v>#NAME?</v>
      </c>
      <c r="N15" t="e">
        <f t="array" ref="N15" ca="1">AVERAGE(K15:M15)</f>
        <v>#NAME?</v>
      </c>
    </row>
    <row r="16" spans="1:22" x14ac:dyDescent="0.25">
      <c r="A16" s="123"/>
      <c r="B16" s="232">
        <v>71</v>
      </c>
      <c r="C16" s="491">
        <v>285</v>
      </c>
      <c r="D16" s="234">
        <v>471</v>
      </c>
      <c r="F16" t="e">
        <f ca="1"/>
        <v>#NAME?</v>
      </c>
      <c r="G16" t="e">
        <f ca="1"/>
        <v>#NAME?</v>
      </c>
      <c r="H16" t="e">
        <f ca="1"/>
        <v>#NAME?</v>
      </c>
      <c r="J16" t="e">
        <f ca="1"/>
        <v>#NAME?</v>
      </c>
      <c r="K16" s="351" t="e">
        <f t="array" ref="K16" ca="1">AVERAGEIFS($H$5:$H$43,$F$5:$F$43,$J16,$G$5:$G$43,K$13)</f>
        <v>#NAME?</v>
      </c>
      <c r="L16" s="352" t="e">
        <f t="array" ref="L16" ca="1">AVERAGEIFS($H$5:$H$43,$F$5:$F$43,$J16,$G$5:$G$43,L$13)</f>
        <v>#NAME?</v>
      </c>
      <c r="M16" s="353" t="e">
        <f t="array" ref="M16" ca="1">AVERAGEIFS($H$5:$H$43,$F$5:$F$43,$J16,$G$5:$G$43,M$13)</f>
        <v>#NAME?</v>
      </c>
      <c r="N16" t="e">
        <f t="array" ref="N16" ca="1">AVERAGE(K16:M16)</f>
        <v>#NAME?</v>
      </c>
    </row>
    <row r="17" spans="6:22" ht="15.75" thickBot="1" x14ac:dyDescent="0.3">
      <c r="F17" t="e">
        <f ca="1"/>
        <v>#NAME?</v>
      </c>
      <c r="G17" t="e">
        <f ca="1"/>
        <v>#NAME?</v>
      </c>
      <c r="H17" t="e">
        <f ca="1"/>
        <v>#NAME?</v>
      </c>
      <c r="K17" t="e">
        <f t="array" ref="K17" ca="1">AVERAGE(K14:K16)</f>
        <v>#NAME?</v>
      </c>
      <c r="L17" t="e">
        <f t="array" ref="L17" ca="1">AVERAGE(L14:L16)</f>
        <v>#NAME?</v>
      </c>
      <c r="M17" t="e">
        <f t="array" ref="M17" ca="1">AVERAGE(M14:M16)</f>
        <v>#NAME?</v>
      </c>
      <c r="N17" t="e">
        <f t="array" ref="N17" ca="1">AVERAGE(N14:N16)</f>
        <v>#NAME?</v>
      </c>
      <c r="P17" t="s">
        <v>367</v>
      </c>
      <c r="T17" t="s">
        <v>18</v>
      </c>
      <c r="U17">
        <v>0.05</v>
      </c>
    </row>
    <row r="18" spans="6:22" ht="15.75" thickTop="1" x14ac:dyDescent="0.25">
      <c r="F18" t="e">
        <f ca="1"/>
        <v>#NAME?</v>
      </c>
      <c r="G18" t="e">
        <f ca="1"/>
        <v>#NAME?</v>
      </c>
      <c r="H18" t="e">
        <f ca="1"/>
        <v>#NAME?</v>
      </c>
      <c r="P18" s="386" t="s">
        <v>153</v>
      </c>
      <c r="Q18" s="386" t="s">
        <v>111</v>
      </c>
      <c r="R18" s="386" t="s">
        <v>41</v>
      </c>
      <c r="S18" s="386" t="s">
        <v>115</v>
      </c>
      <c r="T18" s="386" t="s">
        <v>98</v>
      </c>
      <c r="U18" s="386" t="s">
        <v>154</v>
      </c>
      <c r="V18" s="386" t="s">
        <v>155</v>
      </c>
    </row>
    <row r="19" spans="6:22" x14ac:dyDescent="0.25">
      <c r="F19" t="e">
        <f ca="1"/>
        <v>#NAME?</v>
      </c>
      <c r="G19" t="e">
        <f ca="1"/>
        <v>#NAME?</v>
      </c>
      <c r="H19" t="e">
        <f ca="1"/>
        <v>#NAME?</v>
      </c>
      <c r="J19" t="s">
        <v>821</v>
      </c>
      <c r="P19" t="s">
        <v>177</v>
      </c>
      <c r="Q19" t="e">
        <f ca="1">Q11</f>
        <v>#NAME?</v>
      </c>
      <c r="R19" t="e">
        <f ca="1">R11*K$26</f>
        <v>#NAME?</v>
      </c>
      <c r="S19" t="e">
        <f ca="1">Q19/R19</f>
        <v>#NAME?</v>
      </c>
      <c r="T19" t="e">
        <f ca="1">S19/S21</f>
        <v>#NAME?</v>
      </c>
      <c r="U19" t="e">
        <f ca="1">F_DIST_RT(T19,R19,R21)</f>
        <v>#NAME?</v>
      </c>
      <c r="V19" t="e">
        <f ca="1">F_INV_RT(U17,R19,R21)</f>
        <v>#NAME?</v>
      </c>
    </row>
    <row r="20" spans="6:22" x14ac:dyDescent="0.25">
      <c r="F20" t="e">
        <f ca="1"/>
        <v>#NAME?</v>
      </c>
      <c r="G20" t="e">
        <f ca="1"/>
        <v>#NAME?</v>
      </c>
      <c r="H20" t="e">
        <f ca="1"/>
        <v>#NAME?</v>
      </c>
      <c r="K20" t="e">
        <f t="array" aca="1" ref="K20:M20" ca="1">TRANSPOSE(SortUnique(G5:G43))</f>
        <v>#NAME?</v>
      </c>
      <c r="L20" t="e">
        <f ca="1"/>
        <v>#NAME?</v>
      </c>
      <c r="M20" t="e">
        <f ca="1"/>
        <v>#NAME?</v>
      </c>
      <c r="P20" t="s">
        <v>150</v>
      </c>
      <c r="Q20" t="e">
        <f ca="1">Q12</f>
        <v>#NAME?</v>
      </c>
      <c r="R20" t="e">
        <f ca="1">R12*K$26</f>
        <v>#NAME?</v>
      </c>
      <c r="S20" t="e">
        <f ca="1">Q20/R20</f>
        <v>#NAME?</v>
      </c>
      <c r="T20" t="e">
        <f ca="1">S20/S21</f>
        <v>#NAME?</v>
      </c>
      <c r="U20" t="e">
        <f ca="1">F_DIST_RT(T20,R20,R21)</f>
        <v>#NAME?</v>
      </c>
      <c r="V20" t="e">
        <f ca="1">F_INV_RT(U17,R20,R21)</f>
        <v>#NAME?</v>
      </c>
    </row>
    <row r="21" spans="6:22" x14ac:dyDescent="0.25">
      <c r="F21" t="e">
        <f ca="1"/>
        <v>#NAME?</v>
      </c>
      <c r="G21" t="e">
        <f ca="1"/>
        <v>#NAME?</v>
      </c>
      <c r="H21" t="e">
        <f ca="1"/>
        <v>#NAME?</v>
      </c>
      <c r="J21" t="e">
        <f t="array" aca="1" ref="J21:J23" ca="1">SortUnique(F5:F43)</f>
        <v>#NAME?</v>
      </c>
      <c r="K21" s="648" t="e">
        <f t="array" aca="1" ref="K21" ca="1">VAR(IF(($F$5:$F$43=$J21)*($G$5:$G$43=K$20),$H$5:$H$43))</f>
        <v>#NAME?</v>
      </c>
      <c r="L21" s="649" t="e">
        <f t="array" aca="1" ref="L21" ca="1">VAR(IF(($F$5:$F$43=$J21)*($G$5:$G$43=L$20),$H$5:$H$43))</f>
        <v>#NAME?</v>
      </c>
      <c r="M21" s="650" t="e">
        <f t="array" aca="1" ref="M21" ca="1">VAR(IF(($F$5:$F$43=$J21)*($G$5:$G$43=M$20),$H$5:$H$43))</f>
        <v>#NAME?</v>
      </c>
      <c r="N21" t="e">
        <f t="array" aca="1" ref="N21" ca="1">VAR(IF($F$5:$F$43=$J21,$H$5:$H$43))</f>
        <v>#NAME?</v>
      </c>
      <c r="P21" t="s">
        <v>176</v>
      </c>
      <c r="Q21" t="e">
        <f ca="1">Q13</f>
        <v>#NAME?</v>
      </c>
      <c r="R21" t="e">
        <f ca="1">R13*K$26</f>
        <v>#NAME?</v>
      </c>
      <c r="S21" t="e">
        <f ca="1">Q21/R21</f>
        <v>#NAME?</v>
      </c>
    </row>
    <row r="22" spans="6:22" x14ac:dyDescent="0.25">
      <c r="F22" t="e">
        <f ca="1"/>
        <v>#NAME?</v>
      </c>
      <c r="G22" t="e">
        <f ca="1"/>
        <v>#NAME?</v>
      </c>
      <c r="H22" t="e">
        <f ca="1"/>
        <v>#NAME?</v>
      </c>
      <c r="J22" t="e">
        <f ca="1"/>
        <v>#NAME?</v>
      </c>
      <c r="K22" s="183" t="e">
        <f t="array" aca="1" ref="K22" ca="1">VAR(IF(($F$5:$F$43=$J22)*($G$5:$G$43=K$20),$H$5:$H$43))</f>
        <v>#NAME?</v>
      </c>
      <c r="L22" s="7" t="e">
        <f t="array" aca="1" ref="L22" ca="1">VAR(IF(($F$5:$F$43=$J22)*($G$5:$G$43=L$20),$H$5:$H$43))</f>
        <v>#NAME?</v>
      </c>
      <c r="M22" s="43" t="e">
        <f t="array" aca="1" ref="M22" ca="1">VAR(IF(($F$5:$F$43=$J22)*($G$5:$G$43=M$20),$H$5:$H$43))</f>
        <v>#NAME?</v>
      </c>
      <c r="N22" t="e">
        <f t="array" aca="1" ref="N22" ca="1">VAR(IF($F$5:$F$43=$J22,$H$5:$H$43))</f>
        <v>#NAME?</v>
      </c>
      <c r="P22" s="664"/>
      <c r="Q22" s="664"/>
      <c r="R22" s="664"/>
      <c r="S22" s="664"/>
      <c r="T22" s="664"/>
      <c r="U22" s="664"/>
      <c r="V22" s="664"/>
    </row>
    <row r="23" spans="6:22" ht="15.75" thickBot="1" x14ac:dyDescent="0.3">
      <c r="F23" t="e">
        <f ca="1"/>
        <v>#NAME?</v>
      </c>
      <c r="G23" t="e">
        <f ca="1"/>
        <v>#NAME?</v>
      </c>
      <c r="H23" t="e">
        <f ca="1"/>
        <v>#NAME?</v>
      </c>
      <c r="J23" t="e">
        <f ca="1"/>
        <v>#NAME?</v>
      </c>
      <c r="K23" s="351" t="e">
        <f t="array" aca="1" ref="K23" ca="1">VAR(IF(($F$5:$F$43=$J23)*($G$5:$G$43=K$20),$H$5:$H$43))</f>
        <v>#NAME?</v>
      </c>
      <c r="L23" s="352" t="e">
        <f t="array" aca="1" ref="L23" ca="1">VAR(IF(($F$5:$F$43=$J23)*($G$5:$G$43=L$20),$H$5:$H$43))</f>
        <v>#NAME?</v>
      </c>
      <c r="M23" s="353" t="e">
        <f t="array" aca="1" ref="M23" ca="1">VAR(IF(($F$5:$F$43=$J23)*($G$5:$G$43=M$20),$H$5:$H$43))</f>
        <v>#NAME?</v>
      </c>
      <c r="N23" t="e">
        <f t="array" aca="1" ref="N23" ca="1">VAR(IF($F$5:$F$43=$J23,$H$5:$H$43))</f>
        <v>#NAME?</v>
      </c>
      <c r="P23" t="s">
        <v>368</v>
      </c>
      <c r="T23" t="s">
        <v>18</v>
      </c>
      <c r="U23">
        <v>0.05</v>
      </c>
    </row>
    <row r="24" spans="6:22" ht="15.75" thickTop="1" x14ac:dyDescent="0.25">
      <c r="F24" t="e">
        <f ca="1"/>
        <v>#NAME?</v>
      </c>
      <c r="G24" t="e">
        <f ca="1"/>
        <v>#NAME?</v>
      </c>
      <c r="H24" t="e">
        <f ca="1"/>
        <v>#NAME?</v>
      </c>
      <c r="K24" t="e">
        <f t="array" aca="1" ref="K24" ca="1">VAR(IF($G$5:$G$43=K$20,$H$5:$H$43))</f>
        <v>#NAME?</v>
      </c>
      <c r="L24" t="e">
        <f t="array" aca="1" ref="L24" ca="1">VAR(IF($G$5:$G$43=L$20,$H$5:$H$43))</f>
        <v>#NAME?</v>
      </c>
      <c r="M24" t="e">
        <f t="array" aca="1" ref="M24" ca="1">VAR(IF($G$5:$G$43=M$20,$H$5:$H$43))</f>
        <v>#NAME?</v>
      </c>
      <c r="N24" t="e">
        <f ca="1">VAR(H5:H43)</f>
        <v>#NAME?</v>
      </c>
      <c r="P24" s="386" t="s">
        <v>153</v>
      </c>
      <c r="Q24" s="386" t="s">
        <v>111</v>
      </c>
      <c r="R24" s="386" t="s">
        <v>41</v>
      </c>
      <c r="S24" s="386" t="s">
        <v>115</v>
      </c>
      <c r="T24" s="386" t="s">
        <v>98</v>
      </c>
      <c r="U24" s="386" t="s">
        <v>154</v>
      </c>
      <c r="V24" s="386" t="s">
        <v>155</v>
      </c>
    </row>
    <row r="25" spans="6:22" x14ac:dyDescent="0.25">
      <c r="F25" t="e">
        <f ca="1"/>
        <v>#NAME?</v>
      </c>
      <c r="G25" t="e">
        <f ca="1"/>
        <v>#NAME?</v>
      </c>
      <c r="H25" t="e">
        <f ca="1"/>
        <v>#NAME?</v>
      </c>
      <c r="P25" t="s">
        <v>177</v>
      </c>
      <c r="Q25" t="e">
        <f ca="1">Q11</f>
        <v>#NAME?</v>
      </c>
      <c r="R25" t="e">
        <f ca="1">R11*K$27</f>
        <v>#NAME?</v>
      </c>
      <c r="S25" t="e">
        <f ca="1">Q25/R25</f>
        <v>#NAME?</v>
      </c>
      <c r="T25" t="e">
        <f ca="1">S25/S27</f>
        <v>#NAME?</v>
      </c>
      <c r="U25" t="e">
        <f ca="1">F_DIST_RT(T25,R25,R27)</f>
        <v>#NAME?</v>
      </c>
      <c r="V25" t="e">
        <f ca="1">F_INV_RT(U23,R25,R27)</f>
        <v>#NAME?</v>
      </c>
    </row>
    <row r="26" spans="6:22" x14ac:dyDescent="0.25">
      <c r="F26" t="e">
        <f ca="1"/>
        <v>#NAME?</v>
      </c>
      <c r="G26" t="e">
        <f ca="1"/>
        <v>#NAME?</v>
      </c>
      <c r="H26" t="e">
        <f ca="1"/>
        <v>#NAME?</v>
      </c>
      <c r="J26" t="s">
        <v>1127</v>
      </c>
      <c r="K26" s="671" t="e">
        <f ca="1">GG_Epsilon(A3:D16)</f>
        <v>#NAME?</v>
      </c>
      <c r="P26" t="s">
        <v>150</v>
      </c>
      <c r="Q26" t="e">
        <f ca="1">Q12</f>
        <v>#NAME?</v>
      </c>
      <c r="R26" t="e">
        <f ca="1">R12*K$27</f>
        <v>#NAME?</v>
      </c>
      <c r="S26" t="e">
        <f ca="1">Q26/R26</f>
        <v>#NAME?</v>
      </c>
      <c r="T26" t="e">
        <f ca="1">S26/S27</f>
        <v>#NAME?</v>
      </c>
      <c r="U26" t="e">
        <f ca="1">F_DIST_RT(T26,R26,R27)</f>
        <v>#NAME?</v>
      </c>
      <c r="V26" t="e">
        <f ca="1">F_INV_RT(U23,R26,R27)</f>
        <v>#NAME?</v>
      </c>
    </row>
    <row r="27" spans="6:22" x14ac:dyDescent="0.25">
      <c r="F27" t="e">
        <f ca="1"/>
        <v>#NAME?</v>
      </c>
      <c r="G27" t="e">
        <f ca="1"/>
        <v>#NAME?</v>
      </c>
      <c r="H27" t="e">
        <f ca="1"/>
        <v>#NAME?</v>
      </c>
      <c r="J27" t="s">
        <v>1128</v>
      </c>
      <c r="K27" s="349" t="e">
        <f ca="1">HF_Epsilon(A3:D16)</f>
        <v>#NAME?</v>
      </c>
      <c r="P27" t="s">
        <v>176</v>
      </c>
      <c r="Q27" t="e">
        <f ca="1">Q13</f>
        <v>#NAME?</v>
      </c>
      <c r="R27" t="e">
        <f ca="1">R13*K$27</f>
        <v>#NAME?</v>
      </c>
      <c r="S27" t="e">
        <f ca="1">Q27/R27</f>
        <v>#NAME?</v>
      </c>
    </row>
    <row r="28" spans="6:22" x14ac:dyDescent="0.25">
      <c r="F28" t="e">
        <f ca="1"/>
        <v>#NAME?</v>
      </c>
      <c r="G28" t="e">
        <f ca="1"/>
        <v>#NAME?</v>
      </c>
      <c r="H28" t="e">
        <f ca="1"/>
        <v>#NAME?</v>
      </c>
      <c r="P28" s="664"/>
      <c r="Q28" s="664"/>
      <c r="R28" s="664"/>
      <c r="S28" s="664"/>
      <c r="T28" s="664"/>
      <c r="U28" s="664"/>
      <c r="V28" s="664"/>
    </row>
    <row r="29" spans="6:22" x14ac:dyDescent="0.25">
      <c r="F29" t="e">
        <f ca="1"/>
        <v>#NAME?</v>
      </c>
      <c r="G29" t="e">
        <f ca="1"/>
        <v>#NAME?</v>
      </c>
      <c r="H29" t="e">
        <f ca="1"/>
        <v>#NAME?</v>
      </c>
    </row>
    <row r="30" spans="6:22" x14ac:dyDescent="0.25">
      <c r="F30" t="e">
        <f ca="1"/>
        <v>#NAME?</v>
      </c>
      <c r="G30" t="e">
        <f ca="1"/>
        <v>#NAME?</v>
      </c>
      <c r="H30" t="e">
        <f ca="1"/>
        <v>#NAME?</v>
      </c>
    </row>
    <row r="31" spans="6:22" x14ac:dyDescent="0.25">
      <c r="F31" t="e">
        <f ca="1"/>
        <v>#NAME?</v>
      </c>
      <c r="G31" t="e">
        <f ca="1"/>
        <v>#NAME?</v>
      </c>
      <c r="H31" t="e">
        <f ca="1"/>
        <v>#NAME?</v>
      </c>
    </row>
    <row r="32" spans="6:22" x14ac:dyDescent="0.25">
      <c r="F32" t="e">
        <f ca="1"/>
        <v>#NAME?</v>
      </c>
      <c r="G32" t="e">
        <f ca="1"/>
        <v>#NAME?</v>
      </c>
      <c r="H32" t="e">
        <f ca="1"/>
        <v>#NAME?</v>
      </c>
    </row>
    <row r="33" spans="6:8" x14ac:dyDescent="0.25">
      <c r="F33" t="e">
        <f ca="1"/>
        <v>#NAME?</v>
      </c>
      <c r="G33" t="e">
        <f ca="1"/>
        <v>#NAME?</v>
      </c>
      <c r="H33" t="e">
        <f ca="1"/>
        <v>#NAME?</v>
      </c>
    </row>
    <row r="34" spans="6:8" x14ac:dyDescent="0.25">
      <c r="F34" t="e">
        <f ca="1"/>
        <v>#NAME?</v>
      </c>
      <c r="G34" t="e">
        <f ca="1"/>
        <v>#NAME?</v>
      </c>
      <c r="H34" t="e">
        <f ca="1"/>
        <v>#NAME?</v>
      </c>
    </row>
    <row r="35" spans="6:8" x14ac:dyDescent="0.25">
      <c r="F35" t="e">
        <f ca="1"/>
        <v>#NAME?</v>
      </c>
      <c r="G35" t="e">
        <f ca="1"/>
        <v>#NAME?</v>
      </c>
      <c r="H35" t="e">
        <f ca="1"/>
        <v>#NAME?</v>
      </c>
    </row>
    <row r="36" spans="6:8" x14ac:dyDescent="0.25">
      <c r="F36" t="e">
        <f ca="1"/>
        <v>#NAME?</v>
      </c>
      <c r="G36" t="e">
        <f ca="1"/>
        <v>#NAME?</v>
      </c>
      <c r="H36" t="e">
        <f ca="1"/>
        <v>#NAME?</v>
      </c>
    </row>
    <row r="37" spans="6:8" x14ac:dyDescent="0.25">
      <c r="F37" t="e">
        <f ca="1"/>
        <v>#NAME?</v>
      </c>
      <c r="G37" t="e">
        <f ca="1"/>
        <v>#NAME?</v>
      </c>
      <c r="H37" t="e">
        <f ca="1"/>
        <v>#NAME?</v>
      </c>
    </row>
    <row r="38" spans="6:8" x14ac:dyDescent="0.25">
      <c r="F38" t="e">
        <f ca="1"/>
        <v>#NAME?</v>
      </c>
      <c r="G38" t="e">
        <f ca="1"/>
        <v>#NAME?</v>
      </c>
      <c r="H38" t="e">
        <f ca="1"/>
        <v>#NAME?</v>
      </c>
    </row>
    <row r="39" spans="6:8" x14ac:dyDescent="0.25">
      <c r="F39" t="e">
        <f ca="1"/>
        <v>#NAME?</v>
      </c>
      <c r="G39" t="e">
        <f ca="1"/>
        <v>#NAME?</v>
      </c>
      <c r="H39" t="e">
        <f ca="1"/>
        <v>#NAME?</v>
      </c>
    </row>
    <row r="40" spans="6:8" x14ac:dyDescent="0.25">
      <c r="F40" t="e">
        <f ca="1"/>
        <v>#NAME?</v>
      </c>
      <c r="G40" t="e">
        <f ca="1"/>
        <v>#NAME?</v>
      </c>
      <c r="H40" t="e">
        <f ca="1"/>
        <v>#NAME?</v>
      </c>
    </row>
    <row r="41" spans="6:8" x14ac:dyDescent="0.25">
      <c r="F41" t="e">
        <f ca="1"/>
        <v>#NAME?</v>
      </c>
      <c r="G41" t="e">
        <f ca="1"/>
        <v>#NAME?</v>
      </c>
      <c r="H41" t="e">
        <f ca="1"/>
        <v>#NAME?</v>
      </c>
    </row>
    <row r="42" spans="6:8" x14ac:dyDescent="0.25">
      <c r="F42" t="e">
        <f ca="1"/>
        <v>#NAME?</v>
      </c>
      <c r="G42" t="e">
        <f ca="1"/>
        <v>#NAME?</v>
      </c>
      <c r="H42" t="e">
        <f ca="1"/>
        <v>#NAME?</v>
      </c>
    </row>
    <row r="43" spans="6:8" x14ac:dyDescent="0.25">
      <c r="F43" t="e">
        <f ca="1"/>
        <v>#NAME?</v>
      </c>
      <c r="G43" t="e">
        <f ca="1"/>
        <v>#NAME?</v>
      </c>
      <c r="H43" t="e">
        <f ca="1"/>
        <v>#NAME?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V42"/>
  <sheetViews>
    <sheetView workbookViewId="0"/>
  </sheetViews>
  <sheetFormatPr defaultRowHeight="15" x14ac:dyDescent="0.25"/>
  <cols>
    <col min="2" max="2" width="8" customWidth="1"/>
    <col min="3" max="3" width="6.28515625" customWidth="1"/>
    <col min="16" max="16" width="17.42578125" customWidth="1"/>
  </cols>
  <sheetData>
    <row r="1" spans="1:22" x14ac:dyDescent="0.25">
      <c r="A1" s="1" t="s">
        <v>1354</v>
      </c>
    </row>
    <row r="3" spans="1:22" x14ac:dyDescent="0.25">
      <c r="A3" s="589" t="s">
        <v>2</v>
      </c>
      <c r="B3" s="589" t="s">
        <v>1491</v>
      </c>
      <c r="C3" s="571" t="s">
        <v>1492</v>
      </c>
      <c r="E3" t="s">
        <v>1493</v>
      </c>
      <c r="J3" t="s">
        <v>13</v>
      </c>
      <c r="P3" t="s">
        <v>1129</v>
      </c>
    </row>
    <row r="4" spans="1:22" x14ac:dyDescent="0.25">
      <c r="A4" t="s">
        <v>474</v>
      </c>
      <c r="B4" t="s">
        <v>476</v>
      </c>
      <c r="C4">
        <v>250</v>
      </c>
    </row>
    <row r="5" spans="1:22" ht="15.75" thickBot="1" x14ac:dyDescent="0.3">
      <c r="A5" t="s">
        <v>474</v>
      </c>
      <c r="B5" t="s">
        <v>477</v>
      </c>
      <c r="C5">
        <v>278</v>
      </c>
      <c r="E5" t="e">
        <f t="array" aca="1" ref="E5:H20" ca="1">StdAnova2(A4:C42)</f>
        <v>#NAME?</v>
      </c>
      <c r="F5" t="e">
        <f ca="1"/>
        <v>#NAME?</v>
      </c>
      <c r="G5" t="e">
        <f ca="1"/>
        <v>#NAME?</v>
      </c>
      <c r="H5" t="e">
        <f ca="1"/>
        <v>#NAME?</v>
      </c>
      <c r="J5" t="s">
        <v>820</v>
      </c>
      <c r="K5" t="str">
        <f ca="1">IF(COUNTIF(K7:M9,K7)=COUNT(K7:M9),"balanced","unbalanced")</f>
        <v>balanced</v>
      </c>
      <c r="P5" t="s">
        <v>125</v>
      </c>
      <c r="T5" s="720" t="s">
        <v>18</v>
      </c>
      <c r="U5" s="720">
        <v>0.05</v>
      </c>
    </row>
    <row r="6" spans="1:22" ht="15.75" thickTop="1" x14ac:dyDescent="0.25">
      <c r="A6" t="s">
        <v>474</v>
      </c>
      <c r="B6" t="s">
        <v>478</v>
      </c>
      <c r="C6">
        <v>442</v>
      </c>
      <c r="E6" t="e">
        <f ca="1"/>
        <v>#NAME?</v>
      </c>
      <c r="F6" s="648" t="e">
        <f ca="1"/>
        <v>#NAME?</v>
      </c>
      <c r="G6" s="649" t="e">
        <f ca="1"/>
        <v>#NAME?</v>
      </c>
      <c r="H6" s="650" t="e">
        <f ca="1"/>
        <v>#NAME?</v>
      </c>
      <c r="K6" t="e">
        <f t="array" aca="1" ref="K6:M6" ca="1">TRANSPOSE(SortUnique(B4:B42))</f>
        <v>#NAME?</v>
      </c>
      <c r="L6" t="e">
        <f ca="1"/>
        <v>#NAME?</v>
      </c>
      <c r="M6" t="e">
        <f ca="1"/>
        <v>#NAME?</v>
      </c>
      <c r="P6" s="386"/>
      <c r="Q6" s="386" t="s">
        <v>111</v>
      </c>
      <c r="R6" s="386" t="s">
        <v>41</v>
      </c>
      <c r="S6" s="386" t="s">
        <v>115</v>
      </c>
      <c r="T6" s="386" t="s">
        <v>98</v>
      </c>
      <c r="U6" s="386" t="s">
        <v>154</v>
      </c>
      <c r="V6" s="386" t="s">
        <v>161</v>
      </c>
    </row>
    <row r="7" spans="1:22" x14ac:dyDescent="0.25">
      <c r="A7" t="s">
        <v>474</v>
      </c>
      <c r="B7" t="s">
        <v>476</v>
      </c>
      <c r="C7">
        <v>65</v>
      </c>
      <c r="E7" t="e">
        <f ca="1"/>
        <v>#NAME?</v>
      </c>
      <c r="F7" s="183" t="e">
        <f ca="1"/>
        <v>#NAME?</v>
      </c>
      <c r="G7" s="7" t="e">
        <f ca="1"/>
        <v>#NAME?</v>
      </c>
      <c r="H7" s="43" t="e">
        <f ca="1"/>
        <v>#NAME?</v>
      </c>
      <c r="J7" t="e">
        <f t="array" aca="1" ref="J7:J9" ca="1">SortUnique(A4:A42)</f>
        <v>#NAME?</v>
      </c>
      <c r="K7" s="648">
        <f t="array" ref="K7" ca="1">COUNTIFS($A$4:$A$42,$J7,$B$4:$B$42,K$6)</f>
        <v>0</v>
      </c>
      <c r="L7" s="649">
        <f t="array" ref="L7" ca="1">COUNTIFS($A$4:$A$42,$J7,$B$4:$B$42,L$6)</f>
        <v>0</v>
      </c>
      <c r="M7" s="650">
        <f t="array" ref="M7" ca="1">COUNTIFS($A$4:$A$42,$J7,$B$4:$B$42,M$6)</f>
        <v>0</v>
      </c>
      <c r="N7">
        <f t="array" ref="N7" ca="1">SUM(K7:M7)</f>
        <v>0</v>
      </c>
      <c r="P7" t="s">
        <v>466</v>
      </c>
      <c r="Q7" t="e">
        <f ca="1">Q14-Q10</f>
        <v>#NAME?</v>
      </c>
      <c r="R7">
        <f ca="1">K10-1</f>
        <v>-1</v>
      </c>
    </row>
    <row r="8" spans="1:22" x14ac:dyDescent="0.25">
      <c r="A8" t="s">
        <v>474</v>
      </c>
      <c r="B8" t="s">
        <v>477</v>
      </c>
      <c r="C8">
        <v>207</v>
      </c>
      <c r="E8" t="e">
        <f ca="1"/>
        <v>#NAME?</v>
      </c>
      <c r="F8" s="183" t="e">
        <f ca="1"/>
        <v>#NAME?</v>
      </c>
      <c r="G8" s="7" t="e">
        <f ca="1"/>
        <v>#NAME?</v>
      </c>
      <c r="H8" s="43" t="e">
        <f ca="1"/>
        <v>#NAME?</v>
      </c>
      <c r="J8" t="e">
        <f ca="1"/>
        <v>#NAME?</v>
      </c>
      <c r="K8" s="183">
        <f t="array" ref="K8" ca="1">COUNTIFS($A$4:$A$42,$J8,$B$4:$B$42,K$6)</f>
        <v>0</v>
      </c>
      <c r="L8" s="7">
        <f t="array" ref="L8" ca="1">COUNTIFS($A$4:$A$42,$J8,$B$4:$B$42,L$6)</f>
        <v>0</v>
      </c>
      <c r="M8" s="43">
        <f t="array" ref="M8" ca="1">COUNTIFS($A$4:$A$42,$J8,$B$4:$B$42,M$6)</f>
        <v>0</v>
      </c>
      <c r="N8">
        <f t="array" ref="N8" ca="1">SUM(K8:M8)</f>
        <v>0</v>
      </c>
      <c r="P8" t="s">
        <v>1130</v>
      </c>
      <c r="Q8" t="e">
        <f ca="1">SSRRow(E5:H20)</f>
        <v>#NAME?</v>
      </c>
      <c r="R8">
        <f ca="1">COUNT(N14:N16)-1</f>
        <v>-1</v>
      </c>
      <c r="S8" t="e">
        <f ca="1">Q8/R8</f>
        <v>#NAME?</v>
      </c>
      <c r="T8" t="e">
        <f ca="1">S8/S9</f>
        <v>#NAME?</v>
      </c>
      <c r="U8" t="e">
        <f ca="1">FDIST(T8,R8,R9)</f>
        <v>#NAME?</v>
      </c>
      <c r="V8" t="e">
        <f ca="1">FINV(U5,R8,R9)</f>
        <v>#NUM!</v>
      </c>
    </row>
    <row r="9" spans="1:22" x14ac:dyDescent="0.25">
      <c r="A9" t="s">
        <v>474</v>
      </c>
      <c r="B9" t="s">
        <v>478</v>
      </c>
      <c r="C9">
        <v>341</v>
      </c>
      <c r="E9" t="e">
        <f ca="1"/>
        <v>#NAME?</v>
      </c>
      <c r="F9" s="183" t="e">
        <f ca="1"/>
        <v>#NAME?</v>
      </c>
      <c r="G9" s="7" t="e">
        <f ca="1"/>
        <v>#NAME?</v>
      </c>
      <c r="H9" s="43" t="e">
        <f ca="1"/>
        <v>#NAME?</v>
      </c>
      <c r="J9" t="e">
        <f ca="1"/>
        <v>#NAME?</v>
      </c>
      <c r="K9" s="351">
        <f t="array" ref="K9" ca="1">COUNTIFS($A$4:$A$42,$J9,$B$4:$B$42,K$6)</f>
        <v>0</v>
      </c>
      <c r="L9" s="352">
        <f t="array" ref="L9" ca="1">COUNTIFS($A$4:$A$42,$J9,$B$4:$B$42,L$6)</f>
        <v>0</v>
      </c>
      <c r="M9" s="353">
        <f t="array" ref="M9" ca="1">COUNTIFS($A$4:$A$42,$J9,$B$4:$B$42,M$6)</f>
        <v>0</v>
      </c>
      <c r="N9">
        <f t="array" ref="N9" ca="1">SUM(K9:M9)</f>
        <v>0</v>
      </c>
      <c r="P9" t="s">
        <v>1131</v>
      </c>
      <c r="Q9" t="e">
        <f ca="1">Q7-Q8</f>
        <v>#NAME?</v>
      </c>
      <c r="R9">
        <f ca="1">R7-R8</f>
        <v>0</v>
      </c>
      <c r="S9" t="e">
        <f ca="1">Q9/R9</f>
        <v>#NAME?</v>
      </c>
    </row>
    <row r="10" spans="1:22" x14ac:dyDescent="0.25">
      <c r="A10" t="s">
        <v>474</v>
      </c>
      <c r="B10" t="s">
        <v>476</v>
      </c>
      <c r="C10">
        <v>251</v>
      </c>
      <c r="E10" t="e">
        <f ca="1"/>
        <v>#NAME?</v>
      </c>
      <c r="F10" s="183" t="e">
        <f ca="1"/>
        <v>#NAME?</v>
      </c>
      <c r="G10" s="7" t="e">
        <f ca="1"/>
        <v>#NAME?</v>
      </c>
      <c r="H10" s="43" t="e">
        <f ca="1"/>
        <v>#NAME?</v>
      </c>
      <c r="K10">
        <f t="array" ref="K10" ca="1">SUM(K7:K9)</f>
        <v>0</v>
      </c>
      <c r="L10">
        <f t="array" ref="L10" ca="1">SUM(L7:L9)</f>
        <v>0</v>
      </c>
      <c r="M10">
        <f t="array" ref="M10" ca="1">SUM(M7:M9)</f>
        <v>0</v>
      </c>
      <c r="N10">
        <f t="array" ref="N10" ca="1">SUM(N7:N9)</f>
        <v>0</v>
      </c>
      <c r="P10" t="s">
        <v>468</v>
      </c>
      <c r="Q10" t="e">
        <f ca="1">SSRW(F6:H20)</f>
        <v>#NAME?</v>
      </c>
      <c r="R10">
        <f ca="1">R14-R7</f>
        <v>0</v>
      </c>
    </row>
    <row r="11" spans="1:22" x14ac:dyDescent="0.25">
      <c r="A11" t="s">
        <v>474</v>
      </c>
      <c r="B11" t="s">
        <v>477</v>
      </c>
      <c r="C11">
        <v>261</v>
      </c>
      <c r="E11" t="e">
        <f ca="1"/>
        <v>#NAME?</v>
      </c>
      <c r="F11" s="648" t="e">
        <f ca="1"/>
        <v>#NAME?</v>
      </c>
      <c r="G11" s="649" t="e">
        <f ca="1"/>
        <v>#NAME?</v>
      </c>
      <c r="H11" s="650" t="e">
        <f ca="1"/>
        <v>#NAME?</v>
      </c>
      <c r="P11" t="s">
        <v>1132</v>
      </c>
      <c r="Q11" t="e">
        <f ca="1">SSBet(F6:H20)</f>
        <v>#NAME?</v>
      </c>
      <c r="R11">
        <f ca="1">COUNT(K17:M17)-1</f>
        <v>-1</v>
      </c>
      <c r="S11" t="e">
        <f ca="1">Q11/R11</f>
        <v>#NAME?</v>
      </c>
      <c r="T11" t="e">
        <f ca="1">S11/S13</f>
        <v>#NAME?</v>
      </c>
      <c r="U11" t="e">
        <f ca="1">FDIST(T11,R11,R13)</f>
        <v>#NAME?</v>
      </c>
      <c r="V11" t="e">
        <f ca="1">FINV(U5,R11,R13)</f>
        <v>#NUM!</v>
      </c>
    </row>
    <row r="12" spans="1:22" x14ac:dyDescent="0.25">
      <c r="A12" t="s">
        <v>474</v>
      </c>
      <c r="B12" t="s">
        <v>478</v>
      </c>
      <c r="C12">
        <v>384</v>
      </c>
      <c r="E12" t="e">
        <f ca="1"/>
        <v>#NAME?</v>
      </c>
      <c r="F12" s="183" t="e">
        <f ca="1"/>
        <v>#NAME?</v>
      </c>
      <c r="G12" s="7" t="e">
        <f ca="1"/>
        <v>#NAME?</v>
      </c>
      <c r="H12" s="43" t="e">
        <f ca="1"/>
        <v>#NAME?</v>
      </c>
      <c r="J12" t="s">
        <v>179</v>
      </c>
      <c r="P12" t="s">
        <v>1133</v>
      </c>
      <c r="Q12" t="e">
        <f ca="1">SSRInt(E5:H20)</f>
        <v>#NAME?</v>
      </c>
      <c r="R12">
        <f ca="1">R8*R11</f>
        <v>1</v>
      </c>
      <c r="S12" t="e">
        <f ca="1">Q12/R12</f>
        <v>#NAME?</v>
      </c>
      <c r="T12" t="e">
        <f ca="1">S12/S13</f>
        <v>#NAME?</v>
      </c>
      <c r="U12" t="e">
        <f ca="1">FDIST(T12,R12,R13)</f>
        <v>#NAME?</v>
      </c>
      <c r="V12" t="e">
        <f ca="1">FINV(U5,R12,R13)</f>
        <v>#NUM!</v>
      </c>
    </row>
    <row r="13" spans="1:22" x14ac:dyDescent="0.25">
      <c r="A13" t="s">
        <v>474</v>
      </c>
      <c r="B13" t="s">
        <v>476</v>
      </c>
      <c r="C13">
        <v>103</v>
      </c>
      <c r="E13" t="e">
        <f ca="1"/>
        <v>#NAME?</v>
      </c>
      <c r="F13" s="183" t="e">
        <f ca="1"/>
        <v>#NAME?</v>
      </c>
      <c r="G13" s="7" t="e">
        <f ca="1"/>
        <v>#NAME?</v>
      </c>
      <c r="H13" s="43" t="e">
        <f ca="1"/>
        <v>#NAME?</v>
      </c>
      <c r="K13" t="e">
        <f t="array" aca="1" ref="K13:M13" ca="1">TRANSPOSE(SortUnique(B4:B42))</f>
        <v>#NAME?</v>
      </c>
      <c r="L13" t="e">
        <f ca="1"/>
        <v>#NAME?</v>
      </c>
      <c r="M13" t="e">
        <f ca="1"/>
        <v>#NAME?</v>
      </c>
      <c r="P13" t="s">
        <v>1131</v>
      </c>
      <c r="Q13" t="e">
        <f ca="1">Q10-Q11-Q12</f>
        <v>#NAME?</v>
      </c>
      <c r="R13">
        <f ca="1">R10-R11-R12</f>
        <v>0</v>
      </c>
      <c r="S13" t="e">
        <f ca="1">Q13/R13</f>
        <v>#NAME?</v>
      </c>
    </row>
    <row r="14" spans="1:22" x14ac:dyDescent="0.25">
      <c r="A14" t="s">
        <v>474</v>
      </c>
      <c r="B14" t="s">
        <v>477</v>
      </c>
      <c r="C14">
        <v>286</v>
      </c>
      <c r="E14" t="e">
        <f ca="1"/>
        <v>#NAME?</v>
      </c>
      <c r="F14" s="183" t="e">
        <f ca="1"/>
        <v>#NAME?</v>
      </c>
      <c r="G14" s="7" t="e">
        <f ca="1"/>
        <v>#NAME?</v>
      </c>
      <c r="H14" s="43" t="e">
        <f ca="1"/>
        <v>#NAME?</v>
      </c>
      <c r="J14" t="e">
        <f t="array" aca="1" ref="J14:J16" ca="1">SortUnique(A4:A42)</f>
        <v>#NAME?</v>
      </c>
      <c r="K14" s="648" t="e">
        <f t="array" ref="K14" ca="1">AVERAGEIFS($C$4:$C$42,$A$4:$A$42,$J14,$B$4:$B$42,K$13)</f>
        <v>#DIV/0!</v>
      </c>
      <c r="L14" s="649" t="e">
        <f t="array" ref="L14" ca="1">AVERAGEIFS($C$4:$C$42,$A$4:$A$42,$J14,$B$4:$B$42,L$13)</f>
        <v>#DIV/0!</v>
      </c>
      <c r="M14" s="650" t="e">
        <f t="array" ref="M14" ca="1">AVERAGEIFS($C$4:$C$42,$A$4:$A$42,$J14,$B$4:$B$42,M$13)</f>
        <v>#DIV/0!</v>
      </c>
      <c r="N14" t="e">
        <f t="array" ref="N14" ca="1">AVERAGE(K14:M14)</f>
        <v>#DIV/0!</v>
      </c>
      <c r="P14" s="354" t="s">
        <v>1</v>
      </c>
      <c r="Q14" s="354">
        <f ca="1">S14*R14</f>
        <v>-18717.491228070179</v>
      </c>
      <c r="R14" s="354">
        <f ca="1">N10-1</f>
        <v>-1</v>
      </c>
      <c r="S14" s="354">
        <f>N24</f>
        <v>18717.491228070179</v>
      </c>
      <c r="T14" s="354"/>
      <c r="U14" s="354"/>
      <c r="V14" s="354"/>
    </row>
    <row r="15" spans="1:22" x14ac:dyDescent="0.25">
      <c r="A15" t="s">
        <v>474</v>
      </c>
      <c r="B15" t="s">
        <v>478</v>
      </c>
      <c r="C15">
        <v>401</v>
      </c>
      <c r="E15" t="e">
        <f ca="1"/>
        <v>#NAME?</v>
      </c>
      <c r="F15" s="351" t="e">
        <f ca="1"/>
        <v>#NAME?</v>
      </c>
      <c r="G15" s="352" t="e">
        <f ca="1"/>
        <v>#NAME?</v>
      </c>
      <c r="H15" s="353" t="e">
        <f ca="1"/>
        <v>#NAME?</v>
      </c>
      <c r="J15" t="e">
        <f ca="1"/>
        <v>#NAME?</v>
      </c>
      <c r="K15" s="183" t="e">
        <f t="array" ref="K15" ca="1">AVERAGEIFS($C$4:$C$42,$A$4:$A$42,$J15,$B$4:$B$42,K$13)</f>
        <v>#DIV/0!</v>
      </c>
      <c r="L15" s="7" t="e">
        <f t="array" ref="L15" ca="1">AVERAGEIFS($C$4:$C$42,$A$4:$A$42,$J15,$B$4:$B$42,L$13)</f>
        <v>#DIV/0!</v>
      </c>
      <c r="M15" s="43" t="e">
        <f t="array" ref="M15" ca="1">AVERAGEIFS($C$4:$C$42,$A$4:$A$42,$J15,$B$4:$B$42,M$13)</f>
        <v>#DIV/0!</v>
      </c>
      <c r="N15" t="e">
        <f t="array" ref="N15" ca="1">AVERAGE(K15:M15)</f>
        <v>#DIV/0!</v>
      </c>
    </row>
    <row r="16" spans="1:22" x14ac:dyDescent="0.25">
      <c r="A16" t="s">
        <v>475</v>
      </c>
      <c r="B16" t="s">
        <v>476</v>
      </c>
      <c r="C16">
        <v>54</v>
      </c>
      <c r="E16" t="e">
        <f ca="1"/>
        <v>#NAME?</v>
      </c>
      <c r="F16" s="648" t="e">
        <f ca="1"/>
        <v>#NAME?</v>
      </c>
      <c r="G16" s="649" t="e">
        <f ca="1"/>
        <v>#NAME?</v>
      </c>
      <c r="H16" s="650" t="e">
        <f ca="1"/>
        <v>#NAME?</v>
      </c>
      <c r="J16" t="e">
        <f ca="1"/>
        <v>#NAME?</v>
      </c>
      <c r="K16" s="351" t="e">
        <f t="array" ref="K16" ca="1">AVERAGEIFS($C$4:$C$42,$A$4:$A$42,$J16,$B$4:$B$42,K$13)</f>
        <v>#DIV/0!</v>
      </c>
      <c r="L16" s="352" t="e">
        <f t="array" ref="L16" ca="1">AVERAGEIFS($C$4:$C$42,$A$4:$A$42,$J16,$B$4:$B$42,L$13)</f>
        <v>#DIV/0!</v>
      </c>
      <c r="M16" s="353" t="e">
        <f t="array" ref="M16" ca="1">AVERAGEIFS($C$4:$C$42,$A$4:$A$42,$J16,$B$4:$B$42,M$13)</f>
        <v>#DIV/0!</v>
      </c>
      <c r="N16" t="e">
        <f t="array" ref="N16" ca="1">AVERAGE(K16:M16)</f>
        <v>#DIV/0!</v>
      </c>
    </row>
    <row r="17" spans="1:22" ht="15.75" thickBot="1" x14ac:dyDescent="0.3">
      <c r="A17" t="s">
        <v>475</v>
      </c>
      <c r="B17" t="s">
        <v>477</v>
      </c>
      <c r="C17">
        <v>172</v>
      </c>
      <c r="E17" t="e">
        <f ca="1"/>
        <v>#NAME?</v>
      </c>
      <c r="F17" s="183" t="e">
        <f ca="1"/>
        <v>#NAME?</v>
      </c>
      <c r="G17" s="7" t="e">
        <f ca="1"/>
        <v>#NAME?</v>
      </c>
      <c r="H17" s="43" t="e">
        <f ca="1"/>
        <v>#NAME?</v>
      </c>
      <c r="K17" t="e">
        <f t="array" ref="K17" ca="1">AVERAGE(K14:K16)</f>
        <v>#DIV/0!</v>
      </c>
      <c r="L17" t="e">
        <f t="array" ref="L17" ca="1">AVERAGE(L14:L16)</f>
        <v>#DIV/0!</v>
      </c>
      <c r="M17" t="e">
        <f t="array" ref="M17" ca="1">AVERAGE(M14:M16)</f>
        <v>#DIV/0!</v>
      </c>
      <c r="N17" t="e">
        <f t="array" ref="N17" ca="1">AVERAGE(N14:N16)</f>
        <v>#DIV/0!</v>
      </c>
      <c r="P17" t="s">
        <v>367</v>
      </c>
      <c r="T17" t="s">
        <v>18</v>
      </c>
      <c r="U17">
        <v>0.05</v>
      </c>
    </row>
    <row r="18" spans="1:22" ht="15.75" thickTop="1" x14ac:dyDescent="0.25">
      <c r="A18" t="s">
        <v>475</v>
      </c>
      <c r="B18" t="s">
        <v>478</v>
      </c>
      <c r="C18">
        <v>307</v>
      </c>
      <c r="E18" t="e">
        <f ca="1"/>
        <v>#NAME?</v>
      </c>
      <c r="F18" s="183" t="e">
        <f ca="1"/>
        <v>#NAME?</v>
      </c>
      <c r="G18" s="7" t="e">
        <f ca="1"/>
        <v>#NAME?</v>
      </c>
      <c r="H18" s="43" t="e">
        <f ca="1"/>
        <v>#NAME?</v>
      </c>
      <c r="P18" s="386" t="s">
        <v>153</v>
      </c>
      <c r="Q18" s="386" t="s">
        <v>111</v>
      </c>
      <c r="R18" s="386" t="s">
        <v>41</v>
      </c>
      <c r="S18" s="386" t="s">
        <v>115</v>
      </c>
      <c r="T18" s="386" t="s">
        <v>98</v>
      </c>
      <c r="U18" s="386" t="s">
        <v>154</v>
      </c>
      <c r="V18" s="386" t="s">
        <v>155</v>
      </c>
    </row>
    <row r="19" spans="1:22" x14ac:dyDescent="0.25">
      <c r="A19" t="s">
        <v>475</v>
      </c>
      <c r="B19" t="s">
        <v>476</v>
      </c>
      <c r="C19">
        <v>20</v>
      </c>
      <c r="E19" t="e">
        <f ca="1"/>
        <v>#NAME?</v>
      </c>
      <c r="F19" s="183" t="e">
        <f ca="1"/>
        <v>#NAME?</v>
      </c>
      <c r="G19" s="7" t="e">
        <f ca="1"/>
        <v>#NAME?</v>
      </c>
      <c r="H19" s="43" t="e">
        <f ca="1"/>
        <v>#NAME?</v>
      </c>
      <c r="J19" t="s">
        <v>821</v>
      </c>
      <c r="P19" t="s">
        <v>177</v>
      </c>
      <c r="Q19" t="e">
        <f ca="1">Q11</f>
        <v>#NAME?</v>
      </c>
      <c r="R19" t="e">
        <f ca="1">R11*K$26</f>
        <v>#NAME?</v>
      </c>
      <c r="S19" t="e">
        <f ca="1">Q19/R19</f>
        <v>#NAME?</v>
      </c>
      <c r="T19" t="e">
        <f ca="1">S19/S21</f>
        <v>#NAME?</v>
      </c>
      <c r="U19" t="e">
        <f ca="1">F_DIST_RT(T19,R19,R21)</f>
        <v>#NAME?</v>
      </c>
      <c r="V19" t="e">
        <f ca="1">F_INV_RT(U17,R19,R21)</f>
        <v>#NAME?</v>
      </c>
    </row>
    <row r="20" spans="1:22" x14ac:dyDescent="0.25">
      <c r="A20" t="s">
        <v>475</v>
      </c>
      <c r="B20" t="s">
        <v>477</v>
      </c>
      <c r="C20">
        <v>116</v>
      </c>
      <c r="E20" t="e">
        <f ca="1"/>
        <v>#NAME?</v>
      </c>
      <c r="F20" s="351" t="e">
        <f ca="1"/>
        <v>#NAME?</v>
      </c>
      <c r="G20" s="352" t="e">
        <f ca="1"/>
        <v>#NAME?</v>
      </c>
      <c r="H20" s="353" t="e">
        <f ca="1"/>
        <v>#NAME?</v>
      </c>
      <c r="K20" t="e">
        <f t="array" aca="1" ref="K20:M20" ca="1">TRANSPOSE(SortUnique(B4:B42))</f>
        <v>#NAME?</v>
      </c>
      <c r="L20" t="e">
        <f ca="1"/>
        <v>#NAME?</v>
      </c>
      <c r="M20" t="e">
        <f ca="1"/>
        <v>#NAME?</v>
      </c>
      <c r="P20" t="s">
        <v>150</v>
      </c>
      <c r="Q20" t="e">
        <f ca="1">Q12</f>
        <v>#NAME?</v>
      </c>
      <c r="R20" t="e">
        <f ca="1">R12*K$26</f>
        <v>#NAME?</v>
      </c>
      <c r="S20" t="e">
        <f ca="1">Q20/R20</f>
        <v>#NAME?</v>
      </c>
      <c r="T20" t="e">
        <f ca="1">S20/S21</f>
        <v>#NAME?</v>
      </c>
      <c r="U20" t="e">
        <f ca="1">F_DIST_RT(T20,R20,R21)</f>
        <v>#NAME?</v>
      </c>
      <c r="V20" t="e">
        <f ca="1">F_INV_RT(U17,R20,R21)</f>
        <v>#NAME?</v>
      </c>
    </row>
    <row r="21" spans="1:22" x14ac:dyDescent="0.25">
      <c r="A21" t="s">
        <v>475</v>
      </c>
      <c r="B21" t="s">
        <v>478</v>
      </c>
      <c r="C21">
        <v>425</v>
      </c>
      <c r="J21" t="e">
        <f t="array" aca="1" ref="J21:J23" ca="1">SortUnique(A4:A42)</f>
        <v>#NAME?</v>
      </c>
      <c r="K21" s="648" t="e">
        <f t="array" aca="1" ref="K21" ca="1">VAR(IF(($A$4:$A$42=$J21)*($B$4:$B$42=K$20),$C$4:$C$42))</f>
        <v>#NAME?</v>
      </c>
      <c r="L21" s="649" t="e">
        <f t="array" aca="1" ref="L21" ca="1">VAR(IF(($A$4:$A$42=$J21)*($B$4:$B$42=L$20),$C$4:$C$42))</f>
        <v>#NAME?</v>
      </c>
      <c r="M21" s="650" t="e">
        <f t="array" aca="1" ref="M21" ca="1">VAR(IF(($A$4:$A$42=$J21)*($B$4:$B$42=M$20),$C$4:$C$42))</f>
        <v>#NAME?</v>
      </c>
      <c r="N21" t="e">
        <f t="array" aca="1" ref="N21" ca="1">VAR(IF($A$4:$A$42=$J21,$C$4:$C$42))</f>
        <v>#NAME?</v>
      </c>
      <c r="P21" t="s">
        <v>176</v>
      </c>
      <c r="Q21" t="e">
        <f ca="1">Q13</f>
        <v>#NAME?</v>
      </c>
      <c r="R21" t="e">
        <f ca="1">R13*K$26</f>
        <v>#NAME?</v>
      </c>
      <c r="S21" t="e">
        <f ca="1">Q21/R21</f>
        <v>#NAME?</v>
      </c>
    </row>
    <row r="22" spans="1:22" x14ac:dyDescent="0.25">
      <c r="A22" t="s">
        <v>475</v>
      </c>
      <c r="B22" t="s">
        <v>476</v>
      </c>
      <c r="C22">
        <v>41</v>
      </c>
      <c r="J22" t="e">
        <f ca="1"/>
        <v>#NAME?</v>
      </c>
      <c r="K22" s="183" t="e">
        <f t="array" aca="1" ref="K22" ca="1">VAR(IF(($A$4:$A$42=$J22)*($B$4:$B$42=K$20),$C$4:$C$42))</f>
        <v>#NAME?</v>
      </c>
      <c r="L22" s="7" t="e">
        <f t="array" aca="1" ref="L22" ca="1">VAR(IF(($A$4:$A$42=$J22)*($B$4:$B$42=L$20),$C$4:$C$42))</f>
        <v>#NAME?</v>
      </c>
      <c r="M22" s="43" t="e">
        <f t="array" aca="1" ref="M22" ca="1">VAR(IF(($A$4:$A$42=$J22)*($B$4:$B$42=M$20),$C$4:$C$42))</f>
        <v>#NAME?</v>
      </c>
      <c r="N22" t="e">
        <f t="array" aca="1" ref="N22" ca="1">VAR(IF($A$4:$A$42=$J22,$C$4:$C$42))</f>
        <v>#NAME?</v>
      </c>
      <c r="P22" s="664"/>
      <c r="Q22" s="664"/>
      <c r="R22" s="664"/>
      <c r="S22" s="664"/>
      <c r="T22" s="664"/>
      <c r="U22" s="664"/>
      <c r="V22" s="664"/>
    </row>
    <row r="23" spans="1:22" ht="15.75" thickBot="1" x14ac:dyDescent="0.3">
      <c r="A23" t="s">
        <v>475</v>
      </c>
      <c r="B23" t="s">
        <v>477</v>
      </c>
      <c r="C23">
        <v>168</v>
      </c>
      <c r="J23" t="e">
        <f ca="1"/>
        <v>#NAME?</v>
      </c>
      <c r="K23" s="351" t="e">
        <f t="array" aca="1" ref="K23" ca="1">VAR(IF(($A$4:$A$42=$J23)*($B$4:$B$42=K$20),$C$4:$C$42))</f>
        <v>#NAME?</v>
      </c>
      <c r="L23" s="352" t="e">
        <f t="array" aca="1" ref="L23" ca="1">VAR(IF(($A$4:$A$42=$J23)*($B$4:$B$42=L$20),$C$4:$C$42))</f>
        <v>#NAME?</v>
      </c>
      <c r="M23" s="353" t="e">
        <f t="array" aca="1" ref="M23" ca="1">VAR(IF(($A$4:$A$42=$J23)*($B$4:$B$42=M$20),$C$4:$C$42))</f>
        <v>#NAME?</v>
      </c>
      <c r="N23" t="e">
        <f t="array" aca="1" ref="N23" ca="1">VAR(IF($A$4:$A$42=$J23,$C$4:$C$42))</f>
        <v>#NAME?</v>
      </c>
      <c r="P23" t="s">
        <v>368</v>
      </c>
      <c r="T23" t="s">
        <v>18</v>
      </c>
      <c r="U23">
        <v>0.05</v>
      </c>
    </row>
    <row r="24" spans="1:22" ht="15.75" thickTop="1" x14ac:dyDescent="0.25">
      <c r="A24" t="s">
        <v>475</v>
      </c>
      <c r="B24" t="s">
        <v>478</v>
      </c>
      <c r="C24">
        <v>378</v>
      </c>
      <c r="K24" t="e">
        <f t="array" aca="1" ref="K24" ca="1">VAR(IF($B$4:$B$42=K$20,$C$4:$C$42))</f>
        <v>#NAME?</v>
      </c>
      <c r="L24" t="e">
        <f t="array" aca="1" ref="L24" ca="1">VAR(IF($B$4:$B$42=L$20,$C$4:$C$42))</f>
        <v>#NAME?</v>
      </c>
      <c r="M24" t="e">
        <f t="array" aca="1" ref="M24" ca="1">VAR(IF($B$4:$B$42=M$20,$C$4:$C$42))</f>
        <v>#NAME?</v>
      </c>
      <c r="N24">
        <f>VAR(C4:C42)</f>
        <v>18717.491228070179</v>
      </c>
      <c r="P24" s="386" t="s">
        <v>153</v>
      </c>
      <c r="Q24" s="386" t="s">
        <v>111</v>
      </c>
      <c r="R24" s="386" t="s">
        <v>41</v>
      </c>
      <c r="S24" s="386" t="s">
        <v>115</v>
      </c>
      <c r="T24" s="386" t="s">
        <v>98</v>
      </c>
      <c r="U24" s="386" t="s">
        <v>154</v>
      </c>
      <c r="V24" s="386" t="s">
        <v>155</v>
      </c>
    </row>
    <row r="25" spans="1:22" x14ac:dyDescent="0.25">
      <c r="A25" t="s">
        <v>475</v>
      </c>
      <c r="B25" t="s">
        <v>476</v>
      </c>
      <c r="C25">
        <v>29</v>
      </c>
      <c r="P25" t="s">
        <v>177</v>
      </c>
      <c r="Q25" t="e">
        <f ca="1">Q11</f>
        <v>#NAME?</v>
      </c>
      <c r="R25" t="e">
        <f ca="1">R11*K$27</f>
        <v>#NAME?</v>
      </c>
      <c r="S25" t="e">
        <f ca="1">Q25/R25</f>
        <v>#NAME?</v>
      </c>
      <c r="T25" t="e">
        <f ca="1">S25/S27</f>
        <v>#NAME?</v>
      </c>
      <c r="U25" t="e">
        <f ca="1">F_DIST_RT(T25,R25,R27)</f>
        <v>#NAME?</v>
      </c>
      <c r="V25" t="e">
        <f ca="1">F_INV_RT(U23,R25,R27)</f>
        <v>#NAME?</v>
      </c>
    </row>
    <row r="26" spans="1:22" x14ac:dyDescent="0.25">
      <c r="A26" t="s">
        <v>475</v>
      </c>
      <c r="B26" t="s">
        <v>477</v>
      </c>
      <c r="C26">
        <v>81</v>
      </c>
      <c r="J26" t="s">
        <v>1127</v>
      </c>
      <c r="K26" s="671" t="e">
        <f ca="1">GG_Epsilon(E5:H20)</f>
        <v>#NAME?</v>
      </c>
      <c r="P26" t="s">
        <v>150</v>
      </c>
      <c r="Q26" t="e">
        <f ca="1">Q12</f>
        <v>#NAME?</v>
      </c>
      <c r="R26" t="e">
        <f ca="1">R12*K$27</f>
        <v>#NAME?</v>
      </c>
      <c r="S26" t="e">
        <f ca="1">Q26/R26</f>
        <v>#NAME?</v>
      </c>
      <c r="T26" t="e">
        <f ca="1">S26/S27</f>
        <v>#NAME?</v>
      </c>
      <c r="U26" t="e">
        <f ca="1">F_DIST_RT(T26,R26,R27)</f>
        <v>#NAME?</v>
      </c>
      <c r="V26" t="e">
        <f ca="1">F_INV_RT(U23,R26,R27)</f>
        <v>#NAME?</v>
      </c>
    </row>
    <row r="27" spans="1:22" x14ac:dyDescent="0.25">
      <c r="A27" t="s">
        <v>475</v>
      </c>
      <c r="B27" t="s">
        <v>478</v>
      </c>
      <c r="C27">
        <v>193</v>
      </c>
      <c r="J27" t="s">
        <v>1128</v>
      </c>
      <c r="K27" s="349" t="e">
        <f ca="1">HF_Epsilon(E5:H20)</f>
        <v>#NAME?</v>
      </c>
      <c r="P27" t="s">
        <v>176</v>
      </c>
      <c r="Q27" t="e">
        <f ca="1">Q13</f>
        <v>#NAME?</v>
      </c>
      <c r="R27" t="e">
        <f ca="1">R13*K$27</f>
        <v>#NAME?</v>
      </c>
      <c r="S27" t="e">
        <f ca="1">Q27/R27</f>
        <v>#NAME?</v>
      </c>
    </row>
    <row r="28" spans="1:22" x14ac:dyDescent="0.25">
      <c r="A28" t="s">
        <v>475</v>
      </c>
      <c r="B28" t="s">
        <v>476</v>
      </c>
      <c r="C28">
        <v>3</v>
      </c>
      <c r="P28" s="664"/>
      <c r="Q28" s="664"/>
      <c r="R28" s="664"/>
      <c r="S28" s="664"/>
      <c r="T28" s="664"/>
      <c r="U28" s="664"/>
      <c r="V28" s="664"/>
    </row>
    <row r="29" spans="1:22" x14ac:dyDescent="0.25">
      <c r="A29" t="s">
        <v>475</v>
      </c>
      <c r="B29" t="s">
        <v>477</v>
      </c>
      <c r="C29">
        <v>54</v>
      </c>
    </row>
    <row r="30" spans="1:22" x14ac:dyDescent="0.25">
      <c r="A30" t="s">
        <v>475</v>
      </c>
      <c r="B30" t="s">
        <v>478</v>
      </c>
      <c r="C30">
        <v>285</v>
      </c>
    </row>
    <row r="31" spans="1:22" x14ac:dyDescent="0.25">
      <c r="A31" t="s">
        <v>51</v>
      </c>
      <c r="B31" t="s">
        <v>476</v>
      </c>
      <c r="C31">
        <v>118</v>
      </c>
    </row>
    <row r="32" spans="1:22" x14ac:dyDescent="0.25">
      <c r="A32" t="s">
        <v>51</v>
      </c>
      <c r="B32" t="s">
        <v>477</v>
      </c>
      <c r="C32">
        <v>124</v>
      </c>
    </row>
    <row r="33" spans="1:3" x14ac:dyDescent="0.25">
      <c r="A33" t="s">
        <v>51</v>
      </c>
      <c r="B33" t="s">
        <v>478</v>
      </c>
      <c r="C33">
        <v>365</v>
      </c>
    </row>
    <row r="34" spans="1:3" x14ac:dyDescent="0.25">
      <c r="A34" t="s">
        <v>51</v>
      </c>
      <c r="B34" t="s">
        <v>476</v>
      </c>
      <c r="C34">
        <v>83</v>
      </c>
    </row>
    <row r="35" spans="1:3" x14ac:dyDescent="0.25">
      <c r="A35" t="s">
        <v>51</v>
      </c>
      <c r="B35" t="s">
        <v>477</v>
      </c>
      <c r="C35">
        <v>266</v>
      </c>
    </row>
    <row r="36" spans="1:3" x14ac:dyDescent="0.25">
      <c r="A36" t="s">
        <v>51</v>
      </c>
      <c r="B36" t="s">
        <v>478</v>
      </c>
      <c r="C36">
        <v>382</v>
      </c>
    </row>
    <row r="37" spans="1:3" x14ac:dyDescent="0.25">
      <c r="A37" t="s">
        <v>51</v>
      </c>
      <c r="B37" t="s">
        <v>476</v>
      </c>
      <c r="C37">
        <v>38</v>
      </c>
    </row>
    <row r="38" spans="1:3" x14ac:dyDescent="0.25">
      <c r="A38" t="s">
        <v>51</v>
      </c>
      <c r="B38" t="s">
        <v>477</v>
      </c>
      <c r="C38">
        <v>207</v>
      </c>
    </row>
    <row r="39" spans="1:3" x14ac:dyDescent="0.25">
      <c r="A39" t="s">
        <v>51</v>
      </c>
      <c r="B39" t="s">
        <v>478</v>
      </c>
      <c r="C39">
        <v>289</v>
      </c>
    </row>
    <row r="40" spans="1:3" x14ac:dyDescent="0.25">
      <c r="A40" t="s">
        <v>51</v>
      </c>
      <c r="B40" t="s">
        <v>476</v>
      </c>
      <c r="C40">
        <v>71</v>
      </c>
    </row>
    <row r="41" spans="1:3" x14ac:dyDescent="0.25">
      <c r="A41" t="s">
        <v>51</v>
      </c>
      <c r="B41" t="s">
        <v>477</v>
      </c>
      <c r="C41">
        <v>285</v>
      </c>
    </row>
    <row r="42" spans="1:3" x14ac:dyDescent="0.25">
      <c r="A42" t="s">
        <v>51</v>
      </c>
      <c r="B42" t="s">
        <v>478</v>
      </c>
      <c r="C42">
        <v>471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X34"/>
  <sheetViews>
    <sheetView workbookViewId="0"/>
  </sheetViews>
  <sheetFormatPr defaultRowHeight="15" x14ac:dyDescent="0.25"/>
  <cols>
    <col min="1" max="1" width="8.42578125" customWidth="1"/>
    <col min="2" max="4" width="6.85546875" customWidth="1"/>
    <col min="6" max="6" width="8.7109375" customWidth="1"/>
    <col min="7" max="9" width="8" customWidth="1"/>
    <col min="14" max="14" width="17.7109375" customWidth="1"/>
  </cols>
  <sheetData>
    <row r="1" spans="1:24" x14ac:dyDescent="0.25">
      <c r="A1" s="1" t="s">
        <v>640</v>
      </c>
      <c r="W1" t="s">
        <v>993</v>
      </c>
    </row>
    <row r="3" spans="1:24" ht="15" customHeight="1" x14ac:dyDescent="0.25">
      <c r="A3" s="271" t="s">
        <v>352</v>
      </c>
      <c r="B3" s="271" t="s">
        <v>106</v>
      </c>
      <c r="C3" s="271" t="s">
        <v>641</v>
      </c>
      <c r="D3" s="271" t="s">
        <v>642</v>
      </c>
      <c r="F3" s="271" t="s">
        <v>352</v>
      </c>
      <c r="G3" s="12" t="s">
        <v>106</v>
      </c>
      <c r="H3" s="12" t="s">
        <v>641</v>
      </c>
      <c r="I3" s="12" t="s">
        <v>642</v>
      </c>
      <c r="K3" s="39" t="s">
        <v>627</v>
      </c>
      <c r="L3" s="277" t="e">
        <f ca="1">J17</f>
        <v>#NAME?</v>
      </c>
      <c r="N3" t="s">
        <v>175</v>
      </c>
      <c r="W3" t="s">
        <v>1213</v>
      </c>
    </row>
    <row r="4" spans="1:24" ht="15.75" thickBot="1" x14ac:dyDescent="0.3">
      <c r="A4" s="271">
        <v>1</v>
      </c>
      <c r="B4" s="281">
        <v>10</v>
      </c>
      <c r="C4" s="282">
        <v>7</v>
      </c>
      <c r="D4" s="283">
        <v>8</v>
      </c>
      <c r="F4" s="271">
        <v>1</v>
      </c>
      <c r="G4" s="278" t="e">
        <f t="shared" ref="G4:G15" ca="1" si="0">RANK_AVG(B4,$B4:$D4,1)</f>
        <v>#NAME?</v>
      </c>
      <c r="H4" s="279" t="e">
        <f t="shared" ref="H4:H15" ca="1" si="1">RANK_AVG(C4,$B4:$D4,1)</f>
        <v>#NAME?</v>
      </c>
      <c r="I4" s="280" t="e">
        <f t="shared" ref="I4:I15" ca="1" si="2">RANK_AVG(D4,$B4:$D4,1)</f>
        <v>#NAME?</v>
      </c>
      <c r="K4" t="s">
        <v>38</v>
      </c>
      <c r="L4" s="185">
        <f>COUNTA(B3:D3)</f>
        <v>3</v>
      </c>
    </row>
    <row r="5" spans="1:24" x14ac:dyDescent="0.25">
      <c r="A5" s="271">
        <f>A4+1</f>
        <v>2</v>
      </c>
      <c r="B5" s="222">
        <v>8</v>
      </c>
      <c r="C5" s="272">
        <v>5</v>
      </c>
      <c r="D5" s="176">
        <v>5</v>
      </c>
      <c r="F5" s="271">
        <f>F4+1</f>
        <v>2</v>
      </c>
      <c r="G5" s="214" t="e">
        <f t="shared" ca="1" si="0"/>
        <v>#NAME?</v>
      </c>
      <c r="H5" s="7" t="e">
        <f t="shared" ca="1" si="1"/>
        <v>#NAME?</v>
      </c>
      <c r="I5" s="215" t="e">
        <f t="shared" ca="1" si="2"/>
        <v>#NAME?</v>
      </c>
      <c r="K5" t="s">
        <v>174</v>
      </c>
      <c r="L5" s="185">
        <f>COUNT(B4:B15)</f>
        <v>12</v>
      </c>
      <c r="N5" s="273" t="s">
        <v>43</v>
      </c>
      <c r="O5" s="273" t="s">
        <v>12</v>
      </c>
      <c r="P5" s="273" t="s">
        <v>11</v>
      </c>
      <c r="Q5" s="273" t="s">
        <v>159</v>
      </c>
      <c r="R5" s="273" t="s">
        <v>54</v>
      </c>
      <c r="W5" t="s">
        <v>18</v>
      </c>
      <c r="X5" s="519">
        <v>0.05</v>
      </c>
    </row>
    <row r="6" spans="1:24" x14ac:dyDescent="0.25">
      <c r="A6" s="271">
        <f t="shared" ref="A6:A15" si="3">A5+1</f>
        <v>3</v>
      </c>
      <c r="B6" s="222">
        <v>7</v>
      </c>
      <c r="C6" s="272">
        <v>8</v>
      </c>
      <c r="D6" s="176">
        <v>6</v>
      </c>
      <c r="F6" s="271">
        <f t="shared" ref="F6:F15" si="4">F5+1</f>
        <v>3</v>
      </c>
      <c r="G6" s="214" t="e">
        <f t="shared" ca="1" si="0"/>
        <v>#NAME?</v>
      </c>
      <c r="H6" s="7" t="e">
        <f t="shared" ca="1" si="1"/>
        <v>#NAME?</v>
      </c>
      <c r="I6" s="215" t="e">
        <f t="shared" ca="1" si="2"/>
        <v>#NAME?</v>
      </c>
      <c r="K6" s="75" t="s">
        <v>638</v>
      </c>
      <c r="L6" s="185" t="e">
        <f ca="1">12/(L5*L4*(L4+1))*J17-3*L5*(L4+1)</f>
        <v>#NAME?</v>
      </c>
      <c r="N6" s="16">
        <v>1</v>
      </c>
      <c r="O6" s="16">
        <v>3</v>
      </c>
      <c r="P6" s="16">
        <v>6</v>
      </c>
      <c r="Q6" s="16">
        <v>2</v>
      </c>
      <c r="R6" s="16">
        <v>1</v>
      </c>
    </row>
    <row r="7" spans="1:24" x14ac:dyDescent="0.25">
      <c r="A7" s="271">
        <f t="shared" si="3"/>
        <v>4</v>
      </c>
      <c r="B7" s="222">
        <v>9</v>
      </c>
      <c r="C7" s="272">
        <v>6</v>
      </c>
      <c r="D7" s="176">
        <v>4</v>
      </c>
      <c r="F7" s="271">
        <f t="shared" si="4"/>
        <v>4</v>
      </c>
      <c r="G7" s="214" t="e">
        <f t="shared" ca="1" si="0"/>
        <v>#NAME?</v>
      </c>
      <c r="H7" s="7" t="e">
        <f t="shared" ca="1" si="1"/>
        <v>#NAME?</v>
      </c>
      <c r="I7" s="215" t="e">
        <f t="shared" ca="1" si="2"/>
        <v>#NAME?</v>
      </c>
      <c r="K7" s="75" t="s">
        <v>41</v>
      </c>
      <c r="L7" s="185">
        <f ca="1">COUNTA(G5:I5)-1</f>
        <v>2</v>
      </c>
      <c r="N7" s="16">
        <v>2</v>
      </c>
      <c r="O7" s="16">
        <v>3</v>
      </c>
      <c r="P7" s="16">
        <v>6</v>
      </c>
      <c r="Q7" s="16">
        <v>2</v>
      </c>
      <c r="R7" s="16">
        <v>0.75</v>
      </c>
      <c r="W7" t="s">
        <v>1214</v>
      </c>
      <c r="X7" s="520" t="e">
        <f ca="1">FRIEDMAN(B4:D15)</f>
        <v>#NAME?</v>
      </c>
    </row>
    <row r="8" spans="1:24" x14ac:dyDescent="0.25">
      <c r="A8" s="271">
        <f t="shared" si="3"/>
        <v>5</v>
      </c>
      <c r="B8" s="222">
        <v>7</v>
      </c>
      <c r="C8" s="272">
        <v>5</v>
      </c>
      <c r="D8" s="176">
        <v>7</v>
      </c>
      <c r="F8" s="271">
        <f t="shared" si="4"/>
        <v>5</v>
      </c>
      <c r="G8" s="214" t="e">
        <f t="shared" ca="1" si="0"/>
        <v>#NAME?</v>
      </c>
      <c r="H8" s="7" t="e">
        <f t="shared" ca="1" si="1"/>
        <v>#NAME?</v>
      </c>
      <c r="I8" s="215" t="e">
        <f t="shared" ca="1" si="2"/>
        <v>#NAME?</v>
      </c>
      <c r="K8" s="75" t="s">
        <v>67</v>
      </c>
      <c r="L8" s="185" t="e">
        <f ca="1">CHIDIST(L6,L7)</f>
        <v>#NAME?</v>
      </c>
      <c r="N8" s="16">
        <v>3</v>
      </c>
      <c r="O8" s="16">
        <v>3</v>
      </c>
      <c r="P8" s="16">
        <v>6</v>
      </c>
      <c r="Q8" s="16">
        <v>2</v>
      </c>
      <c r="R8" s="16">
        <v>1</v>
      </c>
      <c r="W8" t="s">
        <v>41</v>
      </c>
      <c r="X8" s="322">
        <f>COUNT(B4:D4)-1</f>
        <v>2</v>
      </c>
    </row>
    <row r="9" spans="1:24" x14ac:dyDescent="0.25">
      <c r="A9" s="271">
        <f t="shared" si="3"/>
        <v>6</v>
      </c>
      <c r="B9" s="222">
        <v>4</v>
      </c>
      <c r="C9" s="272">
        <v>7</v>
      </c>
      <c r="D9" s="176">
        <v>5</v>
      </c>
      <c r="F9" s="271">
        <f t="shared" si="4"/>
        <v>6</v>
      </c>
      <c r="G9" s="214" t="e">
        <f t="shared" ca="1" si="0"/>
        <v>#NAME?</v>
      </c>
      <c r="H9" s="7" t="e">
        <f t="shared" ca="1" si="1"/>
        <v>#NAME?</v>
      </c>
      <c r="I9" s="215" t="e">
        <f t="shared" ca="1" si="2"/>
        <v>#NAME?</v>
      </c>
      <c r="K9" s="75" t="s">
        <v>32</v>
      </c>
      <c r="L9" s="185">
        <v>0.05</v>
      </c>
      <c r="N9" s="16">
        <v>4</v>
      </c>
      <c r="O9" s="16">
        <v>3</v>
      </c>
      <c r="P9" s="16">
        <v>6</v>
      </c>
      <c r="Q9" s="16">
        <v>2</v>
      </c>
      <c r="R9" s="16">
        <v>1</v>
      </c>
      <c r="W9" t="s">
        <v>48</v>
      </c>
      <c r="X9" s="322" t="e">
        <f ca="1">CHIDIST(X7,X8)</f>
        <v>#NAME?</v>
      </c>
    </row>
    <row r="10" spans="1:24" x14ac:dyDescent="0.25">
      <c r="A10" s="271">
        <f t="shared" si="3"/>
        <v>7</v>
      </c>
      <c r="B10" s="222">
        <v>5</v>
      </c>
      <c r="C10" s="272">
        <v>9</v>
      </c>
      <c r="D10" s="176">
        <v>3</v>
      </c>
      <c r="F10" s="271">
        <f t="shared" si="4"/>
        <v>7</v>
      </c>
      <c r="G10" s="214" t="e">
        <f t="shared" ca="1" si="0"/>
        <v>#NAME?</v>
      </c>
      <c r="H10" s="7" t="e">
        <f t="shared" ca="1" si="1"/>
        <v>#NAME?</v>
      </c>
      <c r="I10" s="215" t="e">
        <f t="shared" ca="1" si="2"/>
        <v>#NAME?</v>
      </c>
      <c r="K10" s="75" t="s">
        <v>164</v>
      </c>
      <c r="L10" s="117" t="e">
        <f ca="1">IF(L8&lt;L9,"yes","no")</f>
        <v>#NAME?</v>
      </c>
      <c r="N10" s="16">
        <v>5</v>
      </c>
      <c r="O10" s="16">
        <v>3</v>
      </c>
      <c r="P10" s="16">
        <v>6</v>
      </c>
      <c r="Q10" s="16">
        <v>2</v>
      </c>
      <c r="R10" s="16">
        <v>0.75</v>
      </c>
      <c r="W10" t="s">
        <v>164</v>
      </c>
      <c r="X10" s="350" t="e">
        <f ca="1">IF(X9&lt;X5,"yes","no")</f>
        <v>#NAME?</v>
      </c>
    </row>
    <row r="11" spans="1:24" x14ac:dyDescent="0.25">
      <c r="A11" s="271">
        <f t="shared" si="3"/>
        <v>8</v>
      </c>
      <c r="B11" s="222">
        <v>6</v>
      </c>
      <c r="C11" s="272">
        <v>6</v>
      </c>
      <c r="D11" s="176">
        <v>7</v>
      </c>
      <c r="F11" s="271">
        <f t="shared" si="4"/>
        <v>8</v>
      </c>
      <c r="G11" s="214" t="e">
        <f t="shared" ca="1" si="0"/>
        <v>#NAME?</v>
      </c>
      <c r="H11" s="7" t="e">
        <f t="shared" ca="1" si="1"/>
        <v>#NAME?</v>
      </c>
      <c r="I11" s="215" t="e">
        <f t="shared" ca="1" si="2"/>
        <v>#NAME?</v>
      </c>
      <c r="N11" s="16">
        <v>6</v>
      </c>
      <c r="O11" s="16">
        <v>3</v>
      </c>
      <c r="P11" s="16">
        <v>6</v>
      </c>
      <c r="Q11" s="16">
        <v>2</v>
      </c>
      <c r="R11" s="16">
        <v>1</v>
      </c>
    </row>
    <row r="12" spans="1:24" x14ac:dyDescent="0.25">
      <c r="A12" s="271">
        <f t="shared" si="3"/>
        <v>9</v>
      </c>
      <c r="B12" s="222">
        <v>5</v>
      </c>
      <c r="C12" s="272">
        <v>4</v>
      </c>
      <c r="D12" s="176">
        <v>6</v>
      </c>
      <c r="F12" s="271">
        <f t="shared" si="4"/>
        <v>9</v>
      </c>
      <c r="G12" s="214" t="e">
        <f t="shared" ca="1" si="0"/>
        <v>#NAME?</v>
      </c>
      <c r="H12" s="7" t="e">
        <f t="shared" ca="1" si="1"/>
        <v>#NAME?</v>
      </c>
      <c r="I12" s="215" t="e">
        <f t="shared" ca="1" si="2"/>
        <v>#NAME?</v>
      </c>
      <c r="N12" s="16">
        <v>7</v>
      </c>
      <c r="O12" s="16">
        <v>3</v>
      </c>
      <c r="P12" s="16">
        <v>6</v>
      </c>
      <c r="Q12" s="16">
        <v>2</v>
      </c>
      <c r="R12" s="16">
        <v>1</v>
      </c>
    </row>
    <row r="13" spans="1:24" x14ac:dyDescent="0.25">
      <c r="A13" s="271">
        <f t="shared" si="3"/>
        <v>10</v>
      </c>
      <c r="B13" s="222">
        <v>10</v>
      </c>
      <c r="C13" s="272">
        <v>6</v>
      </c>
      <c r="D13" s="176">
        <v>4</v>
      </c>
      <c r="F13" s="271">
        <f t="shared" si="4"/>
        <v>10</v>
      </c>
      <c r="G13" s="214" t="e">
        <f t="shared" ca="1" si="0"/>
        <v>#NAME?</v>
      </c>
      <c r="H13" s="7" t="e">
        <f t="shared" ca="1" si="1"/>
        <v>#NAME?</v>
      </c>
      <c r="I13" s="215" t="e">
        <f t="shared" ca="1" si="2"/>
        <v>#NAME?</v>
      </c>
      <c r="N13" s="16">
        <v>8</v>
      </c>
      <c r="O13" s="16">
        <v>3</v>
      </c>
      <c r="P13" s="16">
        <v>6</v>
      </c>
      <c r="Q13" s="16">
        <v>2</v>
      </c>
      <c r="R13" s="16">
        <v>0.75</v>
      </c>
    </row>
    <row r="14" spans="1:24" x14ac:dyDescent="0.25">
      <c r="A14" s="271">
        <f t="shared" si="3"/>
        <v>11</v>
      </c>
      <c r="B14" s="222">
        <v>4</v>
      </c>
      <c r="C14" s="272">
        <v>7</v>
      </c>
      <c r="D14" s="176">
        <v>4</v>
      </c>
      <c r="F14" s="271">
        <f t="shared" si="4"/>
        <v>11</v>
      </c>
      <c r="G14" s="214" t="e">
        <f t="shared" ca="1" si="0"/>
        <v>#NAME?</v>
      </c>
      <c r="H14" s="7" t="e">
        <f t="shared" ca="1" si="1"/>
        <v>#NAME?</v>
      </c>
      <c r="I14" s="215" t="e">
        <f t="shared" ca="1" si="2"/>
        <v>#NAME?</v>
      </c>
      <c r="N14" s="16">
        <v>9</v>
      </c>
      <c r="O14" s="16">
        <v>3</v>
      </c>
      <c r="P14" s="16">
        <v>6</v>
      </c>
      <c r="Q14" s="16">
        <v>2</v>
      </c>
      <c r="R14" s="16">
        <v>1</v>
      </c>
    </row>
    <row r="15" spans="1:24" x14ac:dyDescent="0.25">
      <c r="A15" s="271">
        <f t="shared" si="3"/>
        <v>12</v>
      </c>
      <c r="B15" s="31">
        <v>7</v>
      </c>
      <c r="C15" s="274">
        <v>3</v>
      </c>
      <c r="D15" s="32">
        <v>3</v>
      </c>
      <c r="F15" s="271">
        <f t="shared" si="4"/>
        <v>12</v>
      </c>
      <c r="G15" s="9" t="e">
        <f t="shared" ca="1" si="0"/>
        <v>#NAME?</v>
      </c>
      <c r="H15" s="10" t="e">
        <f t="shared" ca="1" si="1"/>
        <v>#NAME?</v>
      </c>
      <c r="I15" s="11" t="e">
        <f t="shared" ca="1" si="2"/>
        <v>#NAME?</v>
      </c>
      <c r="N15" s="16">
        <v>10</v>
      </c>
      <c r="O15" s="16">
        <v>3</v>
      </c>
      <c r="P15" s="16">
        <v>6</v>
      </c>
      <c r="Q15" s="16">
        <v>2</v>
      </c>
      <c r="R15" s="16">
        <v>1</v>
      </c>
    </row>
    <row r="16" spans="1:24" x14ac:dyDescent="0.25">
      <c r="F16" s="271" t="s">
        <v>190</v>
      </c>
      <c r="G16" s="278" t="e">
        <f ca="1">SUM(G4:G15)</f>
        <v>#NAME?</v>
      </c>
      <c r="H16" s="279" t="e">
        <f ca="1">SUM(H4:H15)</f>
        <v>#NAME?</v>
      </c>
      <c r="I16" s="280" t="e">
        <f ca="1">SUM(I4:I15)</f>
        <v>#NAME?</v>
      </c>
      <c r="N16" s="16">
        <v>11</v>
      </c>
      <c r="O16" s="16">
        <v>3</v>
      </c>
      <c r="P16" s="16">
        <v>6</v>
      </c>
      <c r="Q16" s="16">
        <v>2</v>
      </c>
      <c r="R16" s="16">
        <v>0.75</v>
      </c>
    </row>
    <row r="17" spans="6:20" ht="17.25" x14ac:dyDescent="0.25">
      <c r="F17" s="271" t="s">
        <v>627</v>
      </c>
      <c r="G17" s="9" t="e">
        <f ca="1">G16^2</f>
        <v>#NAME?</v>
      </c>
      <c r="H17" s="10" t="e">
        <f ca="1">H16^2</f>
        <v>#NAME?</v>
      </c>
      <c r="I17" s="11" t="e">
        <f ca="1">I16^2</f>
        <v>#NAME?</v>
      </c>
      <c r="J17" s="258" t="e">
        <f ca="1">SUM(G17:I17)</f>
        <v>#NAME?</v>
      </c>
      <c r="N17" s="16">
        <v>12</v>
      </c>
      <c r="O17" s="16">
        <v>3</v>
      </c>
      <c r="P17" s="16">
        <v>6</v>
      </c>
      <c r="Q17" s="16">
        <v>2</v>
      </c>
      <c r="R17" s="16">
        <v>0.75</v>
      </c>
    </row>
    <row r="18" spans="6:20" x14ac:dyDescent="0.25">
      <c r="N18" s="16"/>
      <c r="O18" s="16"/>
      <c r="P18" s="16"/>
      <c r="Q18" s="16"/>
      <c r="R18" s="16"/>
    </row>
    <row r="19" spans="6:20" x14ac:dyDescent="0.25">
      <c r="N19" s="16" t="s">
        <v>106</v>
      </c>
      <c r="O19" s="16">
        <v>12</v>
      </c>
      <c r="P19" s="16">
        <v>27.5</v>
      </c>
      <c r="Q19" s="16">
        <v>2.2916666666666665</v>
      </c>
      <c r="R19" s="16">
        <v>0.52083333333333315</v>
      </c>
    </row>
    <row r="20" spans="6:20" x14ac:dyDescent="0.25">
      <c r="F20" t="s">
        <v>1217</v>
      </c>
      <c r="N20" s="16" t="s">
        <v>641</v>
      </c>
      <c r="O20" s="16">
        <v>12</v>
      </c>
      <c r="P20" s="16">
        <v>23.5</v>
      </c>
      <c r="Q20" s="16">
        <v>1.9583333333333333</v>
      </c>
      <c r="R20" s="16">
        <v>0.70265151515151492</v>
      </c>
    </row>
    <row r="21" spans="6:20" ht="15.75" thickBot="1" x14ac:dyDescent="0.3">
      <c r="N21" s="17" t="s">
        <v>642</v>
      </c>
      <c r="O21" s="17">
        <v>12</v>
      </c>
      <c r="P21" s="17">
        <v>21</v>
      </c>
      <c r="Q21" s="17">
        <v>1.75</v>
      </c>
      <c r="R21" s="17">
        <v>0.56818181818181823</v>
      </c>
    </row>
    <row r="22" spans="6:20" x14ac:dyDescent="0.25">
      <c r="F22" t="s">
        <v>638</v>
      </c>
      <c r="G22" s="277" t="e">
        <f ca="1">FRIEDMAN(B4:D15)</f>
        <v>#NAME?</v>
      </c>
    </row>
    <row r="23" spans="6:20" x14ac:dyDescent="0.25">
      <c r="F23" t="s">
        <v>48</v>
      </c>
      <c r="G23" s="123" t="e">
        <f ca="1">FrTEST(B4:D15)</f>
        <v>#NAME?</v>
      </c>
    </row>
    <row r="24" spans="6:20" ht="15.75" thickBot="1" x14ac:dyDescent="0.3">
      <c r="N24" t="s">
        <v>125</v>
      </c>
    </row>
    <row r="25" spans="6:20" x14ac:dyDescent="0.25">
      <c r="N25" s="273" t="s">
        <v>160</v>
      </c>
      <c r="O25" s="273" t="s">
        <v>111</v>
      </c>
      <c r="P25" s="273" t="s">
        <v>41</v>
      </c>
      <c r="Q25" s="273" t="s">
        <v>115</v>
      </c>
      <c r="R25" s="273" t="s">
        <v>98</v>
      </c>
      <c r="S25" s="273" t="s">
        <v>83</v>
      </c>
      <c r="T25" s="273" t="s">
        <v>161</v>
      </c>
    </row>
    <row r="26" spans="6:20" x14ac:dyDescent="0.25">
      <c r="N26" s="16" t="s">
        <v>99</v>
      </c>
      <c r="O26" s="16">
        <v>0</v>
      </c>
      <c r="P26" s="16">
        <v>11</v>
      </c>
      <c r="Q26" s="16">
        <v>0</v>
      </c>
      <c r="R26" s="16">
        <v>0</v>
      </c>
      <c r="S26" s="16">
        <v>1</v>
      </c>
      <c r="T26" s="16">
        <v>2.2585183566229916</v>
      </c>
    </row>
    <row r="27" spans="6:20" x14ac:dyDescent="0.25">
      <c r="N27" s="16" t="s">
        <v>177</v>
      </c>
      <c r="O27" s="16">
        <v>1.7916666666666643</v>
      </c>
      <c r="P27" s="16">
        <v>2</v>
      </c>
      <c r="Q27" s="16">
        <v>0.89583333333333215</v>
      </c>
      <c r="R27" s="16">
        <v>0.99999999999999856</v>
      </c>
      <c r="S27" s="16">
        <v>0.38399523056087737</v>
      </c>
      <c r="T27" s="16">
        <v>3.4433567793667246</v>
      </c>
    </row>
    <row r="28" spans="6:20" x14ac:dyDescent="0.25">
      <c r="N28" s="16" t="s">
        <v>176</v>
      </c>
      <c r="O28" s="16">
        <v>19.708333333333336</v>
      </c>
      <c r="P28" s="16">
        <v>22</v>
      </c>
      <c r="Q28" s="16">
        <v>0.89583333333333348</v>
      </c>
      <c r="R28" s="16"/>
      <c r="S28" s="16"/>
      <c r="T28" s="16"/>
    </row>
    <row r="29" spans="6:20" x14ac:dyDescent="0.25">
      <c r="N29" s="16"/>
      <c r="O29" s="16"/>
      <c r="P29" s="16"/>
      <c r="Q29" s="16"/>
      <c r="R29" s="16"/>
      <c r="S29" s="16"/>
      <c r="T29" s="16"/>
    </row>
    <row r="30" spans="6:20" ht="15.75" thickBot="1" x14ac:dyDescent="0.3">
      <c r="N30" s="17" t="s">
        <v>1</v>
      </c>
      <c r="O30" s="17">
        <v>21.5</v>
      </c>
      <c r="P30" s="17">
        <v>35</v>
      </c>
      <c r="Q30" s="17"/>
      <c r="R30" s="17"/>
      <c r="S30" s="17"/>
      <c r="T30" s="17"/>
    </row>
    <row r="32" spans="6:20" ht="18" x14ac:dyDescent="0.35">
      <c r="N32" t="s">
        <v>643</v>
      </c>
      <c r="O32" s="277">
        <f>O27</f>
        <v>1.7916666666666643</v>
      </c>
    </row>
    <row r="33" spans="14:15" x14ac:dyDescent="0.25">
      <c r="N33" t="s">
        <v>644</v>
      </c>
      <c r="O33" s="185">
        <f>L4*(L4+1)/12</f>
        <v>1</v>
      </c>
    </row>
    <row r="34" spans="14:15" x14ac:dyDescent="0.25">
      <c r="N34" t="s">
        <v>638</v>
      </c>
      <c r="O34" s="123">
        <f>O32/O33</f>
        <v>1.7916666666666643</v>
      </c>
    </row>
  </sheetData>
  <pageMargins left="0.7" right="0.7" top="0.75" bottom="0.75" header="0.3" footer="0.3"/>
  <ignoredErrors>
    <ignoredError sqref="X8" formulaRange="1"/>
  </ignoredError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S94"/>
  <sheetViews>
    <sheetView workbookViewId="0"/>
  </sheetViews>
  <sheetFormatPr defaultRowHeight="15" x14ac:dyDescent="0.25"/>
  <cols>
    <col min="9" max="9" width="3.5703125" customWidth="1"/>
    <col min="10" max="10" width="57.42578125" customWidth="1"/>
  </cols>
  <sheetData>
    <row r="1" spans="1:19" x14ac:dyDescent="0.25">
      <c r="A1" s="1" t="s">
        <v>1204</v>
      </c>
      <c r="L1" t="s">
        <v>1209</v>
      </c>
      <c r="Q1" t="s">
        <v>993</v>
      </c>
    </row>
    <row r="3" spans="1:19" x14ac:dyDescent="0.25">
      <c r="A3" s="512" t="s">
        <v>39</v>
      </c>
      <c r="B3" s="512" t="s">
        <v>1206</v>
      </c>
      <c r="C3" s="512" t="s">
        <v>1205</v>
      </c>
      <c r="D3" s="512" t="s">
        <v>1207</v>
      </c>
      <c r="L3" s="512" t="s">
        <v>1206</v>
      </c>
      <c r="M3" s="512" t="s">
        <v>1205</v>
      </c>
      <c r="N3" s="512" t="s">
        <v>1207</v>
      </c>
      <c r="O3" s="512"/>
      <c r="Q3" t="s">
        <v>1204</v>
      </c>
    </row>
    <row r="4" spans="1:19" x14ac:dyDescent="0.25">
      <c r="A4" s="512">
        <v>1</v>
      </c>
      <c r="B4" s="508">
        <v>1</v>
      </c>
      <c r="C4" s="413">
        <v>1</v>
      </c>
      <c r="D4" s="507">
        <v>1</v>
      </c>
      <c r="E4" s="512">
        <f>SUM(B4:D4)</f>
        <v>3</v>
      </c>
      <c r="G4" t="s">
        <v>38</v>
      </c>
      <c r="H4" s="417">
        <f>COUNTA(B3:D3)</f>
        <v>3</v>
      </c>
      <c r="J4" t="e">
        <f ca="1">FTEXT(H4)</f>
        <v>#NAME?</v>
      </c>
      <c r="L4" s="515">
        <f>B24/$H5</f>
        <v>0.3</v>
      </c>
      <c r="M4" s="516">
        <f>C24/$H5</f>
        <v>0.65</v>
      </c>
      <c r="N4" s="517">
        <f>D24/$H5</f>
        <v>0.7</v>
      </c>
      <c r="O4" s="518"/>
    </row>
    <row r="5" spans="1:19" x14ac:dyDescent="0.25">
      <c r="A5" s="512">
        <f>A4+1</f>
        <v>2</v>
      </c>
      <c r="B5" s="222">
        <v>0</v>
      </c>
      <c r="C5" s="513">
        <v>1</v>
      </c>
      <c r="D5" s="176">
        <v>1</v>
      </c>
      <c r="E5" s="512">
        <f t="shared" ref="E5:E23" si="0">SUM(B5:D5)</f>
        <v>2</v>
      </c>
      <c r="G5" t="s">
        <v>17</v>
      </c>
      <c r="H5" s="185">
        <f>COUNT(B4:B23)</f>
        <v>20</v>
      </c>
      <c r="J5" t="e">
        <f ca="1">FTEXT(H5)</f>
        <v>#NAME?</v>
      </c>
      <c r="Q5" t="s">
        <v>18</v>
      </c>
      <c r="R5" s="519">
        <v>0.05</v>
      </c>
    </row>
    <row r="6" spans="1:19" x14ac:dyDescent="0.25">
      <c r="A6" s="512">
        <f t="shared" ref="A6:A23" si="1">A5+1</f>
        <v>3</v>
      </c>
      <c r="B6" s="222">
        <v>0</v>
      </c>
      <c r="C6" s="513">
        <v>0</v>
      </c>
      <c r="D6" s="176">
        <v>1</v>
      </c>
      <c r="E6" s="512">
        <f t="shared" si="0"/>
        <v>1</v>
      </c>
      <c r="G6" t="s">
        <v>41</v>
      </c>
      <c r="H6" s="185">
        <f>H4-1</f>
        <v>2</v>
      </c>
      <c r="J6" t="e">
        <f ca="1">FTEXT(H6)</f>
        <v>#NAME?</v>
      </c>
    </row>
    <row r="7" spans="1:19" x14ac:dyDescent="0.25">
      <c r="A7" s="512">
        <f t="shared" si="1"/>
        <v>4</v>
      </c>
      <c r="B7" s="222">
        <v>0</v>
      </c>
      <c r="C7" s="513">
        <v>1</v>
      </c>
      <c r="D7" s="176">
        <v>0</v>
      </c>
      <c r="E7" s="512">
        <f t="shared" si="0"/>
        <v>1</v>
      </c>
      <c r="G7" t="s">
        <v>645</v>
      </c>
      <c r="H7" s="185">
        <f>H6*(H4*SUMSQ(B24:D24)-E24^2)/(H4*E24-SUMSQ(E4:E23))</f>
        <v>6.7058823529411766</v>
      </c>
      <c r="J7" t="e">
        <f ca="1">FTEXT(H7)</f>
        <v>#NAME?</v>
      </c>
      <c r="Q7" t="s">
        <v>1210</v>
      </c>
      <c r="R7" s="520" t="e">
        <f ca="1">COCHRAN(B4:D23,TRUE)</f>
        <v>#NAME?</v>
      </c>
    </row>
    <row r="8" spans="1:19" x14ac:dyDescent="0.25">
      <c r="A8" s="512">
        <f t="shared" si="1"/>
        <v>5</v>
      </c>
      <c r="B8" s="222">
        <v>1</v>
      </c>
      <c r="C8" s="513">
        <v>0</v>
      </c>
      <c r="D8" s="176">
        <v>0</v>
      </c>
      <c r="E8" s="512">
        <f t="shared" si="0"/>
        <v>1</v>
      </c>
      <c r="G8" t="s">
        <v>70</v>
      </c>
      <c r="H8" s="185">
        <v>0.05</v>
      </c>
      <c r="Q8" t="s">
        <v>41</v>
      </c>
      <c r="R8" s="322">
        <f>COUNT(B4:D4)-1</f>
        <v>2</v>
      </c>
    </row>
    <row r="9" spans="1:19" x14ac:dyDescent="0.25">
      <c r="A9" s="512">
        <f t="shared" si="1"/>
        <v>6</v>
      </c>
      <c r="B9" s="222">
        <v>0</v>
      </c>
      <c r="C9" s="513">
        <v>1</v>
      </c>
      <c r="D9" s="176">
        <v>1</v>
      </c>
      <c r="E9" s="512">
        <f t="shared" si="0"/>
        <v>2</v>
      </c>
      <c r="G9" t="s">
        <v>48</v>
      </c>
      <c r="H9" s="185">
        <f>CHIDIST(H7,H6)</f>
        <v>3.4981316424350116E-2</v>
      </c>
      <c r="J9" t="e">
        <f ca="1">FTEXT(H9)</f>
        <v>#NAME?</v>
      </c>
      <c r="Q9" t="s">
        <v>48</v>
      </c>
      <c r="R9" s="322" t="e">
        <f ca="1">CHIDIST(R7,R8)</f>
        <v>#NAME?</v>
      </c>
    </row>
    <row r="10" spans="1:19" x14ac:dyDescent="0.25">
      <c r="A10" s="512">
        <f t="shared" si="1"/>
        <v>7</v>
      </c>
      <c r="B10" s="222">
        <v>0</v>
      </c>
      <c r="C10" s="513">
        <v>1</v>
      </c>
      <c r="D10" s="176">
        <v>1</v>
      </c>
      <c r="E10" s="512">
        <f t="shared" si="0"/>
        <v>2</v>
      </c>
      <c r="G10" t="s">
        <v>1208</v>
      </c>
      <c r="H10" s="185">
        <f>CHIINV(H8,H6)</f>
        <v>5.9914645471079817</v>
      </c>
      <c r="J10" t="e">
        <f ca="1">FTEXT(H10)</f>
        <v>#NAME?</v>
      </c>
      <c r="Q10" t="s">
        <v>164</v>
      </c>
      <c r="R10" s="350" t="e">
        <f ca="1">IF(R9&lt;R5,"yes","no")</f>
        <v>#NAME?</v>
      </c>
    </row>
    <row r="11" spans="1:19" x14ac:dyDescent="0.25">
      <c r="A11" s="512">
        <f t="shared" si="1"/>
        <v>8</v>
      </c>
      <c r="B11" s="222">
        <v>0</v>
      </c>
      <c r="C11" s="513">
        <v>0</v>
      </c>
      <c r="D11" s="176">
        <v>1</v>
      </c>
      <c r="E11" s="512">
        <f t="shared" si="0"/>
        <v>1</v>
      </c>
      <c r="G11" t="s">
        <v>164</v>
      </c>
      <c r="H11" s="117" t="str">
        <f>IF(H9&lt;H8,"yes","no")</f>
        <v>yes</v>
      </c>
      <c r="J11" t="e">
        <f ca="1">FTEXT(H11)</f>
        <v>#NAME?</v>
      </c>
    </row>
    <row r="12" spans="1:19" x14ac:dyDescent="0.25">
      <c r="A12" s="512">
        <f t="shared" si="1"/>
        <v>9</v>
      </c>
      <c r="B12" s="222">
        <v>0</v>
      </c>
      <c r="C12" s="513">
        <v>1</v>
      </c>
      <c r="D12" s="176">
        <v>1</v>
      </c>
      <c r="E12" s="512">
        <f t="shared" si="0"/>
        <v>2</v>
      </c>
      <c r="Q12" t="s">
        <v>1211</v>
      </c>
    </row>
    <row r="13" spans="1:19" x14ac:dyDescent="0.25">
      <c r="A13" s="512">
        <f t="shared" si="1"/>
        <v>10</v>
      </c>
      <c r="B13" s="222">
        <v>0</v>
      </c>
      <c r="C13" s="513">
        <v>1</v>
      </c>
      <c r="D13" s="176">
        <v>0</v>
      </c>
      <c r="E13" s="512">
        <f t="shared" si="0"/>
        <v>1</v>
      </c>
    </row>
    <row r="14" spans="1:19" x14ac:dyDescent="0.25">
      <c r="A14" s="512">
        <f t="shared" si="1"/>
        <v>11</v>
      </c>
      <c r="B14" s="222">
        <v>1</v>
      </c>
      <c r="C14" s="513">
        <v>1</v>
      </c>
      <c r="D14" s="176">
        <v>0</v>
      </c>
      <c r="E14" s="512">
        <f t="shared" si="0"/>
        <v>2</v>
      </c>
      <c r="G14" t="s">
        <v>1121</v>
      </c>
      <c r="L14" t="s">
        <v>1121</v>
      </c>
      <c r="Q14" t="str">
        <f>B3</f>
        <v>Mon</v>
      </c>
      <c r="R14" t="str">
        <f>C3</f>
        <v>Wed</v>
      </c>
      <c r="S14" t="str">
        <f>D3</f>
        <v>Fri</v>
      </c>
    </row>
    <row r="15" spans="1:19" x14ac:dyDescent="0.25">
      <c r="A15" s="512">
        <f t="shared" si="1"/>
        <v>12</v>
      </c>
      <c r="B15" s="222">
        <v>1</v>
      </c>
      <c r="C15" s="513">
        <v>1</v>
      </c>
      <c r="D15" s="176">
        <v>1</v>
      </c>
      <c r="E15" s="512">
        <f t="shared" si="0"/>
        <v>3</v>
      </c>
      <c r="Q15" s="521" t="e">
        <f t="array" aca="1" ref="Q15:S15" ca="1">QRATIO(B4:D23,TRUE)</f>
        <v>#NAME?</v>
      </c>
      <c r="R15" s="522" t="e">
        <f ca="1"/>
        <v>#NAME?</v>
      </c>
      <c r="S15" s="523" t="e">
        <f ca="1"/>
        <v>#NAME?</v>
      </c>
    </row>
    <row r="16" spans="1:19" x14ac:dyDescent="0.25">
      <c r="A16" s="512">
        <f t="shared" si="1"/>
        <v>13</v>
      </c>
      <c r="B16" s="222">
        <v>0</v>
      </c>
      <c r="C16" s="513">
        <v>0</v>
      </c>
      <c r="D16" s="176">
        <v>0</v>
      </c>
      <c r="E16" s="512">
        <f t="shared" si="0"/>
        <v>0</v>
      </c>
      <c r="G16" t="s">
        <v>645</v>
      </c>
      <c r="H16" s="417" t="e">
        <f ca="1">COCHRAN(B4:D23,TRUE)</f>
        <v>#NAME?</v>
      </c>
      <c r="L16" s="275" t="e">
        <f t="array" aca="1" ref="L16:N16" ca="1">QRATIO(B4:D23,TRUE)</f>
        <v>#NAME?</v>
      </c>
      <c r="M16" s="263" t="e">
        <f ca="1"/>
        <v>#NAME?</v>
      </c>
      <c r="N16" s="276" t="e">
        <f ca="1"/>
        <v>#NAME?</v>
      </c>
      <c r="O16" s="7"/>
    </row>
    <row r="17" spans="1:10" x14ac:dyDescent="0.25">
      <c r="A17" s="512">
        <f t="shared" si="1"/>
        <v>14</v>
      </c>
      <c r="B17" s="222">
        <v>1</v>
      </c>
      <c r="C17" s="513">
        <v>0</v>
      </c>
      <c r="D17" s="176">
        <v>1</v>
      </c>
      <c r="E17" s="512">
        <f t="shared" si="0"/>
        <v>2</v>
      </c>
      <c r="G17" t="s">
        <v>48</v>
      </c>
      <c r="H17" s="123" t="e">
        <f ca="1">QTEST(B4:D23,TRUE)</f>
        <v>#NAME?</v>
      </c>
    </row>
    <row r="18" spans="1:10" x14ac:dyDescent="0.25">
      <c r="A18" s="512">
        <f t="shared" si="1"/>
        <v>15</v>
      </c>
      <c r="B18" s="222">
        <v>0</v>
      </c>
      <c r="C18" s="513">
        <v>1</v>
      </c>
      <c r="D18" s="176">
        <v>1</v>
      </c>
      <c r="E18" s="512">
        <f t="shared" si="0"/>
        <v>2</v>
      </c>
    </row>
    <row r="19" spans="1:10" x14ac:dyDescent="0.25">
      <c r="A19" s="512">
        <f t="shared" si="1"/>
        <v>16</v>
      </c>
      <c r="B19" s="222">
        <v>0</v>
      </c>
      <c r="C19" s="513">
        <v>1</v>
      </c>
      <c r="D19" s="176">
        <v>0</v>
      </c>
      <c r="E19" s="512">
        <f t="shared" si="0"/>
        <v>1</v>
      </c>
    </row>
    <row r="20" spans="1:10" x14ac:dyDescent="0.25">
      <c r="A20" s="512">
        <f t="shared" si="1"/>
        <v>17</v>
      </c>
      <c r="B20" s="222">
        <v>0</v>
      </c>
      <c r="C20" s="513">
        <v>0</v>
      </c>
      <c r="D20" s="176">
        <v>1</v>
      </c>
      <c r="E20" s="512">
        <f t="shared" si="0"/>
        <v>1</v>
      </c>
    </row>
    <row r="21" spans="1:10" x14ac:dyDescent="0.25">
      <c r="A21" s="512">
        <f t="shared" si="1"/>
        <v>18</v>
      </c>
      <c r="B21" s="222">
        <v>0</v>
      </c>
      <c r="C21" s="513">
        <v>1</v>
      </c>
      <c r="D21" s="176">
        <v>1</v>
      </c>
      <c r="E21" s="512">
        <f t="shared" si="0"/>
        <v>2</v>
      </c>
    </row>
    <row r="22" spans="1:10" x14ac:dyDescent="0.25">
      <c r="A22" s="512">
        <f t="shared" si="1"/>
        <v>19</v>
      </c>
      <c r="B22" s="222">
        <v>1</v>
      </c>
      <c r="C22" s="513">
        <v>0</v>
      </c>
      <c r="D22" s="176">
        <v>1</v>
      </c>
      <c r="E22" s="512">
        <f t="shared" si="0"/>
        <v>2</v>
      </c>
    </row>
    <row r="23" spans="1:10" x14ac:dyDescent="0.25">
      <c r="A23" s="512">
        <f t="shared" si="1"/>
        <v>20</v>
      </c>
      <c r="B23" s="139">
        <v>0</v>
      </c>
      <c r="C23" s="412">
        <v>1</v>
      </c>
      <c r="D23" s="115">
        <v>1</v>
      </c>
      <c r="E23" s="512">
        <f t="shared" si="0"/>
        <v>2</v>
      </c>
    </row>
    <row r="24" spans="1:10" x14ac:dyDescent="0.25">
      <c r="B24" s="512">
        <f>SUM(B4:B23)</f>
        <v>6</v>
      </c>
      <c r="C24" s="512">
        <f>SUM(C4:C23)</f>
        <v>13</v>
      </c>
      <c r="D24" s="512">
        <f>SUM(D4:D23)</f>
        <v>14</v>
      </c>
      <c r="E24" s="512">
        <f>SUM(B24:D24)</f>
        <v>33</v>
      </c>
    </row>
    <row r="27" spans="1:10" x14ac:dyDescent="0.25">
      <c r="A27" s="512" t="s">
        <v>39</v>
      </c>
      <c r="B27" s="512" t="s">
        <v>1206</v>
      </c>
      <c r="C27" s="512" t="s">
        <v>1205</v>
      </c>
    </row>
    <row r="28" spans="1:10" x14ac:dyDescent="0.25">
      <c r="A28" s="512">
        <v>1</v>
      </c>
      <c r="B28" s="508">
        <v>1</v>
      </c>
      <c r="C28" s="507">
        <v>1</v>
      </c>
      <c r="E28" s="512">
        <f>SUM(B28:D28)</f>
        <v>2</v>
      </c>
      <c r="G28" t="s">
        <v>38</v>
      </c>
      <c r="H28" s="417">
        <f>COUNTA(B27:D27)</f>
        <v>2</v>
      </c>
      <c r="J28" t="e">
        <f ca="1">FTEXT(H28)</f>
        <v>#NAME?</v>
      </c>
    </row>
    <row r="29" spans="1:10" x14ac:dyDescent="0.25">
      <c r="A29" s="512">
        <f>A28+1</f>
        <v>2</v>
      </c>
      <c r="B29" s="222">
        <v>0</v>
      </c>
      <c r="C29" s="176">
        <v>1</v>
      </c>
      <c r="E29" s="512">
        <f t="shared" ref="E29:E47" si="2">SUM(B29:D29)</f>
        <v>1</v>
      </c>
      <c r="G29" t="s">
        <v>17</v>
      </c>
      <c r="H29" s="185">
        <f>COUNT(B28:B47)</f>
        <v>20</v>
      </c>
      <c r="J29" t="e">
        <f ca="1">FTEXT(H29)</f>
        <v>#NAME?</v>
      </c>
    </row>
    <row r="30" spans="1:10" x14ac:dyDescent="0.25">
      <c r="A30" s="512">
        <f t="shared" ref="A30:A47" si="3">A29+1</f>
        <v>3</v>
      </c>
      <c r="B30" s="222">
        <v>0</v>
      </c>
      <c r="C30" s="176">
        <v>0</v>
      </c>
      <c r="E30" s="512">
        <f t="shared" si="2"/>
        <v>0</v>
      </c>
      <c r="G30" t="s">
        <v>41</v>
      </c>
      <c r="H30" s="185">
        <f>H28-1</f>
        <v>1</v>
      </c>
      <c r="J30" t="e">
        <f ca="1">FTEXT(H30)</f>
        <v>#NAME?</v>
      </c>
    </row>
    <row r="31" spans="1:10" x14ac:dyDescent="0.25">
      <c r="A31" s="512">
        <f t="shared" si="3"/>
        <v>4</v>
      </c>
      <c r="B31" s="222">
        <v>0</v>
      </c>
      <c r="C31" s="176">
        <v>1</v>
      </c>
      <c r="E31" s="512">
        <f t="shared" si="2"/>
        <v>1</v>
      </c>
      <c r="G31" t="s">
        <v>645</v>
      </c>
      <c r="H31" s="185">
        <f>H30*(H28*SUMSQ(B48:D48)-E48^2)/(H28*E48-SUMSQ(E28:E47))</f>
        <v>3.7692307692307692</v>
      </c>
      <c r="J31" t="e">
        <f ca="1">FTEXT(H31)</f>
        <v>#NAME?</v>
      </c>
    </row>
    <row r="32" spans="1:10" x14ac:dyDescent="0.25">
      <c r="A32" s="512">
        <f t="shared" si="3"/>
        <v>5</v>
      </c>
      <c r="B32" s="222">
        <v>1</v>
      </c>
      <c r="C32" s="176">
        <v>0</v>
      </c>
      <c r="E32" s="512">
        <f t="shared" si="2"/>
        <v>1</v>
      </c>
      <c r="G32" t="s">
        <v>70</v>
      </c>
      <c r="H32" s="185">
        <v>0.05</v>
      </c>
    </row>
    <row r="33" spans="1:10" x14ac:dyDescent="0.25">
      <c r="A33" s="512">
        <f t="shared" si="3"/>
        <v>6</v>
      </c>
      <c r="B33" s="222">
        <v>0</v>
      </c>
      <c r="C33" s="176">
        <v>1</v>
      </c>
      <c r="E33" s="512">
        <f t="shared" si="2"/>
        <v>1</v>
      </c>
      <c r="G33" t="s">
        <v>48</v>
      </c>
      <c r="H33" s="185">
        <f>CHIDIST(H31,H30)</f>
        <v>5.2203635341314676E-2</v>
      </c>
      <c r="J33" t="e">
        <f ca="1">FTEXT(H33)</f>
        <v>#NAME?</v>
      </c>
    </row>
    <row r="34" spans="1:10" x14ac:dyDescent="0.25">
      <c r="A34" s="512">
        <f t="shared" si="3"/>
        <v>7</v>
      </c>
      <c r="B34" s="222">
        <v>0</v>
      </c>
      <c r="C34" s="176">
        <v>1</v>
      </c>
      <c r="E34" s="512">
        <f t="shared" si="2"/>
        <v>1</v>
      </c>
      <c r="G34" t="s">
        <v>1208</v>
      </c>
      <c r="H34" s="185">
        <f>CHIINV(H32,H30)</f>
        <v>3.8414588206941236</v>
      </c>
      <c r="J34" t="e">
        <f ca="1">FTEXT(H34)</f>
        <v>#NAME?</v>
      </c>
    </row>
    <row r="35" spans="1:10" x14ac:dyDescent="0.25">
      <c r="A35" s="512">
        <f t="shared" si="3"/>
        <v>8</v>
      </c>
      <c r="B35" s="222">
        <v>0</v>
      </c>
      <c r="C35" s="176">
        <v>0</v>
      </c>
      <c r="E35" s="512">
        <f t="shared" si="2"/>
        <v>0</v>
      </c>
      <c r="G35" t="s">
        <v>164</v>
      </c>
      <c r="H35" s="117" t="str">
        <f>IF(H33&lt;H32,"yes","no")</f>
        <v>no</v>
      </c>
      <c r="J35" t="e">
        <f ca="1">FTEXT(H35)</f>
        <v>#NAME?</v>
      </c>
    </row>
    <row r="36" spans="1:10" x14ac:dyDescent="0.25">
      <c r="A36" s="512">
        <f t="shared" si="3"/>
        <v>9</v>
      </c>
      <c r="B36" s="222">
        <v>0</v>
      </c>
      <c r="C36" s="176">
        <v>1</v>
      </c>
      <c r="E36" s="512">
        <f t="shared" si="2"/>
        <v>1</v>
      </c>
    </row>
    <row r="37" spans="1:10" x14ac:dyDescent="0.25">
      <c r="A37" s="512">
        <f t="shared" si="3"/>
        <v>10</v>
      </c>
      <c r="B37" s="222">
        <v>0</v>
      </c>
      <c r="C37" s="176">
        <v>1</v>
      </c>
      <c r="E37" s="512">
        <f t="shared" si="2"/>
        <v>1</v>
      </c>
    </row>
    <row r="38" spans="1:10" x14ac:dyDescent="0.25">
      <c r="A38" s="512">
        <f t="shared" si="3"/>
        <v>11</v>
      </c>
      <c r="B38" s="222">
        <v>1</v>
      </c>
      <c r="C38" s="176">
        <v>1</v>
      </c>
      <c r="E38" s="512">
        <f t="shared" si="2"/>
        <v>2</v>
      </c>
    </row>
    <row r="39" spans="1:10" x14ac:dyDescent="0.25">
      <c r="A39" s="512">
        <f t="shared" si="3"/>
        <v>12</v>
      </c>
      <c r="B39" s="222">
        <v>1</v>
      </c>
      <c r="C39" s="176">
        <v>1</v>
      </c>
      <c r="E39" s="512">
        <f t="shared" si="2"/>
        <v>2</v>
      </c>
    </row>
    <row r="40" spans="1:10" x14ac:dyDescent="0.25">
      <c r="A40" s="512">
        <f t="shared" si="3"/>
        <v>13</v>
      </c>
      <c r="B40" s="222">
        <v>0</v>
      </c>
      <c r="C40" s="176">
        <v>0</v>
      </c>
      <c r="E40" s="512">
        <f t="shared" si="2"/>
        <v>0</v>
      </c>
    </row>
    <row r="41" spans="1:10" x14ac:dyDescent="0.25">
      <c r="A41" s="512">
        <f t="shared" si="3"/>
        <v>14</v>
      </c>
      <c r="B41" s="222">
        <v>1</v>
      </c>
      <c r="C41" s="176">
        <v>0</v>
      </c>
      <c r="E41" s="512">
        <f t="shared" si="2"/>
        <v>1</v>
      </c>
    </row>
    <row r="42" spans="1:10" x14ac:dyDescent="0.25">
      <c r="A42" s="512">
        <f t="shared" si="3"/>
        <v>15</v>
      </c>
      <c r="B42" s="222">
        <v>0</v>
      </c>
      <c r="C42" s="176">
        <v>1</v>
      </c>
      <c r="E42" s="512">
        <f t="shared" si="2"/>
        <v>1</v>
      </c>
    </row>
    <row r="43" spans="1:10" x14ac:dyDescent="0.25">
      <c r="A43" s="512">
        <f t="shared" si="3"/>
        <v>16</v>
      </c>
      <c r="B43" s="222">
        <v>0</v>
      </c>
      <c r="C43" s="176">
        <v>1</v>
      </c>
      <c r="E43" s="512">
        <f t="shared" si="2"/>
        <v>1</v>
      </c>
    </row>
    <row r="44" spans="1:10" x14ac:dyDescent="0.25">
      <c r="A44" s="512">
        <f t="shared" si="3"/>
        <v>17</v>
      </c>
      <c r="B44" s="222">
        <v>0</v>
      </c>
      <c r="C44" s="176">
        <v>0</v>
      </c>
      <c r="E44" s="512">
        <f t="shared" si="2"/>
        <v>0</v>
      </c>
    </row>
    <row r="45" spans="1:10" x14ac:dyDescent="0.25">
      <c r="A45" s="512">
        <f t="shared" si="3"/>
        <v>18</v>
      </c>
      <c r="B45" s="222">
        <v>0</v>
      </c>
      <c r="C45" s="176">
        <v>1</v>
      </c>
      <c r="E45" s="512">
        <f t="shared" si="2"/>
        <v>1</v>
      </c>
    </row>
    <row r="46" spans="1:10" x14ac:dyDescent="0.25">
      <c r="A46" s="512">
        <f t="shared" si="3"/>
        <v>19</v>
      </c>
      <c r="B46" s="222">
        <v>1</v>
      </c>
      <c r="C46" s="176">
        <v>0</v>
      </c>
      <c r="E46" s="512">
        <f t="shared" si="2"/>
        <v>1</v>
      </c>
    </row>
    <row r="47" spans="1:10" x14ac:dyDescent="0.25">
      <c r="A47" s="512">
        <f t="shared" si="3"/>
        <v>20</v>
      </c>
      <c r="B47" s="139">
        <v>0</v>
      </c>
      <c r="C47" s="115">
        <v>1</v>
      </c>
      <c r="E47" s="512">
        <f t="shared" si="2"/>
        <v>1</v>
      </c>
    </row>
    <row r="48" spans="1:10" x14ac:dyDescent="0.25">
      <c r="B48" s="512">
        <f>SUM(B28:B47)</f>
        <v>6</v>
      </c>
      <c r="C48" s="512">
        <f>SUM(C28:C47)</f>
        <v>13</v>
      </c>
      <c r="E48" s="512">
        <f>SUM(B48:D48)</f>
        <v>19</v>
      </c>
    </row>
    <row r="50" spans="1:10" x14ac:dyDescent="0.25">
      <c r="A50" s="512" t="s">
        <v>39</v>
      </c>
      <c r="B50" s="512" t="s">
        <v>1206</v>
      </c>
      <c r="D50" s="512" t="s">
        <v>1207</v>
      </c>
    </row>
    <row r="51" spans="1:10" x14ac:dyDescent="0.25">
      <c r="A51" s="512">
        <v>1</v>
      </c>
      <c r="B51" s="508">
        <v>1</v>
      </c>
      <c r="C51" s="387"/>
      <c r="D51" s="507">
        <v>1</v>
      </c>
      <c r="E51" s="512">
        <f>SUM(B51:D51)</f>
        <v>2</v>
      </c>
      <c r="G51" t="s">
        <v>38</v>
      </c>
      <c r="H51" s="417">
        <f>COUNTA(B50:D50)</f>
        <v>2</v>
      </c>
      <c r="J51" t="e">
        <f ca="1">FTEXT(H51)</f>
        <v>#NAME?</v>
      </c>
    </row>
    <row r="52" spans="1:10" x14ac:dyDescent="0.25">
      <c r="A52" s="512">
        <f>A51+1</f>
        <v>2</v>
      </c>
      <c r="B52" s="222">
        <v>0</v>
      </c>
      <c r="C52" s="7"/>
      <c r="D52" s="176">
        <v>1</v>
      </c>
      <c r="E52" s="512">
        <f t="shared" ref="E52:E70" si="4">SUM(B52:D52)</f>
        <v>1</v>
      </c>
      <c r="G52" t="s">
        <v>17</v>
      </c>
      <c r="H52" s="185">
        <f>COUNT(B51:B70)</f>
        <v>20</v>
      </c>
      <c r="J52" t="e">
        <f ca="1">FTEXT(H52)</f>
        <v>#NAME?</v>
      </c>
    </row>
    <row r="53" spans="1:10" x14ac:dyDescent="0.25">
      <c r="A53" s="512">
        <f t="shared" ref="A53:A70" si="5">A52+1</f>
        <v>3</v>
      </c>
      <c r="B53" s="222">
        <v>0</v>
      </c>
      <c r="C53" s="7"/>
      <c r="D53" s="176">
        <v>1</v>
      </c>
      <c r="E53" s="512">
        <f t="shared" si="4"/>
        <v>1</v>
      </c>
      <c r="G53" t="s">
        <v>41</v>
      </c>
      <c r="H53" s="185">
        <f>H51-1</f>
        <v>1</v>
      </c>
      <c r="J53" t="e">
        <f ca="1">FTEXT(H53)</f>
        <v>#NAME?</v>
      </c>
    </row>
    <row r="54" spans="1:10" x14ac:dyDescent="0.25">
      <c r="A54" s="512">
        <f t="shared" si="5"/>
        <v>4</v>
      </c>
      <c r="B54" s="222">
        <v>0</v>
      </c>
      <c r="C54" s="7"/>
      <c r="D54" s="176">
        <v>0</v>
      </c>
      <c r="E54" s="512">
        <f t="shared" si="4"/>
        <v>0</v>
      </c>
      <c r="G54" t="s">
        <v>645</v>
      </c>
      <c r="H54" s="185">
        <f>H53*(H51*SUMSQ(B71:D71)-E71^2)/(H51*E71-SUMSQ(E51:E70))</f>
        <v>5.333333333333333</v>
      </c>
      <c r="J54" t="e">
        <f ca="1">FTEXT(H54)</f>
        <v>#NAME?</v>
      </c>
    </row>
    <row r="55" spans="1:10" x14ac:dyDescent="0.25">
      <c r="A55" s="512">
        <f t="shared" si="5"/>
        <v>5</v>
      </c>
      <c r="B55" s="222">
        <v>1</v>
      </c>
      <c r="C55" s="7"/>
      <c r="D55" s="176">
        <v>0</v>
      </c>
      <c r="E55" s="512">
        <f t="shared" si="4"/>
        <v>1</v>
      </c>
      <c r="G55" t="s">
        <v>70</v>
      </c>
      <c r="H55" s="185">
        <v>0.05</v>
      </c>
    </row>
    <row r="56" spans="1:10" x14ac:dyDescent="0.25">
      <c r="A56" s="512">
        <f t="shared" si="5"/>
        <v>6</v>
      </c>
      <c r="B56" s="222">
        <v>0</v>
      </c>
      <c r="C56" s="7"/>
      <c r="D56" s="176">
        <v>1</v>
      </c>
      <c r="E56" s="512">
        <f t="shared" si="4"/>
        <v>1</v>
      </c>
      <c r="G56" t="s">
        <v>48</v>
      </c>
      <c r="H56" s="185">
        <f>CHIDIST(H54,H53)</f>
        <v>2.0921335337794028E-2</v>
      </c>
      <c r="J56" t="e">
        <f ca="1">FTEXT(H56)</f>
        <v>#NAME?</v>
      </c>
    </row>
    <row r="57" spans="1:10" x14ac:dyDescent="0.25">
      <c r="A57" s="512">
        <f t="shared" si="5"/>
        <v>7</v>
      </c>
      <c r="B57" s="222">
        <v>0</v>
      </c>
      <c r="C57" s="7"/>
      <c r="D57" s="176">
        <v>1</v>
      </c>
      <c r="E57" s="512">
        <f t="shared" si="4"/>
        <v>1</v>
      </c>
      <c r="G57" t="s">
        <v>1208</v>
      </c>
      <c r="H57" s="185">
        <f>CHIINV(H55,H53)</f>
        <v>3.8414588206941236</v>
      </c>
      <c r="J57" t="e">
        <f ca="1">FTEXT(H57)</f>
        <v>#NAME?</v>
      </c>
    </row>
    <row r="58" spans="1:10" x14ac:dyDescent="0.25">
      <c r="A58" s="512">
        <f t="shared" si="5"/>
        <v>8</v>
      </c>
      <c r="B58" s="222">
        <v>0</v>
      </c>
      <c r="C58" s="7"/>
      <c r="D58" s="176">
        <v>1</v>
      </c>
      <c r="E58" s="512">
        <f t="shared" si="4"/>
        <v>1</v>
      </c>
      <c r="G58" t="s">
        <v>164</v>
      </c>
      <c r="H58" s="117" t="str">
        <f>IF(H56&lt;H55,"yes","no")</f>
        <v>yes</v>
      </c>
      <c r="J58" t="e">
        <f ca="1">FTEXT(H58)</f>
        <v>#NAME?</v>
      </c>
    </row>
    <row r="59" spans="1:10" x14ac:dyDescent="0.25">
      <c r="A59" s="512">
        <f t="shared" si="5"/>
        <v>9</v>
      </c>
      <c r="B59" s="222">
        <v>0</v>
      </c>
      <c r="C59" s="7"/>
      <c r="D59" s="176">
        <v>1</v>
      </c>
      <c r="E59" s="512">
        <f t="shared" si="4"/>
        <v>1</v>
      </c>
    </row>
    <row r="60" spans="1:10" x14ac:dyDescent="0.25">
      <c r="A60" s="512">
        <f t="shared" si="5"/>
        <v>10</v>
      </c>
      <c r="B60" s="222">
        <v>0</v>
      </c>
      <c r="C60" s="7"/>
      <c r="D60" s="176">
        <v>0</v>
      </c>
      <c r="E60" s="512">
        <f t="shared" si="4"/>
        <v>0</v>
      </c>
      <c r="G60" t="s">
        <v>645</v>
      </c>
      <c r="H60" s="719" t="e">
        <f ca="1">COCHRAN(B51:D70,TRUE,FALSE)</f>
        <v>#NAME?</v>
      </c>
      <c r="J60" t="e">
        <f ca="1">FTEXT(H60)</f>
        <v>#NAME?</v>
      </c>
    </row>
    <row r="61" spans="1:10" x14ac:dyDescent="0.25">
      <c r="A61" s="512">
        <f t="shared" si="5"/>
        <v>11</v>
      </c>
      <c r="B61" s="222">
        <v>1</v>
      </c>
      <c r="C61" s="7"/>
      <c r="D61" s="176">
        <v>0</v>
      </c>
      <c r="E61" s="512">
        <f t="shared" si="4"/>
        <v>1</v>
      </c>
      <c r="G61" t="s">
        <v>48</v>
      </c>
      <c r="H61" s="123" t="e">
        <f ca="1">QTEST(B51:D70,TRUE,FALSE)</f>
        <v>#NAME?</v>
      </c>
      <c r="J61" t="e">
        <f ca="1">FTEXT(H61)</f>
        <v>#NAME?</v>
      </c>
    </row>
    <row r="62" spans="1:10" x14ac:dyDescent="0.25">
      <c r="A62" s="512">
        <f t="shared" si="5"/>
        <v>12</v>
      </c>
      <c r="B62" s="222">
        <v>1</v>
      </c>
      <c r="C62" s="7"/>
      <c r="D62" s="176">
        <v>1</v>
      </c>
      <c r="E62" s="512">
        <f t="shared" si="4"/>
        <v>2</v>
      </c>
    </row>
    <row r="63" spans="1:10" x14ac:dyDescent="0.25">
      <c r="A63" s="512">
        <f t="shared" si="5"/>
        <v>13</v>
      </c>
      <c r="B63" s="222">
        <v>0</v>
      </c>
      <c r="C63" s="7"/>
      <c r="D63" s="176">
        <v>0</v>
      </c>
      <c r="E63" s="512">
        <f t="shared" si="4"/>
        <v>0</v>
      </c>
      <c r="G63" t="s">
        <v>645</v>
      </c>
      <c r="H63" s="719" t="e">
        <f ca="1">COCHRAN(B51:D70,TRUE)</f>
        <v>#NAME?</v>
      </c>
      <c r="J63" t="e">
        <f ca="1">FTEXT(H63)</f>
        <v>#NAME?</v>
      </c>
    </row>
    <row r="64" spans="1:10" x14ac:dyDescent="0.25">
      <c r="A64" s="512">
        <f t="shared" si="5"/>
        <v>14</v>
      </c>
      <c r="B64" s="222">
        <v>1</v>
      </c>
      <c r="C64" s="7"/>
      <c r="D64" s="176">
        <v>1</v>
      </c>
      <c r="E64" s="512">
        <f t="shared" si="4"/>
        <v>2</v>
      </c>
      <c r="G64" t="s">
        <v>48</v>
      </c>
      <c r="H64" s="123" t="e">
        <f ca="1">QTEST(B51:D70,TRUE)</f>
        <v>#NAME?</v>
      </c>
      <c r="J64" t="e">
        <f ca="1">FTEXT(H64)</f>
        <v>#NAME?</v>
      </c>
    </row>
    <row r="65" spans="1:10" x14ac:dyDescent="0.25">
      <c r="A65" s="512">
        <f t="shared" si="5"/>
        <v>15</v>
      </c>
      <c r="B65" s="222">
        <v>0</v>
      </c>
      <c r="C65" s="7"/>
      <c r="D65" s="176">
        <v>1</v>
      </c>
      <c r="E65" s="512">
        <f t="shared" si="4"/>
        <v>1</v>
      </c>
    </row>
    <row r="66" spans="1:10" x14ac:dyDescent="0.25">
      <c r="A66" s="512">
        <f t="shared" si="5"/>
        <v>16</v>
      </c>
      <c r="B66" s="222">
        <v>0</v>
      </c>
      <c r="C66" s="7"/>
      <c r="D66" s="176">
        <v>0</v>
      </c>
      <c r="E66" s="512">
        <f t="shared" si="4"/>
        <v>0</v>
      </c>
    </row>
    <row r="67" spans="1:10" x14ac:dyDescent="0.25">
      <c r="A67" s="512">
        <f t="shared" si="5"/>
        <v>17</v>
      </c>
      <c r="B67" s="222">
        <v>0</v>
      </c>
      <c r="C67" s="7"/>
      <c r="D67" s="176">
        <v>1</v>
      </c>
      <c r="E67" s="512">
        <f t="shared" si="4"/>
        <v>1</v>
      </c>
    </row>
    <row r="68" spans="1:10" x14ac:dyDescent="0.25">
      <c r="A68" s="512">
        <f t="shared" si="5"/>
        <v>18</v>
      </c>
      <c r="B68" s="222">
        <v>0</v>
      </c>
      <c r="C68" s="7"/>
      <c r="D68" s="176">
        <v>1</v>
      </c>
      <c r="E68" s="512">
        <f t="shared" si="4"/>
        <v>1</v>
      </c>
    </row>
    <row r="69" spans="1:10" x14ac:dyDescent="0.25">
      <c r="A69" s="512">
        <f t="shared" si="5"/>
        <v>19</v>
      </c>
      <c r="B69" s="222">
        <v>1</v>
      </c>
      <c r="C69" s="7"/>
      <c r="D69" s="176">
        <v>1</v>
      </c>
      <c r="E69" s="512">
        <f t="shared" si="4"/>
        <v>2</v>
      </c>
    </row>
    <row r="70" spans="1:10" x14ac:dyDescent="0.25">
      <c r="A70" s="512">
        <f t="shared" si="5"/>
        <v>20</v>
      </c>
      <c r="B70" s="139">
        <v>0</v>
      </c>
      <c r="C70" s="354"/>
      <c r="D70" s="115">
        <v>1</v>
      </c>
      <c r="E70" s="512">
        <f t="shared" si="4"/>
        <v>1</v>
      </c>
    </row>
    <row r="71" spans="1:10" x14ac:dyDescent="0.25">
      <c r="B71" s="512">
        <f>SUM(B51:B70)</f>
        <v>6</v>
      </c>
      <c r="D71" s="512">
        <f>SUM(D51:D70)</f>
        <v>14</v>
      </c>
      <c r="E71" s="512">
        <f>SUM(B71:D71)</f>
        <v>20</v>
      </c>
    </row>
    <row r="73" spans="1:10" x14ac:dyDescent="0.25">
      <c r="A73" s="512" t="s">
        <v>39</v>
      </c>
      <c r="C73" s="512" t="s">
        <v>1205</v>
      </c>
      <c r="D73" s="512" t="s">
        <v>1207</v>
      </c>
    </row>
    <row r="74" spans="1:10" x14ac:dyDescent="0.25">
      <c r="A74" s="512">
        <v>1</v>
      </c>
      <c r="C74" s="508">
        <v>1</v>
      </c>
      <c r="D74" s="507">
        <v>1</v>
      </c>
      <c r="E74" s="512">
        <f>SUM(B74:D74)</f>
        <v>2</v>
      </c>
      <c r="G74" t="s">
        <v>38</v>
      </c>
      <c r="H74" s="417">
        <f>COUNTA(B73:D73)</f>
        <v>2</v>
      </c>
      <c r="J74" t="e">
        <f ca="1">FTEXT(H74)</f>
        <v>#NAME?</v>
      </c>
    </row>
    <row r="75" spans="1:10" x14ac:dyDescent="0.25">
      <c r="A75" s="512">
        <f>A74+1</f>
        <v>2</v>
      </c>
      <c r="C75" s="222">
        <v>1</v>
      </c>
      <c r="D75" s="176">
        <v>1</v>
      </c>
      <c r="E75" s="512">
        <f t="shared" ref="E75:E93" si="6">SUM(B75:D75)</f>
        <v>2</v>
      </c>
      <c r="G75" t="s">
        <v>17</v>
      </c>
      <c r="H75" s="185">
        <f>COUNT(B74:B93)</f>
        <v>0</v>
      </c>
      <c r="J75" t="e">
        <f ca="1">FTEXT(H75)</f>
        <v>#NAME?</v>
      </c>
    </row>
    <row r="76" spans="1:10" x14ac:dyDescent="0.25">
      <c r="A76" s="512">
        <f t="shared" ref="A76:A93" si="7">A75+1</f>
        <v>3</v>
      </c>
      <c r="C76" s="222">
        <v>0</v>
      </c>
      <c r="D76" s="176">
        <v>1</v>
      </c>
      <c r="E76" s="512">
        <f t="shared" si="6"/>
        <v>1</v>
      </c>
      <c r="G76" t="s">
        <v>41</v>
      </c>
      <c r="H76" s="185">
        <f>H74-1</f>
        <v>1</v>
      </c>
      <c r="J76" t="e">
        <f ca="1">FTEXT(H76)</f>
        <v>#NAME?</v>
      </c>
    </row>
    <row r="77" spans="1:10" x14ac:dyDescent="0.25">
      <c r="A77" s="512">
        <f t="shared" si="7"/>
        <v>4</v>
      </c>
      <c r="C77" s="222">
        <v>1</v>
      </c>
      <c r="D77" s="176">
        <v>0</v>
      </c>
      <c r="E77" s="512">
        <f t="shared" si="6"/>
        <v>1</v>
      </c>
      <c r="G77" t="s">
        <v>645</v>
      </c>
      <c r="H77" s="185">
        <f>H76*(H74*SUMSQ(B94:D94)-E94^2)/(H74*E94-SUMSQ(E74:E93))</f>
        <v>0.1111111111111111</v>
      </c>
      <c r="J77" t="e">
        <f ca="1">FTEXT(H77)</f>
        <v>#NAME?</v>
      </c>
    </row>
    <row r="78" spans="1:10" x14ac:dyDescent="0.25">
      <c r="A78" s="512">
        <f t="shared" si="7"/>
        <v>5</v>
      </c>
      <c r="C78" s="222">
        <v>0</v>
      </c>
      <c r="D78" s="176">
        <v>0</v>
      </c>
      <c r="E78" s="512">
        <f t="shared" si="6"/>
        <v>0</v>
      </c>
      <c r="G78" t="s">
        <v>70</v>
      </c>
      <c r="H78" s="185">
        <v>0.05</v>
      </c>
    </row>
    <row r="79" spans="1:10" x14ac:dyDescent="0.25">
      <c r="A79" s="512">
        <f t="shared" si="7"/>
        <v>6</v>
      </c>
      <c r="C79" s="222">
        <v>1</v>
      </c>
      <c r="D79" s="176">
        <v>1</v>
      </c>
      <c r="E79" s="512">
        <f t="shared" si="6"/>
        <v>2</v>
      </c>
      <c r="G79" t="s">
        <v>48</v>
      </c>
      <c r="H79" s="185">
        <f>CHIDIST(H77,H76)</f>
        <v>0.73888268036352722</v>
      </c>
      <c r="J79" t="e">
        <f ca="1">FTEXT(H79)</f>
        <v>#NAME?</v>
      </c>
    </row>
    <row r="80" spans="1:10" x14ac:dyDescent="0.25">
      <c r="A80" s="512">
        <f t="shared" si="7"/>
        <v>7</v>
      </c>
      <c r="C80" s="222">
        <v>1</v>
      </c>
      <c r="D80" s="176">
        <v>1</v>
      </c>
      <c r="E80" s="512">
        <f t="shared" si="6"/>
        <v>2</v>
      </c>
      <c r="G80" t="s">
        <v>1208</v>
      </c>
      <c r="H80" s="185">
        <f>CHIINV(H78,H76)</f>
        <v>3.8414588206941236</v>
      </c>
      <c r="J80" t="e">
        <f ca="1">FTEXT(H80)</f>
        <v>#NAME?</v>
      </c>
    </row>
    <row r="81" spans="1:10" x14ac:dyDescent="0.25">
      <c r="A81" s="512">
        <f t="shared" si="7"/>
        <v>8</v>
      </c>
      <c r="C81" s="222">
        <v>0</v>
      </c>
      <c r="D81" s="176">
        <v>1</v>
      </c>
      <c r="E81" s="512">
        <f t="shared" si="6"/>
        <v>1</v>
      </c>
      <c r="G81" t="s">
        <v>164</v>
      </c>
      <c r="H81" s="117" t="str">
        <f>IF(H79&lt;H78,"yes","no")</f>
        <v>no</v>
      </c>
      <c r="J81" t="e">
        <f ca="1">FTEXT(H81)</f>
        <v>#NAME?</v>
      </c>
    </row>
    <row r="82" spans="1:10" x14ac:dyDescent="0.25">
      <c r="A82" s="512">
        <f t="shared" si="7"/>
        <v>9</v>
      </c>
      <c r="C82" s="222">
        <v>1</v>
      </c>
      <c r="D82" s="176">
        <v>1</v>
      </c>
      <c r="E82" s="512">
        <f t="shared" si="6"/>
        <v>2</v>
      </c>
    </row>
    <row r="83" spans="1:10" x14ac:dyDescent="0.25">
      <c r="A83" s="512">
        <f t="shared" si="7"/>
        <v>10</v>
      </c>
      <c r="C83" s="222">
        <v>1</v>
      </c>
      <c r="D83" s="176">
        <v>0</v>
      </c>
      <c r="E83" s="512">
        <f t="shared" si="6"/>
        <v>1</v>
      </c>
    </row>
    <row r="84" spans="1:10" x14ac:dyDescent="0.25">
      <c r="A84" s="512">
        <f t="shared" si="7"/>
        <v>11</v>
      </c>
      <c r="C84" s="222">
        <v>1</v>
      </c>
      <c r="D84" s="176">
        <v>0</v>
      </c>
      <c r="E84" s="512">
        <f t="shared" si="6"/>
        <v>1</v>
      </c>
    </row>
    <row r="85" spans="1:10" x14ac:dyDescent="0.25">
      <c r="A85" s="512">
        <f t="shared" si="7"/>
        <v>12</v>
      </c>
      <c r="C85" s="222">
        <v>1</v>
      </c>
      <c r="D85" s="176">
        <v>1</v>
      </c>
      <c r="E85" s="512">
        <f t="shared" si="6"/>
        <v>2</v>
      </c>
    </row>
    <row r="86" spans="1:10" x14ac:dyDescent="0.25">
      <c r="A86" s="512">
        <f t="shared" si="7"/>
        <v>13</v>
      </c>
      <c r="C86" s="222">
        <v>0</v>
      </c>
      <c r="D86" s="176">
        <v>0</v>
      </c>
      <c r="E86" s="512">
        <f t="shared" si="6"/>
        <v>0</v>
      </c>
    </row>
    <row r="87" spans="1:10" x14ac:dyDescent="0.25">
      <c r="A87" s="512">
        <f t="shared" si="7"/>
        <v>14</v>
      </c>
      <c r="C87" s="222">
        <v>0</v>
      </c>
      <c r="D87" s="176">
        <v>1</v>
      </c>
      <c r="E87" s="512">
        <f t="shared" si="6"/>
        <v>1</v>
      </c>
    </row>
    <row r="88" spans="1:10" x14ac:dyDescent="0.25">
      <c r="A88" s="512">
        <f t="shared" si="7"/>
        <v>15</v>
      </c>
      <c r="C88" s="222">
        <v>1</v>
      </c>
      <c r="D88" s="176">
        <v>1</v>
      </c>
      <c r="E88" s="512">
        <f t="shared" si="6"/>
        <v>2</v>
      </c>
    </row>
    <row r="89" spans="1:10" x14ac:dyDescent="0.25">
      <c r="A89" s="512">
        <f t="shared" si="7"/>
        <v>16</v>
      </c>
      <c r="C89" s="222">
        <v>1</v>
      </c>
      <c r="D89" s="176">
        <v>0</v>
      </c>
      <c r="E89" s="512">
        <f t="shared" si="6"/>
        <v>1</v>
      </c>
    </row>
    <row r="90" spans="1:10" x14ac:dyDescent="0.25">
      <c r="A90" s="512">
        <f t="shared" si="7"/>
        <v>17</v>
      </c>
      <c r="C90" s="222">
        <v>0</v>
      </c>
      <c r="D90" s="176">
        <v>1</v>
      </c>
      <c r="E90" s="512">
        <f t="shared" si="6"/>
        <v>1</v>
      </c>
    </row>
    <row r="91" spans="1:10" x14ac:dyDescent="0.25">
      <c r="A91" s="512">
        <f t="shared" si="7"/>
        <v>18</v>
      </c>
      <c r="C91" s="222">
        <v>1</v>
      </c>
      <c r="D91" s="176">
        <v>1</v>
      </c>
      <c r="E91" s="512">
        <f t="shared" si="6"/>
        <v>2</v>
      </c>
    </row>
    <row r="92" spans="1:10" x14ac:dyDescent="0.25">
      <c r="A92" s="512">
        <f t="shared" si="7"/>
        <v>19</v>
      </c>
      <c r="C92" s="222">
        <v>0</v>
      </c>
      <c r="D92" s="176">
        <v>1</v>
      </c>
      <c r="E92" s="512">
        <f t="shared" si="6"/>
        <v>1</v>
      </c>
    </row>
    <row r="93" spans="1:10" x14ac:dyDescent="0.25">
      <c r="A93" s="512">
        <f t="shared" si="7"/>
        <v>20</v>
      </c>
      <c r="C93" s="139">
        <v>1</v>
      </c>
      <c r="D93" s="115">
        <v>1</v>
      </c>
      <c r="E93" s="512">
        <f t="shared" si="6"/>
        <v>2</v>
      </c>
    </row>
    <row r="94" spans="1:10" x14ac:dyDescent="0.25">
      <c r="C94" s="512">
        <f>SUM(C74:C93)</f>
        <v>13</v>
      </c>
      <c r="D94" s="512">
        <f>SUM(D74:D93)</f>
        <v>14</v>
      </c>
      <c r="E94" s="512">
        <f>SUM(B94:D94)</f>
        <v>27</v>
      </c>
    </row>
  </sheetData>
  <pageMargins left="0.7" right="0.7" top="0.75" bottom="0.75" header="0.3" footer="0.3"/>
  <ignoredErrors>
    <ignoredError sqref="E4 E51" formulaRange="1"/>
  </ignoredError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V21"/>
  <sheetViews>
    <sheetView workbookViewId="0"/>
  </sheetViews>
  <sheetFormatPr defaultRowHeight="15" x14ac:dyDescent="0.25"/>
  <cols>
    <col min="10" max="10" width="3.5703125" customWidth="1"/>
    <col min="11" max="11" width="41.42578125" customWidth="1"/>
  </cols>
  <sheetData>
    <row r="1" spans="1:22" x14ac:dyDescent="0.25">
      <c r="A1" s="1" t="s">
        <v>1204</v>
      </c>
      <c r="S1" t="s">
        <v>1212</v>
      </c>
    </row>
    <row r="3" spans="1:22" x14ac:dyDescent="0.25">
      <c r="A3" s="512" t="s">
        <v>109</v>
      </c>
      <c r="B3" s="512" t="s">
        <v>95</v>
      </c>
      <c r="C3" s="512" t="s">
        <v>96</v>
      </c>
      <c r="D3" s="512" t="s">
        <v>97</v>
      </c>
      <c r="E3" s="512" t="s">
        <v>14</v>
      </c>
      <c r="M3" s="512" t="s">
        <v>109</v>
      </c>
      <c r="N3" s="512" t="s">
        <v>95</v>
      </c>
      <c r="O3" s="512" t="s">
        <v>96</v>
      </c>
      <c r="P3" s="512" t="s">
        <v>97</v>
      </c>
      <c r="Q3" s="512"/>
      <c r="S3" t="s">
        <v>1204</v>
      </c>
    </row>
    <row r="4" spans="1:22" x14ac:dyDescent="0.25">
      <c r="A4" s="508">
        <v>0</v>
      </c>
      <c r="B4" s="413">
        <v>0</v>
      </c>
      <c r="C4" s="413">
        <v>0</v>
      </c>
      <c r="D4" s="507">
        <v>0</v>
      </c>
      <c r="E4" s="506">
        <v>6</v>
      </c>
      <c r="F4" s="512">
        <f>SUM(A4:D4)^2*E4</f>
        <v>0</v>
      </c>
      <c r="H4" t="s">
        <v>38</v>
      </c>
      <c r="I4" s="417">
        <f>COUNTA(A3:D3)</f>
        <v>4</v>
      </c>
      <c r="K4" t="e">
        <f ca="1">FTEXT(I4)</f>
        <v>#NAME?</v>
      </c>
      <c r="M4" s="515">
        <f>A20/$I5</f>
        <v>0.56999999999999995</v>
      </c>
      <c r="N4" s="516">
        <f>B20/$I5</f>
        <v>0.49</v>
      </c>
      <c r="O4" s="516">
        <f>C20/$I5</f>
        <v>0.43</v>
      </c>
      <c r="P4" s="517">
        <f>D20/$I5</f>
        <v>0.38</v>
      </c>
      <c r="Q4" s="518"/>
    </row>
    <row r="5" spans="1:22" x14ac:dyDescent="0.25">
      <c r="A5" s="222">
        <v>0</v>
      </c>
      <c r="B5" s="513">
        <v>0</v>
      </c>
      <c r="C5" s="513">
        <v>0</v>
      </c>
      <c r="D5" s="176">
        <v>1</v>
      </c>
      <c r="E5" s="254">
        <v>3</v>
      </c>
      <c r="F5" s="512">
        <f t="shared" ref="F5:F19" si="0">SUM(A5:D5)^2*E5</f>
        <v>3</v>
      </c>
      <c r="H5" t="s">
        <v>17</v>
      </c>
      <c r="I5" s="185">
        <f>SUM(E4:E19)</f>
        <v>100</v>
      </c>
      <c r="K5" t="e">
        <f ca="1">FTEXT(I5)</f>
        <v>#NAME?</v>
      </c>
      <c r="S5" t="s">
        <v>18</v>
      </c>
      <c r="T5" s="519">
        <v>0.05</v>
      </c>
    </row>
    <row r="6" spans="1:22" x14ac:dyDescent="0.25">
      <c r="A6" s="222">
        <v>0</v>
      </c>
      <c r="B6" s="513">
        <v>0</v>
      </c>
      <c r="C6" s="513">
        <v>1</v>
      </c>
      <c r="D6" s="176">
        <v>0</v>
      </c>
      <c r="E6" s="254">
        <v>6</v>
      </c>
      <c r="F6" s="512">
        <f t="shared" si="0"/>
        <v>6</v>
      </c>
      <c r="H6" t="s">
        <v>41</v>
      </c>
      <c r="I6" s="185">
        <f>I4-1</f>
        <v>3</v>
      </c>
      <c r="K6" t="e">
        <f ca="1">FTEXT(I6)</f>
        <v>#NAME?</v>
      </c>
    </row>
    <row r="7" spans="1:22" x14ac:dyDescent="0.25">
      <c r="A7" s="222">
        <v>0</v>
      </c>
      <c r="B7" s="513">
        <v>0</v>
      </c>
      <c r="C7" s="513">
        <v>1</v>
      </c>
      <c r="D7" s="176">
        <v>1</v>
      </c>
      <c r="E7" s="254">
        <v>7</v>
      </c>
      <c r="F7" s="512">
        <f t="shared" si="0"/>
        <v>28</v>
      </c>
      <c r="H7" t="s">
        <v>645</v>
      </c>
      <c r="I7" s="185">
        <f>I6*(I4*SUMSQ(A20:D20)-E20^2)/(I4*E20-F20)</f>
        <v>7.3669724770642198</v>
      </c>
      <c r="K7" t="e">
        <f ca="1">FTEXT(I7)</f>
        <v>#NAME?</v>
      </c>
      <c r="S7" t="s">
        <v>1210</v>
      </c>
      <c r="T7" s="520" t="e">
        <f ca="1">COCHRAN(A4:E19)</f>
        <v>#NAME?</v>
      </c>
    </row>
    <row r="8" spans="1:22" x14ac:dyDescent="0.25">
      <c r="A8" s="222">
        <v>0</v>
      </c>
      <c r="B8" s="513">
        <v>1</v>
      </c>
      <c r="C8" s="513">
        <v>0</v>
      </c>
      <c r="D8" s="176">
        <v>0</v>
      </c>
      <c r="E8" s="254">
        <v>2</v>
      </c>
      <c r="F8" s="512">
        <f t="shared" si="0"/>
        <v>2</v>
      </c>
      <c r="H8" t="s">
        <v>70</v>
      </c>
      <c r="I8" s="185">
        <v>0.05</v>
      </c>
      <c r="S8" t="s">
        <v>41</v>
      </c>
      <c r="T8" s="322">
        <f>COUNT(A4:E4)-2</f>
        <v>3</v>
      </c>
    </row>
    <row r="9" spans="1:22" x14ac:dyDescent="0.25">
      <c r="A9" s="222">
        <v>0</v>
      </c>
      <c r="B9" s="513">
        <v>1</v>
      </c>
      <c r="C9" s="513">
        <v>0</v>
      </c>
      <c r="D9" s="176">
        <v>1</v>
      </c>
      <c r="E9" s="254">
        <v>9</v>
      </c>
      <c r="F9" s="512">
        <f t="shared" si="0"/>
        <v>36</v>
      </c>
      <c r="H9" t="s">
        <v>48</v>
      </c>
      <c r="I9" s="185">
        <f>CHIDIST(I7,I6)</f>
        <v>6.1076841177476054E-2</v>
      </c>
      <c r="K9" t="e">
        <f ca="1">FTEXT(I9)</f>
        <v>#NAME?</v>
      </c>
      <c r="S9" t="s">
        <v>48</v>
      </c>
      <c r="T9" s="322" t="e">
        <f ca="1">CHIDIST(T7,T8)</f>
        <v>#NAME?</v>
      </c>
    </row>
    <row r="10" spans="1:22" x14ac:dyDescent="0.25">
      <c r="A10" s="222">
        <v>0</v>
      </c>
      <c r="B10" s="513">
        <v>1</v>
      </c>
      <c r="C10" s="513">
        <v>1</v>
      </c>
      <c r="D10" s="176">
        <v>0</v>
      </c>
      <c r="E10" s="254">
        <v>10</v>
      </c>
      <c r="F10" s="512">
        <f t="shared" si="0"/>
        <v>40</v>
      </c>
      <c r="H10" t="s">
        <v>1208</v>
      </c>
      <c r="I10" s="185">
        <f>CHIINV(I8,I6)</f>
        <v>7.8147279032511792</v>
      </c>
      <c r="K10" t="e">
        <f ca="1">FTEXT(I10)</f>
        <v>#NAME?</v>
      </c>
      <c r="S10" t="s">
        <v>164</v>
      </c>
      <c r="T10" s="350" t="e">
        <f ca="1">IF(T9&lt;T5,"yes","no")</f>
        <v>#NAME?</v>
      </c>
    </row>
    <row r="11" spans="1:22" x14ac:dyDescent="0.25">
      <c r="A11" s="222">
        <v>0</v>
      </c>
      <c r="B11" s="513">
        <v>1</v>
      </c>
      <c r="C11" s="513">
        <v>1</v>
      </c>
      <c r="D11" s="176">
        <v>1</v>
      </c>
      <c r="E11" s="254">
        <v>0</v>
      </c>
      <c r="F11" s="512">
        <f t="shared" si="0"/>
        <v>0</v>
      </c>
      <c r="H11" t="s">
        <v>164</v>
      </c>
      <c r="I11" s="117" t="str">
        <f>IF(I9&lt;I8,"yes","no")</f>
        <v>no</v>
      </c>
      <c r="K11" t="e">
        <f ca="1">FTEXT(I11)</f>
        <v>#NAME?</v>
      </c>
    </row>
    <row r="12" spans="1:22" x14ac:dyDescent="0.25">
      <c r="A12" s="222">
        <v>1</v>
      </c>
      <c r="B12" s="513">
        <v>0</v>
      </c>
      <c r="C12" s="513">
        <v>0</v>
      </c>
      <c r="D12" s="176">
        <v>0</v>
      </c>
      <c r="E12" s="254">
        <v>11</v>
      </c>
      <c r="F12" s="512">
        <f t="shared" si="0"/>
        <v>11</v>
      </c>
      <c r="S12" t="s">
        <v>1211</v>
      </c>
    </row>
    <row r="13" spans="1:22" x14ac:dyDescent="0.25">
      <c r="A13" s="222">
        <v>1</v>
      </c>
      <c r="B13" s="513">
        <v>0</v>
      </c>
      <c r="C13" s="513">
        <v>0</v>
      </c>
      <c r="D13" s="176">
        <v>1</v>
      </c>
      <c r="E13" s="254">
        <v>6</v>
      </c>
      <c r="F13" s="512">
        <f t="shared" si="0"/>
        <v>24</v>
      </c>
    </row>
    <row r="14" spans="1:22" x14ac:dyDescent="0.25">
      <c r="A14" s="222">
        <v>1</v>
      </c>
      <c r="B14" s="513">
        <v>0</v>
      </c>
      <c r="C14" s="513">
        <v>1</v>
      </c>
      <c r="D14" s="176">
        <v>0</v>
      </c>
      <c r="E14" s="254">
        <v>8</v>
      </c>
      <c r="F14" s="512">
        <f t="shared" si="0"/>
        <v>32</v>
      </c>
      <c r="H14" t="s">
        <v>1121</v>
      </c>
      <c r="M14" t="s">
        <v>1121</v>
      </c>
      <c r="S14" t="str">
        <f>A3</f>
        <v>A</v>
      </c>
      <c r="T14" t="str">
        <f>B3</f>
        <v>B</v>
      </c>
      <c r="U14" t="str">
        <f>C3</f>
        <v>C</v>
      </c>
      <c r="V14" t="str">
        <f>D3</f>
        <v>D</v>
      </c>
    </row>
    <row r="15" spans="1:22" x14ac:dyDescent="0.25">
      <c r="A15" s="222">
        <v>1</v>
      </c>
      <c r="B15" s="513">
        <v>0</v>
      </c>
      <c r="C15" s="513">
        <v>1</v>
      </c>
      <c r="D15" s="176">
        <v>1</v>
      </c>
      <c r="E15" s="254">
        <v>4</v>
      </c>
      <c r="F15" s="512">
        <f t="shared" si="0"/>
        <v>36</v>
      </c>
      <c r="S15" s="521" t="e">
        <f t="array" aca="1" ref="S15:V15" ca="1">QRATIO(A4:E19)</f>
        <v>#NAME?</v>
      </c>
      <c r="T15" s="522" t="e">
        <f ca="1"/>
        <v>#NAME?</v>
      </c>
      <c r="U15" s="522" t="e">
        <f ca="1"/>
        <v>#NAME?</v>
      </c>
      <c r="V15" s="523" t="e">
        <f ca="1"/>
        <v>#NAME?</v>
      </c>
    </row>
    <row r="16" spans="1:22" x14ac:dyDescent="0.25">
      <c r="A16" s="222">
        <v>1</v>
      </c>
      <c r="B16" s="513">
        <v>1</v>
      </c>
      <c r="C16" s="513">
        <v>0</v>
      </c>
      <c r="D16" s="176">
        <v>0</v>
      </c>
      <c r="E16" s="254">
        <v>14</v>
      </c>
      <c r="F16" s="512">
        <f t="shared" si="0"/>
        <v>56</v>
      </c>
      <c r="H16" t="s">
        <v>645</v>
      </c>
      <c r="I16" s="417" t="e">
        <f ca="1">COCHRAN(A4:E19)</f>
        <v>#NAME?</v>
      </c>
      <c r="M16" s="275" t="e">
        <f t="array" aca="1" ref="M16:P16" ca="1">QRATIO(A4:E19)</f>
        <v>#NAME?</v>
      </c>
      <c r="N16" s="263" t="e">
        <f ca="1"/>
        <v>#NAME?</v>
      </c>
      <c r="O16" s="263" t="e">
        <f ca="1"/>
        <v>#NAME?</v>
      </c>
      <c r="P16" s="276" t="e">
        <f ca="1"/>
        <v>#NAME?</v>
      </c>
      <c r="Q16" s="7"/>
    </row>
    <row r="17" spans="1:9" x14ac:dyDescent="0.25">
      <c r="A17" s="222">
        <v>1</v>
      </c>
      <c r="B17" s="513">
        <v>1</v>
      </c>
      <c r="C17" s="513">
        <v>0</v>
      </c>
      <c r="D17" s="176">
        <v>1</v>
      </c>
      <c r="E17" s="254">
        <v>6</v>
      </c>
      <c r="F17" s="512">
        <f t="shared" si="0"/>
        <v>54</v>
      </c>
      <c r="H17" t="s">
        <v>48</v>
      </c>
      <c r="I17" s="123" t="e">
        <f ca="1">QTEST(A4:E19)</f>
        <v>#NAME?</v>
      </c>
    </row>
    <row r="18" spans="1:9" x14ac:dyDescent="0.25">
      <c r="A18" s="222">
        <v>1</v>
      </c>
      <c r="B18" s="513">
        <v>1</v>
      </c>
      <c r="C18" s="513">
        <v>1</v>
      </c>
      <c r="D18" s="176">
        <v>0</v>
      </c>
      <c r="E18" s="254">
        <v>5</v>
      </c>
      <c r="F18" s="512">
        <f t="shared" si="0"/>
        <v>45</v>
      </c>
    </row>
    <row r="19" spans="1:9" x14ac:dyDescent="0.25">
      <c r="A19" s="139">
        <v>1</v>
      </c>
      <c r="B19" s="412">
        <v>1</v>
      </c>
      <c r="C19" s="412">
        <v>1</v>
      </c>
      <c r="D19" s="115">
        <v>1</v>
      </c>
      <c r="E19" s="253">
        <v>3</v>
      </c>
      <c r="F19" s="512">
        <f t="shared" si="0"/>
        <v>48</v>
      </c>
    </row>
    <row r="20" spans="1:9" x14ac:dyDescent="0.25">
      <c r="A20" s="512">
        <f>SUMPRODUCT(A4:A19,$E4:$E19)</f>
        <v>57</v>
      </c>
      <c r="B20" s="512">
        <f>SUMPRODUCT(B4:B19,$E4:$E19)</f>
        <v>49</v>
      </c>
      <c r="C20" s="512">
        <f>SUMPRODUCT(C4:C19,$E4:$E19)</f>
        <v>43</v>
      </c>
      <c r="D20" s="512">
        <f>SUMPRODUCT(D4:D19,$E4:$E19)</f>
        <v>38</v>
      </c>
      <c r="E20" s="512">
        <f>SUM(A20:D20)</f>
        <v>187</v>
      </c>
      <c r="F20" s="512">
        <f>SUM(F4:F19)</f>
        <v>421</v>
      </c>
    </row>
    <row r="21" spans="1:9" x14ac:dyDescent="0.25">
      <c r="E21" s="514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AA17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2" width="10.140625" customWidth="1"/>
  </cols>
  <sheetData>
    <row r="1" spans="1:27" x14ac:dyDescent="0.25">
      <c r="A1" s="1" t="s">
        <v>560</v>
      </c>
    </row>
    <row r="3" spans="1:27" x14ac:dyDescent="0.25">
      <c r="B3" t="s">
        <v>20</v>
      </c>
      <c r="G3" t="s">
        <v>3</v>
      </c>
      <c r="M3" t="s">
        <v>193</v>
      </c>
      <c r="T3" t="s">
        <v>583</v>
      </c>
    </row>
    <row r="5" spans="1:27" x14ac:dyDescent="0.25">
      <c r="B5" s="245" t="s">
        <v>23</v>
      </c>
      <c r="C5" s="245" t="s">
        <v>24</v>
      </c>
      <c r="D5" s="245" t="s">
        <v>30</v>
      </c>
      <c r="E5" s="247" t="s">
        <v>31</v>
      </c>
      <c r="G5" s="245" t="s">
        <v>23</v>
      </c>
      <c r="H5" s="245" t="s">
        <v>24</v>
      </c>
      <c r="I5" s="245" t="s">
        <v>30</v>
      </c>
      <c r="J5" s="247" t="s">
        <v>31</v>
      </c>
      <c r="K5" s="249"/>
      <c r="N5" s="245" t="s">
        <v>23</v>
      </c>
      <c r="O5" s="245" t="s">
        <v>24</v>
      </c>
      <c r="P5" s="245" t="s">
        <v>30</v>
      </c>
      <c r="Q5" s="247" t="s">
        <v>31</v>
      </c>
      <c r="T5" s="786" t="s">
        <v>23</v>
      </c>
      <c r="U5" s="787"/>
      <c r="V5" s="786" t="s">
        <v>24</v>
      </c>
      <c r="W5" s="787"/>
      <c r="X5" s="786" t="s">
        <v>30</v>
      </c>
      <c r="Y5" s="787"/>
      <c r="Z5" s="788" t="s">
        <v>31</v>
      </c>
      <c r="AA5" s="789"/>
    </row>
    <row r="6" spans="1:2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M6" t="s">
        <v>33</v>
      </c>
      <c r="N6">
        <f>MIN(B6:B15)</f>
        <v>8</v>
      </c>
      <c r="O6">
        <f>MIN(C6:C15)</f>
        <v>13</v>
      </c>
      <c r="P6">
        <f>MIN(D6:D15)</f>
        <v>9</v>
      </c>
      <c r="Q6">
        <f>MIN(E6:E15)</f>
        <v>7</v>
      </c>
      <c r="T6" s="214">
        <v>17.5</v>
      </c>
      <c r="U6" s="215">
        <v>12</v>
      </c>
      <c r="V6" s="214">
        <v>70.8</v>
      </c>
      <c r="W6" s="215">
        <v>45</v>
      </c>
      <c r="X6" s="214">
        <v>71.400000000000006</v>
      </c>
      <c r="Y6" s="215">
        <v>20</v>
      </c>
      <c r="Z6" s="214">
        <v>35</v>
      </c>
      <c r="AA6" s="215">
        <v>12</v>
      </c>
    </row>
    <row r="7" spans="1:2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M7" t="s">
        <v>34</v>
      </c>
      <c r="N7">
        <f>QUARTILE(B6:B15,1)-N6</f>
        <v>6.25</v>
      </c>
      <c r="O7">
        <f>QUARTILE(C6:C15,1)-O6</f>
        <v>16</v>
      </c>
      <c r="P7">
        <f>QUARTILE(D6:D15,1)-P6</f>
        <v>4.5</v>
      </c>
      <c r="Q7">
        <f>QUARTILE(E6:E15,1)-Q6</f>
        <v>3.5</v>
      </c>
      <c r="T7" s="214">
        <v>104.60000000000001</v>
      </c>
      <c r="U7" s="215">
        <v>39</v>
      </c>
      <c r="V7" s="214">
        <v>45.9</v>
      </c>
      <c r="W7" s="215">
        <v>37</v>
      </c>
      <c r="X7" s="214">
        <v>55</v>
      </c>
      <c r="Y7" s="215">
        <v>42</v>
      </c>
      <c r="Z7" s="214">
        <v>33</v>
      </c>
      <c r="AA7" s="215">
        <v>10</v>
      </c>
    </row>
    <row r="8" spans="1:27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M8" t="s">
        <v>35</v>
      </c>
      <c r="N8">
        <f>MEDIAN(B6:B15)-QUARTILE(B6:B15,1)</f>
        <v>6.75</v>
      </c>
      <c r="O8">
        <f>MEDIAN(C6:C15)-QUARTILE(C6:C15,1)</f>
        <v>7</v>
      </c>
      <c r="P8">
        <f>MEDIAN(D6:D15)-QUARTILE(D6:D15,1)</f>
        <v>7</v>
      </c>
      <c r="Q8">
        <f>MEDIAN(E6:E15)-QUARTILE(E6:E15,1)</f>
        <v>5.5</v>
      </c>
      <c r="T8" s="214">
        <v>64.7</v>
      </c>
      <c r="U8" s="215">
        <v>36</v>
      </c>
      <c r="V8" s="214">
        <v>47.5</v>
      </c>
      <c r="W8" s="215">
        <v>13</v>
      </c>
      <c r="X8" s="214">
        <v>54</v>
      </c>
      <c r="Y8" s="215">
        <v>31</v>
      </c>
      <c r="Z8" s="214">
        <v>34.200000000000003</v>
      </c>
      <c r="AA8" s="215">
        <v>19</v>
      </c>
    </row>
    <row r="9" spans="1:2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M9" t="s">
        <v>36</v>
      </c>
      <c r="N9">
        <f>QUARTILE(B6:B15,3)-MEDIAN(B6:B15)</f>
        <v>11.25</v>
      </c>
      <c r="O9">
        <f>QUARTILE(C6:C15,3)-MEDIAN(C6:C15)</f>
        <v>5.25</v>
      </c>
      <c r="P9">
        <f>QUARTILE(D6:D15,3)-MEDIAN(D6:D15)</f>
        <v>8.75</v>
      </c>
      <c r="Q9">
        <f>QUARTILE(E6:E15,3)-MEDIAN(E6:E15)</f>
        <v>3</v>
      </c>
      <c r="T9" s="214">
        <v>47</v>
      </c>
      <c r="U9" s="215">
        <v>17</v>
      </c>
      <c r="V9" s="214">
        <v>77.8</v>
      </c>
      <c r="W9" s="215">
        <v>50</v>
      </c>
      <c r="X9" s="214">
        <v>27.9</v>
      </c>
      <c r="Y9" s="215">
        <v>24</v>
      </c>
      <c r="Z9" s="214">
        <v>43.2</v>
      </c>
      <c r="AA9" s="215">
        <v>18</v>
      </c>
    </row>
    <row r="10" spans="1:27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M10" t="s">
        <v>37</v>
      </c>
      <c r="N10">
        <f>MAX(B6:B15)-QUARTILE(B6:B15,3)</f>
        <v>6.75</v>
      </c>
      <c r="O10">
        <f>MAX(C6:C15)-QUARTILE(C6:C15,3)</f>
        <v>8.75</v>
      </c>
      <c r="P10">
        <f>MAX(D6:D15)-QUARTILE(D6:D15,3)</f>
        <v>12.75</v>
      </c>
      <c r="Q10">
        <f>MAX(E6:E15)-QUARTILE(E6:E15,3)</f>
        <v>7</v>
      </c>
      <c r="T10" s="214">
        <v>22</v>
      </c>
      <c r="U10" s="215">
        <v>25</v>
      </c>
      <c r="V10" s="214">
        <v>70.900000000000006</v>
      </c>
      <c r="W10" s="215">
        <v>35</v>
      </c>
      <c r="X10" s="214">
        <v>40.599999999999994</v>
      </c>
      <c r="Y10" s="215">
        <v>15</v>
      </c>
      <c r="Z10" s="214">
        <v>20</v>
      </c>
      <c r="AA10" s="215">
        <v>14</v>
      </c>
    </row>
    <row r="11" spans="1:27" x14ac:dyDescent="0.25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T11" s="214">
        <v>12.4</v>
      </c>
      <c r="U11" s="215">
        <v>15</v>
      </c>
      <c r="V11" s="214">
        <v>84.8</v>
      </c>
      <c r="W11" s="215">
        <v>40</v>
      </c>
      <c r="X11" s="214">
        <v>33</v>
      </c>
      <c r="Y11" s="215">
        <v>13</v>
      </c>
      <c r="Z11" s="214">
        <v>37</v>
      </c>
      <c r="AA11" s="215">
        <v>8</v>
      </c>
    </row>
    <row r="12" spans="1:27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T12" s="214">
        <v>20</v>
      </c>
      <c r="U12" s="215">
        <v>8</v>
      </c>
      <c r="V12" s="214">
        <v>49.8</v>
      </c>
      <c r="W12" s="215">
        <v>33</v>
      </c>
      <c r="X12" s="214">
        <v>22.2</v>
      </c>
      <c r="Y12" s="215">
        <v>9</v>
      </c>
      <c r="Z12" s="214">
        <v>28.2</v>
      </c>
      <c r="AA12" s="215">
        <v>7</v>
      </c>
    </row>
    <row r="13" spans="1:27" x14ac:dyDescent="0.25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T13" s="214">
        <v>79.7</v>
      </c>
      <c r="U13" s="215">
        <v>31</v>
      </c>
      <c r="V13" s="214">
        <v>34.599999999999994</v>
      </c>
      <c r="W13" s="215">
        <v>17</v>
      </c>
      <c r="X13" s="214">
        <v>80.5</v>
      </c>
      <c r="Y13" s="215">
        <v>21</v>
      </c>
      <c r="Z13" s="214">
        <v>46.400000000000006</v>
      </c>
      <c r="AA13" s="215">
        <v>19</v>
      </c>
    </row>
    <row r="14" spans="1:27" x14ac:dyDescent="0.25">
      <c r="D14">
        <v>31</v>
      </c>
      <c r="E14">
        <v>25</v>
      </c>
      <c r="I14">
        <v>80</v>
      </c>
      <c r="J14">
        <v>64.900000000000006</v>
      </c>
      <c r="T14" s="214"/>
      <c r="U14" s="215"/>
      <c r="V14" s="214"/>
      <c r="W14" s="215"/>
      <c r="X14" s="214">
        <v>80</v>
      </c>
      <c r="Y14" s="215">
        <v>31</v>
      </c>
      <c r="Z14" s="214">
        <v>64.900000000000006</v>
      </c>
      <c r="AA14" s="215">
        <v>25</v>
      </c>
    </row>
    <row r="15" spans="1:27" x14ac:dyDescent="0.25">
      <c r="B15" s="113"/>
      <c r="C15" s="113"/>
      <c r="D15" s="113">
        <v>13</v>
      </c>
      <c r="E15" s="113">
        <v>26</v>
      </c>
      <c r="G15" s="113"/>
      <c r="H15" s="113"/>
      <c r="I15" s="113">
        <v>41</v>
      </c>
      <c r="J15" s="113">
        <v>59.4</v>
      </c>
      <c r="K15" s="7"/>
      <c r="T15" s="112"/>
      <c r="U15" s="120"/>
      <c r="V15" s="112"/>
      <c r="W15" s="120"/>
      <c r="X15" s="112">
        <v>41</v>
      </c>
      <c r="Y15" s="120">
        <v>13</v>
      </c>
      <c r="Z15" s="112">
        <v>59.4</v>
      </c>
      <c r="AA15" s="120">
        <v>26</v>
      </c>
    </row>
    <row r="16" spans="1:27" x14ac:dyDescent="0.25">
      <c r="A16" t="s">
        <v>6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</row>
    <row r="17" spans="1:11" x14ac:dyDescent="0.25">
      <c r="A17" t="s">
        <v>7</v>
      </c>
      <c r="B17" s="113">
        <f>VAR(B6:B15)</f>
        <v>134.125</v>
      </c>
      <c r="C17" s="113">
        <f>VAR(C6:C15)</f>
        <v>164.78571428571428</v>
      </c>
      <c r="D17" s="113">
        <f>VAR(D6:D15)</f>
        <v>105.65555555555551</v>
      </c>
      <c r="E17" s="113">
        <f>VAR(E6:E15)</f>
        <v>44.844444444444434</v>
      </c>
      <c r="G17" s="113">
        <f>VAR(G6:G15)</f>
        <v>1159.0783928571432</v>
      </c>
      <c r="H17" s="113">
        <f>VAR(H6:H15)</f>
        <v>324.43410714285659</v>
      </c>
      <c r="I17" s="113">
        <f>VAR(I6:I15)</f>
        <v>449.52044444444499</v>
      </c>
      <c r="J17" s="113">
        <f>VAR(J6:J15)</f>
        <v>189.25344444444514</v>
      </c>
      <c r="K17" s="7"/>
    </row>
  </sheetData>
  <mergeCells count="4">
    <mergeCell ref="T5:U5"/>
    <mergeCell ref="V5:W5"/>
    <mergeCell ref="X5:Y5"/>
    <mergeCell ref="Z5:AA5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AB87"/>
  <sheetViews>
    <sheetView zoomScaleNormal="100" workbookViewId="0"/>
  </sheetViews>
  <sheetFormatPr defaultRowHeight="15" x14ac:dyDescent="0.25"/>
  <cols>
    <col min="10" max="10" width="18.42578125" customWidth="1"/>
    <col min="15" max="15" width="13" customWidth="1"/>
    <col min="18" max="18" width="17.7109375" customWidth="1"/>
    <col min="19" max="19" width="11.7109375" customWidth="1"/>
    <col min="20" max="20" width="13.140625" customWidth="1"/>
    <col min="21" max="22" width="11.5703125" customWidth="1"/>
    <col min="23" max="23" width="12.7109375" customWidth="1"/>
    <col min="24" max="24" width="8.5703125" customWidth="1"/>
    <col min="28" max="28" width="10.28515625" customWidth="1"/>
  </cols>
  <sheetData>
    <row r="1" spans="1:28" x14ac:dyDescent="0.25">
      <c r="A1" s="1" t="s">
        <v>610</v>
      </c>
    </row>
    <row r="3" spans="1:28" x14ac:dyDescent="0.25">
      <c r="A3" s="245" t="s">
        <v>105</v>
      </c>
      <c r="B3" s="245" t="s">
        <v>4</v>
      </c>
      <c r="C3" s="245" t="s">
        <v>172</v>
      </c>
      <c r="D3" s="245" t="s">
        <v>173</v>
      </c>
      <c r="E3" s="245" t="s">
        <v>189</v>
      </c>
      <c r="F3" s="245" t="s">
        <v>556</v>
      </c>
      <c r="G3" s="245" t="s">
        <v>557</v>
      </c>
      <c r="H3" s="245" t="s">
        <v>558</v>
      </c>
      <c r="J3" s="248" t="s">
        <v>578</v>
      </c>
      <c r="K3" s="16"/>
      <c r="L3" s="16"/>
      <c r="M3" s="16"/>
      <c r="N3" s="16"/>
      <c r="O3" s="16"/>
      <c r="R3" t="s">
        <v>572</v>
      </c>
      <c r="Y3" s="1" t="s">
        <v>584</v>
      </c>
    </row>
    <row r="4" spans="1:28" ht="15.75" thickBot="1" x14ac:dyDescent="0.3">
      <c r="A4">
        <v>12</v>
      </c>
      <c r="B4">
        <v>17.5</v>
      </c>
      <c r="C4">
        <v>1</v>
      </c>
      <c r="D4">
        <v>0</v>
      </c>
      <c r="E4">
        <v>0</v>
      </c>
      <c r="F4">
        <f t="shared" ref="F4:F39" si="0">$B4*C4</f>
        <v>17.5</v>
      </c>
      <c r="G4">
        <f t="shared" ref="G4:G39" si="1">$B4*D4</f>
        <v>0</v>
      </c>
      <c r="H4">
        <f t="shared" ref="H4:H39" si="2">$B4*E4</f>
        <v>0</v>
      </c>
    </row>
    <row r="5" spans="1:28" ht="15.75" thickBot="1" x14ac:dyDescent="0.3">
      <c r="A5">
        <v>39</v>
      </c>
      <c r="B5">
        <v>104.60000000000001</v>
      </c>
      <c r="C5">
        <v>1</v>
      </c>
      <c r="D5">
        <v>0</v>
      </c>
      <c r="E5">
        <v>0</v>
      </c>
      <c r="F5">
        <f t="shared" si="0"/>
        <v>104.60000000000001</v>
      </c>
      <c r="G5">
        <f t="shared" si="1"/>
        <v>0</v>
      </c>
      <c r="H5">
        <f t="shared" si="2"/>
        <v>0</v>
      </c>
      <c r="J5" t="s">
        <v>579</v>
      </c>
      <c r="R5" s="18" t="s">
        <v>122</v>
      </c>
      <c r="S5" s="18"/>
      <c r="Z5" s="193" t="s">
        <v>195</v>
      </c>
      <c r="AA5" s="193" t="s">
        <v>196</v>
      </c>
      <c r="AB5" s="193" t="s">
        <v>197</v>
      </c>
    </row>
    <row r="6" spans="1:28" x14ac:dyDescent="0.25">
      <c r="A6">
        <v>36</v>
      </c>
      <c r="B6">
        <v>64.7</v>
      </c>
      <c r="C6">
        <v>1</v>
      </c>
      <c r="D6">
        <v>0</v>
      </c>
      <c r="E6">
        <v>0</v>
      </c>
      <c r="F6">
        <f t="shared" si="0"/>
        <v>64.7</v>
      </c>
      <c r="G6">
        <f t="shared" si="1"/>
        <v>0</v>
      </c>
      <c r="H6">
        <f t="shared" si="2"/>
        <v>0</v>
      </c>
      <c r="J6" s="194"/>
      <c r="K6" s="194" t="s">
        <v>41</v>
      </c>
      <c r="L6" s="194" t="s">
        <v>111</v>
      </c>
      <c r="M6" s="194" t="s">
        <v>115</v>
      </c>
      <c r="N6" s="194" t="s">
        <v>98</v>
      </c>
      <c r="O6" s="194" t="s">
        <v>128</v>
      </c>
      <c r="R6" s="16" t="s">
        <v>123</v>
      </c>
      <c r="S6" s="16">
        <v>0.81879231765840588</v>
      </c>
      <c r="Y6" s="74" t="s">
        <v>202</v>
      </c>
      <c r="Z6" s="132">
        <f>S7</f>
        <v>0.67042085945642382</v>
      </c>
      <c r="AA6" s="224">
        <f>S23</f>
        <v>0.63921615672529453</v>
      </c>
      <c r="AB6" s="121">
        <f>Z6-AA6</f>
        <v>3.1204702731129297E-2</v>
      </c>
    </row>
    <row r="7" spans="1:28" x14ac:dyDescent="0.25">
      <c r="A7">
        <v>17</v>
      </c>
      <c r="B7">
        <v>47</v>
      </c>
      <c r="C7">
        <v>1</v>
      </c>
      <c r="D7">
        <v>0</v>
      </c>
      <c r="E7">
        <v>0</v>
      </c>
      <c r="F7">
        <f t="shared" si="0"/>
        <v>47</v>
      </c>
      <c r="G7">
        <f t="shared" si="1"/>
        <v>0</v>
      </c>
      <c r="H7">
        <f t="shared" si="2"/>
        <v>0</v>
      </c>
      <c r="J7" s="16" t="s">
        <v>113</v>
      </c>
      <c r="K7" s="16">
        <v>4</v>
      </c>
      <c r="L7" s="16">
        <v>3133.3665762499804</v>
      </c>
      <c r="M7" s="16">
        <v>783.34164406249511</v>
      </c>
      <c r="N7" s="16">
        <v>13.731006271389626</v>
      </c>
      <c r="O7" s="16">
        <v>1.4964731310688181E-6</v>
      </c>
      <c r="R7" s="16" t="s">
        <v>120</v>
      </c>
      <c r="S7" s="16">
        <v>0.67042085945642382</v>
      </c>
      <c r="Y7" t="s">
        <v>194</v>
      </c>
      <c r="Z7" s="112">
        <f>S15</f>
        <v>28</v>
      </c>
      <c r="AA7" s="113">
        <f>S31</f>
        <v>31</v>
      </c>
      <c r="AB7" s="123">
        <f>AA7-Z7</f>
        <v>3</v>
      </c>
    </row>
    <row r="8" spans="1:28" x14ac:dyDescent="0.25">
      <c r="A8">
        <v>25</v>
      </c>
      <c r="B8">
        <v>22</v>
      </c>
      <c r="C8">
        <v>1</v>
      </c>
      <c r="D8">
        <v>0</v>
      </c>
      <c r="E8">
        <v>0</v>
      </c>
      <c r="F8">
        <f t="shared" si="0"/>
        <v>22</v>
      </c>
      <c r="G8">
        <f t="shared" si="1"/>
        <v>0</v>
      </c>
      <c r="H8">
        <f t="shared" si="2"/>
        <v>0</v>
      </c>
      <c r="J8" s="16" t="s">
        <v>126</v>
      </c>
      <c r="K8" s="16">
        <v>31</v>
      </c>
      <c r="L8" s="16">
        <v>1768.5223126389094</v>
      </c>
      <c r="M8" s="16">
        <v>57.049106859319657</v>
      </c>
      <c r="N8" s="16"/>
      <c r="O8" s="16"/>
      <c r="R8" s="16" t="s">
        <v>124</v>
      </c>
      <c r="S8" s="16">
        <v>0.58802607432052978</v>
      </c>
      <c r="Y8" t="s">
        <v>98</v>
      </c>
      <c r="AB8" s="185">
        <f>AB6*Z7/(AB7*(1-Z6))</f>
        <v>0.88368423947236796</v>
      </c>
    </row>
    <row r="9" spans="1:28" ht="15.75" thickBot="1" x14ac:dyDescent="0.3">
      <c r="A9">
        <v>15</v>
      </c>
      <c r="B9">
        <v>12.4</v>
      </c>
      <c r="C9">
        <v>1</v>
      </c>
      <c r="D9">
        <v>0</v>
      </c>
      <c r="E9">
        <v>0</v>
      </c>
      <c r="F9">
        <f t="shared" si="0"/>
        <v>12.4</v>
      </c>
      <c r="G9">
        <f t="shared" si="1"/>
        <v>0</v>
      </c>
      <c r="H9">
        <f t="shared" si="2"/>
        <v>0</v>
      </c>
      <c r="J9" s="17" t="s">
        <v>1</v>
      </c>
      <c r="K9" s="17">
        <v>35</v>
      </c>
      <c r="L9" s="17">
        <v>4901.8888888888896</v>
      </c>
      <c r="M9" s="17"/>
      <c r="N9" s="17"/>
      <c r="O9" s="17"/>
      <c r="R9" s="16" t="s">
        <v>10</v>
      </c>
      <c r="S9" s="16">
        <v>7.5959583403659607</v>
      </c>
      <c r="Y9" s="24" t="s">
        <v>32</v>
      </c>
      <c r="AB9" s="185">
        <v>0.05</v>
      </c>
    </row>
    <row r="10" spans="1:28" ht="15.75" thickBot="1" x14ac:dyDescent="0.3">
      <c r="A10">
        <v>8</v>
      </c>
      <c r="B10">
        <v>20</v>
      </c>
      <c r="C10">
        <v>1</v>
      </c>
      <c r="D10">
        <v>0</v>
      </c>
      <c r="E10">
        <v>0</v>
      </c>
      <c r="F10">
        <f t="shared" si="0"/>
        <v>20</v>
      </c>
      <c r="G10">
        <f t="shared" si="1"/>
        <v>0</v>
      </c>
      <c r="H10">
        <f t="shared" si="2"/>
        <v>0</v>
      </c>
      <c r="R10" s="17" t="s">
        <v>55</v>
      </c>
      <c r="S10" s="17">
        <v>36</v>
      </c>
      <c r="Y10" s="74" t="s">
        <v>48</v>
      </c>
      <c r="AB10" s="185">
        <f>FDIST(AB8,AB7,Z7)</f>
        <v>0.46150436492324942</v>
      </c>
    </row>
    <row r="11" spans="1:28" ht="15.75" thickBot="1" x14ac:dyDescent="0.3">
      <c r="A11">
        <v>31</v>
      </c>
      <c r="B11">
        <v>79.7</v>
      </c>
      <c r="C11">
        <v>1</v>
      </c>
      <c r="D11">
        <v>0</v>
      </c>
      <c r="E11">
        <v>0</v>
      </c>
      <c r="F11">
        <f t="shared" si="0"/>
        <v>79.7</v>
      </c>
      <c r="G11">
        <f t="shared" si="1"/>
        <v>0</v>
      </c>
      <c r="H11">
        <f t="shared" si="2"/>
        <v>0</v>
      </c>
      <c r="J11" t="s">
        <v>575</v>
      </c>
      <c r="Y11" s="75" t="s">
        <v>164</v>
      </c>
      <c r="AB11" s="117" t="str">
        <f>IF(AB10&lt;AB9,"yes","no")</f>
        <v>no</v>
      </c>
    </row>
    <row r="12" spans="1:28" ht="15.75" thickBot="1" x14ac:dyDescent="0.3">
      <c r="A12">
        <v>45</v>
      </c>
      <c r="B12">
        <v>70.8</v>
      </c>
      <c r="C12">
        <v>0</v>
      </c>
      <c r="D12">
        <v>1</v>
      </c>
      <c r="E12">
        <v>0</v>
      </c>
      <c r="F12">
        <f t="shared" si="0"/>
        <v>0</v>
      </c>
      <c r="G12">
        <f t="shared" si="1"/>
        <v>70.8</v>
      </c>
      <c r="H12">
        <f t="shared" si="2"/>
        <v>0</v>
      </c>
      <c r="J12" s="194"/>
      <c r="K12" s="194" t="s">
        <v>41</v>
      </c>
      <c r="L12" s="194" t="s">
        <v>111</v>
      </c>
      <c r="M12" s="194" t="s">
        <v>115</v>
      </c>
      <c r="N12" s="194" t="s">
        <v>98</v>
      </c>
      <c r="O12" s="194" t="s">
        <v>128</v>
      </c>
      <c r="R12" t="s">
        <v>125</v>
      </c>
    </row>
    <row r="13" spans="1:28" x14ac:dyDescent="0.25">
      <c r="A13">
        <v>37</v>
      </c>
      <c r="B13">
        <v>45.9</v>
      </c>
      <c r="C13">
        <v>0</v>
      </c>
      <c r="D13">
        <v>1</v>
      </c>
      <c r="E13">
        <v>0</v>
      </c>
      <c r="F13">
        <f t="shared" si="0"/>
        <v>0</v>
      </c>
      <c r="G13">
        <f t="shared" si="1"/>
        <v>45.9</v>
      </c>
      <c r="H13">
        <f t="shared" si="2"/>
        <v>0</v>
      </c>
      <c r="J13" s="16" t="s">
        <v>113</v>
      </c>
      <c r="K13" s="16">
        <v>3</v>
      </c>
      <c r="L13" s="16">
        <v>1897.0572222222254</v>
      </c>
      <c r="M13" s="16">
        <v>632.35240740740846</v>
      </c>
      <c r="N13" s="16">
        <v>1.2542356704784683</v>
      </c>
      <c r="O13" s="16">
        <v>0.30655018520822414</v>
      </c>
      <c r="R13" s="194"/>
      <c r="S13" s="194" t="s">
        <v>41</v>
      </c>
      <c r="T13" s="194" t="s">
        <v>111</v>
      </c>
      <c r="U13" s="194" t="s">
        <v>115</v>
      </c>
      <c r="V13" s="194" t="s">
        <v>98</v>
      </c>
      <c r="W13" s="194" t="s">
        <v>128</v>
      </c>
      <c r="Y13" s="74" t="s">
        <v>629</v>
      </c>
      <c r="AB13" s="258" t="e">
        <f ca="1">RSquareTest(B4:H39,B4:E39,A4:A39)</f>
        <v>#NAME?</v>
      </c>
    </row>
    <row r="14" spans="1:28" x14ac:dyDescent="0.25">
      <c r="A14">
        <v>13</v>
      </c>
      <c r="B14">
        <v>47.5</v>
      </c>
      <c r="C14">
        <v>0</v>
      </c>
      <c r="D14">
        <v>1</v>
      </c>
      <c r="E14">
        <v>0</v>
      </c>
      <c r="F14">
        <f t="shared" si="0"/>
        <v>0</v>
      </c>
      <c r="G14">
        <f t="shared" si="1"/>
        <v>47.5</v>
      </c>
      <c r="H14">
        <f t="shared" si="2"/>
        <v>0</v>
      </c>
      <c r="J14" s="16" t="s">
        <v>126</v>
      </c>
      <c r="K14" s="16">
        <v>32</v>
      </c>
      <c r="L14" s="16">
        <v>16133.552500000002</v>
      </c>
      <c r="M14" s="16">
        <v>504.17351562500005</v>
      </c>
      <c r="N14" s="16"/>
      <c r="O14" s="16"/>
      <c r="R14" s="16" t="s">
        <v>113</v>
      </c>
      <c r="S14" s="16">
        <v>7</v>
      </c>
      <c r="T14" s="16">
        <v>3286.3285618487839</v>
      </c>
      <c r="U14" s="16">
        <v>469.47550883554055</v>
      </c>
      <c r="V14" s="16">
        <v>8.1366904270785607</v>
      </c>
      <c r="W14" s="16">
        <v>2.1072042596181117E-5</v>
      </c>
    </row>
    <row r="15" spans="1:28" ht="15.75" thickBot="1" x14ac:dyDescent="0.3">
      <c r="A15">
        <v>50</v>
      </c>
      <c r="B15">
        <v>77.8</v>
      </c>
      <c r="C15">
        <v>0</v>
      </c>
      <c r="D15">
        <v>1</v>
      </c>
      <c r="E15">
        <v>0</v>
      </c>
      <c r="F15">
        <f t="shared" si="0"/>
        <v>0</v>
      </c>
      <c r="G15">
        <f t="shared" si="1"/>
        <v>77.8</v>
      </c>
      <c r="H15">
        <f t="shared" si="2"/>
        <v>0</v>
      </c>
      <c r="J15" s="17" t="s">
        <v>1</v>
      </c>
      <c r="K15" s="17">
        <v>35</v>
      </c>
      <c r="L15" s="17">
        <v>18030.609722222227</v>
      </c>
      <c r="M15" s="17"/>
      <c r="N15" s="17"/>
      <c r="O15" s="17"/>
      <c r="R15" s="16" t="s">
        <v>126</v>
      </c>
      <c r="S15" s="16">
        <v>28</v>
      </c>
      <c r="T15" s="16">
        <v>1615.5603270401057</v>
      </c>
      <c r="U15" s="16">
        <v>57.6985831085752</v>
      </c>
      <c r="V15" s="16"/>
      <c r="W15" s="16"/>
    </row>
    <row r="16" spans="1:28" ht="15.75" thickBot="1" x14ac:dyDescent="0.3">
      <c r="A16">
        <v>35</v>
      </c>
      <c r="B16">
        <v>70.900000000000006</v>
      </c>
      <c r="C16">
        <v>0</v>
      </c>
      <c r="D16">
        <v>1</v>
      </c>
      <c r="E16">
        <v>0</v>
      </c>
      <c r="F16">
        <f t="shared" si="0"/>
        <v>0</v>
      </c>
      <c r="G16">
        <f t="shared" si="1"/>
        <v>70.900000000000006</v>
      </c>
      <c r="H16">
        <f t="shared" si="2"/>
        <v>0</v>
      </c>
      <c r="R16" s="17" t="s">
        <v>1</v>
      </c>
      <c r="S16" s="17">
        <v>35</v>
      </c>
      <c r="T16" s="17">
        <v>4901.8888888888896</v>
      </c>
      <c r="U16" s="17"/>
      <c r="V16" s="17"/>
      <c r="W16" s="17"/>
    </row>
    <row r="17" spans="1:23" ht="15.75" thickBot="1" x14ac:dyDescent="0.3">
      <c r="A17">
        <v>40</v>
      </c>
      <c r="B17">
        <v>84.8</v>
      </c>
      <c r="C17">
        <v>0</v>
      </c>
      <c r="D17">
        <v>1</v>
      </c>
      <c r="E17">
        <v>0</v>
      </c>
      <c r="F17">
        <f t="shared" si="0"/>
        <v>0</v>
      </c>
      <c r="G17">
        <f t="shared" si="1"/>
        <v>84.8</v>
      </c>
      <c r="H17">
        <f t="shared" si="2"/>
        <v>0</v>
      </c>
      <c r="J17" t="s">
        <v>576</v>
      </c>
    </row>
    <row r="18" spans="1:23" x14ac:dyDescent="0.25">
      <c r="A18">
        <v>33</v>
      </c>
      <c r="B18">
        <v>49.8</v>
      </c>
      <c r="C18">
        <v>0</v>
      </c>
      <c r="D18">
        <v>1</v>
      </c>
      <c r="E18">
        <v>0</v>
      </c>
      <c r="F18">
        <f t="shared" si="0"/>
        <v>0</v>
      </c>
      <c r="G18">
        <f t="shared" si="1"/>
        <v>49.8</v>
      </c>
      <c r="H18">
        <f t="shared" si="2"/>
        <v>0</v>
      </c>
      <c r="J18" s="194"/>
      <c r="K18" s="194" t="s">
        <v>41</v>
      </c>
      <c r="L18" s="194" t="s">
        <v>111</v>
      </c>
      <c r="M18" s="194" t="s">
        <v>115</v>
      </c>
      <c r="N18" s="194" t="s">
        <v>98</v>
      </c>
      <c r="O18" s="194" t="s">
        <v>128</v>
      </c>
    </row>
    <row r="19" spans="1:23" x14ac:dyDescent="0.25">
      <c r="A19">
        <v>17</v>
      </c>
      <c r="B19">
        <v>34.599999999999994</v>
      </c>
      <c r="C19">
        <v>0</v>
      </c>
      <c r="D19">
        <v>1</v>
      </c>
      <c r="E19">
        <v>0</v>
      </c>
      <c r="F19">
        <f t="shared" si="0"/>
        <v>0</v>
      </c>
      <c r="G19">
        <f t="shared" si="1"/>
        <v>34.599999999999994</v>
      </c>
      <c r="H19">
        <f t="shared" si="2"/>
        <v>0</v>
      </c>
      <c r="J19" s="16" t="s">
        <v>113</v>
      </c>
      <c r="K19" s="16">
        <v>3</v>
      </c>
      <c r="L19" s="16">
        <v>1455.0138888888901</v>
      </c>
      <c r="M19" s="16">
        <v>485.00462962963002</v>
      </c>
      <c r="N19" s="16">
        <v>4.5026721735334654</v>
      </c>
      <c r="O19" s="16">
        <v>9.5805875705777723E-3</v>
      </c>
      <c r="R19" t="s">
        <v>586</v>
      </c>
    </row>
    <row r="20" spans="1:23" ht="15.75" thickBot="1" x14ac:dyDescent="0.3">
      <c r="A20">
        <v>20</v>
      </c>
      <c r="B20">
        <v>71.400000000000006</v>
      </c>
      <c r="C20">
        <v>0</v>
      </c>
      <c r="D20">
        <v>0</v>
      </c>
      <c r="E20">
        <v>1</v>
      </c>
      <c r="F20">
        <f t="shared" si="0"/>
        <v>0</v>
      </c>
      <c r="G20">
        <f t="shared" si="1"/>
        <v>0</v>
      </c>
      <c r="H20">
        <f t="shared" si="2"/>
        <v>71.400000000000006</v>
      </c>
      <c r="J20" s="16" t="s">
        <v>126</v>
      </c>
      <c r="K20" s="16">
        <v>32</v>
      </c>
      <c r="L20" s="16">
        <v>3446.8749999999995</v>
      </c>
      <c r="M20" s="16">
        <v>107.71484374999999</v>
      </c>
      <c r="N20" s="16"/>
      <c r="O20" s="16"/>
    </row>
    <row r="21" spans="1:23" ht="15.75" thickBot="1" x14ac:dyDescent="0.3">
      <c r="A21">
        <v>42</v>
      </c>
      <c r="B21">
        <v>55</v>
      </c>
      <c r="C21">
        <v>0</v>
      </c>
      <c r="D21">
        <v>0</v>
      </c>
      <c r="E21">
        <v>1</v>
      </c>
      <c r="F21">
        <f t="shared" si="0"/>
        <v>0</v>
      </c>
      <c r="G21">
        <f t="shared" si="1"/>
        <v>0</v>
      </c>
      <c r="H21">
        <f t="shared" si="2"/>
        <v>55</v>
      </c>
      <c r="J21" s="17" t="s">
        <v>1</v>
      </c>
      <c r="K21" s="17">
        <v>35</v>
      </c>
      <c r="L21" s="17">
        <v>4901.8888888888896</v>
      </c>
      <c r="M21" s="17"/>
      <c r="N21" s="17"/>
      <c r="O21" s="17"/>
      <c r="R21" s="18" t="s">
        <v>122</v>
      </c>
      <c r="S21" s="18"/>
    </row>
    <row r="22" spans="1:23" x14ac:dyDescent="0.25">
      <c r="A22">
        <v>31</v>
      </c>
      <c r="B22">
        <v>54</v>
      </c>
      <c r="C22">
        <v>0</v>
      </c>
      <c r="D22">
        <v>0</v>
      </c>
      <c r="E22">
        <v>1</v>
      </c>
      <c r="F22">
        <f t="shared" si="0"/>
        <v>0</v>
      </c>
      <c r="G22">
        <f t="shared" si="1"/>
        <v>0</v>
      </c>
      <c r="H22">
        <f t="shared" si="2"/>
        <v>54</v>
      </c>
      <c r="R22" s="16" t="s">
        <v>123</v>
      </c>
      <c r="S22" s="16">
        <v>0.79950994785887097</v>
      </c>
    </row>
    <row r="23" spans="1:23" ht="15.75" thickBot="1" x14ac:dyDescent="0.3">
      <c r="A23">
        <v>24</v>
      </c>
      <c r="B23">
        <v>27.9</v>
      </c>
      <c r="C23">
        <v>0</v>
      </c>
      <c r="D23">
        <v>0</v>
      </c>
      <c r="E23">
        <v>1</v>
      </c>
      <c r="F23">
        <f t="shared" si="0"/>
        <v>0</v>
      </c>
      <c r="G23">
        <f t="shared" si="1"/>
        <v>0</v>
      </c>
      <c r="H23">
        <f t="shared" si="2"/>
        <v>27.9</v>
      </c>
      <c r="J23" t="s">
        <v>577</v>
      </c>
      <c r="R23" s="16" t="s">
        <v>120</v>
      </c>
      <c r="S23" s="16">
        <v>0.63921615672529453</v>
      </c>
    </row>
    <row r="24" spans="1:23" x14ac:dyDescent="0.25">
      <c r="A24">
        <v>15</v>
      </c>
      <c r="B24">
        <v>40.599999999999994</v>
      </c>
      <c r="C24">
        <v>0</v>
      </c>
      <c r="D24">
        <v>0</v>
      </c>
      <c r="E24">
        <v>1</v>
      </c>
      <c r="F24">
        <f t="shared" si="0"/>
        <v>0</v>
      </c>
      <c r="G24">
        <f t="shared" si="1"/>
        <v>0</v>
      </c>
      <c r="H24">
        <f t="shared" si="2"/>
        <v>40.599999999999994</v>
      </c>
      <c r="J24" s="194"/>
      <c r="K24" s="194" t="s">
        <v>41</v>
      </c>
      <c r="L24" s="194" t="s">
        <v>111</v>
      </c>
      <c r="M24" s="194" t="s">
        <v>115</v>
      </c>
      <c r="N24" s="194" t="s">
        <v>98</v>
      </c>
      <c r="O24" s="194" t="s">
        <v>128</v>
      </c>
      <c r="R24" s="16" t="s">
        <v>124</v>
      </c>
      <c r="S24" s="16">
        <v>0.5926634027543648</v>
      </c>
    </row>
    <row r="25" spans="1:23" x14ac:dyDescent="0.25">
      <c r="A25">
        <v>13</v>
      </c>
      <c r="B25">
        <v>33</v>
      </c>
      <c r="C25">
        <v>0</v>
      </c>
      <c r="D25">
        <v>0</v>
      </c>
      <c r="E25">
        <v>1</v>
      </c>
      <c r="F25">
        <f t="shared" si="0"/>
        <v>0</v>
      </c>
      <c r="G25">
        <f t="shared" si="1"/>
        <v>0</v>
      </c>
      <c r="H25">
        <f t="shared" si="2"/>
        <v>33</v>
      </c>
      <c r="J25" s="16" t="s">
        <v>113</v>
      </c>
      <c r="K25" s="16">
        <v>1</v>
      </c>
      <c r="L25" s="16">
        <v>2562.3366929048839</v>
      </c>
      <c r="M25" s="16">
        <v>2562.3366929048839</v>
      </c>
      <c r="N25" s="16">
        <v>37.237659287239794</v>
      </c>
      <c r="O25" s="16">
        <v>6.3463662804716112E-7</v>
      </c>
      <c r="R25" s="16" t="s">
        <v>10</v>
      </c>
      <c r="S25" s="16">
        <v>7.5530859163205379</v>
      </c>
    </row>
    <row r="26" spans="1:23" ht="15.75" thickBot="1" x14ac:dyDescent="0.3">
      <c r="A26">
        <v>9</v>
      </c>
      <c r="B26">
        <v>22.2</v>
      </c>
      <c r="C26">
        <v>0</v>
      </c>
      <c r="D26">
        <v>0</v>
      </c>
      <c r="E26">
        <v>1</v>
      </c>
      <c r="F26">
        <f t="shared" si="0"/>
        <v>0</v>
      </c>
      <c r="G26">
        <f t="shared" si="1"/>
        <v>0</v>
      </c>
      <c r="H26">
        <f t="shared" si="2"/>
        <v>22.2</v>
      </c>
      <c r="J26" s="16" t="s">
        <v>126</v>
      </c>
      <c r="K26" s="16">
        <v>34</v>
      </c>
      <c r="L26" s="16">
        <v>2339.5521959840057</v>
      </c>
      <c r="M26" s="16">
        <v>68.810358705411929</v>
      </c>
      <c r="N26" s="16"/>
      <c r="O26" s="16"/>
      <c r="R26" s="17" t="s">
        <v>55</v>
      </c>
      <c r="S26" s="17">
        <v>36</v>
      </c>
    </row>
    <row r="27" spans="1:23" ht="15.75" thickBot="1" x14ac:dyDescent="0.3">
      <c r="A27">
        <v>21</v>
      </c>
      <c r="B27">
        <v>80.5</v>
      </c>
      <c r="C27">
        <v>0</v>
      </c>
      <c r="D27">
        <v>0</v>
      </c>
      <c r="E27">
        <v>1</v>
      </c>
      <c r="F27">
        <f t="shared" si="0"/>
        <v>0</v>
      </c>
      <c r="G27">
        <f t="shared" si="1"/>
        <v>0</v>
      </c>
      <c r="H27">
        <f t="shared" si="2"/>
        <v>80.5</v>
      </c>
      <c r="J27" s="17" t="s">
        <v>1</v>
      </c>
      <c r="K27" s="17">
        <v>35</v>
      </c>
      <c r="L27" s="17">
        <v>4901.8888888888896</v>
      </c>
      <c r="M27" s="17"/>
      <c r="N27" s="17"/>
      <c r="O27" s="17"/>
    </row>
    <row r="28" spans="1:23" ht="15.75" thickBot="1" x14ac:dyDescent="0.3">
      <c r="A28">
        <v>31</v>
      </c>
      <c r="B28">
        <v>80</v>
      </c>
      <c r="C28">
        <v>0</v>
      </c>
      <c r="D28">
        <v>0</v>
      </c>
      <c r="E28">
        <v>1</v>
      </c>
      <c r="F28">
        <f t="shared" si="0"/>
        <v>0</v>
      </c>
      <c r="G28">
        <f t="shared" si="1"/>
        <v>0</v>
      </c>
      <c r="H28">
        <f t="shared" si="2"/>
        <v>80</v>
      </c>
      <c r="R28" t="s">
        <v>125</v>
      </c>
    </row>
    <row r="29" spans="1:23" x14ac:dyDescent="0.25">
      <c r="A29">
        <v>13</v>
      </c>
      <c r="B29">
        <v>41</v>
      </c>
      <c r="C29">
        <v>0</v>
      </c>
      <c r="D29">
        <v>0</v>
      </c>
      <c r="E29">
        <v>1</v>
      </c>
      <c r="F29">
        <f t="shared" si="0"/>
        <v>0</v>
      </c>
      <c r="G29">
        <f t="shared" si="1"/>
        <v>0</v>
      </c>
      <c r="H29">
        <f t="shared" si="2"/>
        <v>41</v>
      </c>
      <c r="R29" s="194"/>
      <c r="S29" s="194" t="s">
        <v>41</v>
      </c>
      <c r="T29" s="194" t="s">
        <v>111</v>
      </c>
      <c r="U29" s="194" t="s">
        <v>115</v>
      </c>
      <c r="V29" s="194" t="s">
        <v>98</v>
      </c>
      <c r="W29" s="194" t="s">
        <v>128</v>
      </c>
    </row>
    <row r="30" spans="1:23" ht="15.75" thickBot="1" x14ac:dyDescent="0.3">
      <c r="A30">
        <v>12</v>
      </c>
      <c r="B30">
        <v>35</v>
      </c>
      <c r="C30">
        <v>0</v>
      </c>
      <c r="D30">
        <v>0</v>
      </c>
      <c r="E30">
        <v>0</v>
      </c>
      <c r="F30">
        <f t="shared" si="0"/>
        <v>0</v>
      </c>
      <c r="G30">
        <f t="shared" si="1"/>
        <v>0</v>
      </c>
      <c r="H30">
        <f t="shared" si="2"/>
        <v>0</v>
      </c>
      <c r="J30" t="s">
        <v>560</v>
      </c>
      <c r="R30" s="16" t="s">
        <v>113</v>
      </c>
      <c r="S30" s="16">
        <v>4</v>
      </c>
      <c r="T30" s="16">
        <v>3133.3665762499804</v>
      </c>
      <c r="U30" s="16">
        <v>783.34164406249511</v>
      </c>
      <c r="V30" s="16">
        <v>13.731006271389626</v>
      </c>
      <c r="W30" s="16">
        <v>1.4964731310688181E-6</v>
      </c>
    </row>
    <row r="31" spans="1:23" x14ac:dyDescent="0.25">
      <c r="A31">
        <v>10</v>
      </c>
      <c r="B31">
        <v>33</v>
      </c>
      <c r="C31">
        <v>0</v>
      </c>
      <c r="D31">
        <v>0</v>
      </c>
      <c r="E31">
        <v>0</v>
      </c>
      <c r="F31">
        <f t="shared" si="0"/>
        <v>0</v>
      </c>
      <c r="G31">
        <f t="shared" si="1"/>
        <v>0</v>
      </c>
      <c r="H31">
        <f t="shared" si="2"/>
        <v>0</v>
      </c>
      <c r="J31" s="194" t="s">
        <v>160</v>
      </c>
      <c r="K31" s="194" t="s">
        <v>41</v>
      </c>
      <c r="L31" s="194" t="s">
        <v>111</v>
      </c>
      <c r="M31" s="194" t="s">
        <v>115</v>
      </c>
      <c r="N31" s="194" t="s">
        <v>98</v>
      </c>
      <c r="O31" s="194" t="s">
        <v>128</v>
      </c>
      <c r="R31" s="16" t="s">
        <v>126</v>
      </c>
      <c r="S31" s="16">
        <v>31</v>
      </c>
      <c r="T31" s="16">
        <v>1768.5223126389094</v>
      </c>
      <c r="U31" s="16">
        <v>57.049106859319657</v>
      </c>
      <c r="V31" s="16"/>
      <c r="W31" s="16"/>
    </row>
    <row r="32" spans="1:23" ht="15.75" thickBot="1" x14ac:dyDescent="0.3">
      <c r="A32">
        <v>19</v>
      </c>
      <c r="B32">
        <v>34.200000000000003</v>
      </c>
      <c r="C32">
        <v>0</v>
      </c>
      <c r="D32">
        <v>0</v>
      </c>
      <c r="E32">
        <v>0</v>
      </c>
      <c r="F32">
        <f t="shared" si="0"/>
        <v>0</v>
      </c>
      <c r="G32">
        <f t="shared" si="1"/>
        <v>0</v>
      </c>
      <c r="H32">
        <f t="shared" si="2"/>
        <v>0</v>
      </c>
      <c r="J32" t="s">
        <v>568</v>
      </c>
      <c r="K32">
        <f>K7-K19</f>
        <v>1</v>
      </c>
      <c r="L32">
        <f>L7-L19</f>
        <v>1678.3526873610904</v>
      </c>
      <c r="M32" s="16">
        <f>L32/K32</f>
        <v>1678.3526873610904</v>
      </c>
      <c r="N32" s="16">
        <f>M32/M34</f>
        <v>29.419438440987815</v>
      </c>
      <c r="O32" s="16">
        <f>FDIST(N32,K32,K34)</f>
        <v>6.3670620361677781E-6</v>
      </c>
      <c r="R32" s="17" t="s">
        <v>1</v>
      </c>
      <c r="S32" s="17">
        <v>35</v>
      </c>
      <c r="T32" s="17">
        <v>4901.8888888888896</v>
      </c>
      <c r="U32" s="17"/>
      <c r="V32" s="17"/>
      <c r="W32" s="17"/>
    </row>
    <row r="33" spans="1:24" ht="15.75" thickBot="1" x14ac:dyDescent="0.3">
      <c r="A33">
        <v>18</v>
      </c>
      <c r="B33">
        <v>43.2</v>
      </c>
      <c r="C33">
        <v>0</v>
      </c>
      <c r="D33">
        <v>0</v>
      </c>
      <c r="E33">
        <v>0</v>
      </c>
      <c r="F33">
        <f t="shared" si="0"/>
        <v>0</v>
      </c>
      <c r="G33">
        <f t="shared" si="1"/>
        <v>0</v>
      </c>
      <c r="H33">
        <f t="shared" si="2"/>
        <v>0</v>
      </c>
      <c r="J33" s="16" t="s">
        <v>569</v>
      </c>
      <c r="K33" s="16">
        <f>K7-K25</f>
        <v>3</v>
      </c>
      <c r="L33" s="16">
        <f>L7-L25</f>
        <v>571.02988334509655</v>
      </c>
      <c r="M33" s="16">
        <f>L33/K33</f>
        <v>190.34329444836553</v>
      </c>
      <c r="N33" s="16">
        <f>M33/M34</f>
        <v>3.3364815845012772</v>
      </c>
      <c r="O33" s="16">
        <f>FDIST(N33,K33,K34)</f>
        <v>3.1940102263091678E-2</v>
      </c>
    </row>
    <row r="34" spans="1:24" x14ac:dyDescent="0.25">
      <c r="A34">
        <v>14</v>
      </c>
      <c r="B34">
        <v>20</v>
      </c>
      <c r="C34">
        <v>0</v>
      </c>
      <c r="D34">
        <v>0</v>
      </c>
      <c r="E34">
        <v>0</v>
      </c>
      <c r="F34">
        <f t="shared" si="0"/>
        <v>0</v>
      </c>
      <c r="G34">
        <f t="shared" si="1"/>
        <v>0</v>
      </c>
      <c r="H34">
        <f t="shared" si="2"/>
        <v>0</v>
      </c>
      <c r="J34" s="16" t="s">
        <v>126</v>
      </c>
      <c r="K34" s="16">
        <f>K8</f>
        <v>31</v>
      </c>
      <c r="L34" s="16">
        <f>L8</f>
        <v>1768.5223126389094</v>
      </c>
      <c r="M34" s="16">
        <f>L34/K34</f>
        <v>57.049106859319657</v>
      </c>
      <c r="N34" s="16"/>
      <c r="O34" s="16"/>
      <c r="R34" s="194"/>
      <c r="S34" s="194" t="s">
        <v>129</v>
      </c>
      <c r="T34" s="194" t="s">
        <v>10</v>
      </c>
      <c r="U34" s="194" t="s">
        <v>57</v>
      </c>
      <c r="V34" s="194" t="s">
        <v>83</v>
      </c>
      <c r="W34" s="194" t="s">
        <v>130</v>
      </c>
      <c r="X34" s="194" t="s">
        <v>131</v>
      </c>
    </row>
    <row r="35" spans="1:24" ht="15.75" thickBot="1" x14ac:dyDescent="0.3">
      <c r="A35">
        <v>8</v>
      </c>
      <c r="B35">
        <v>37</v>
      </c>
      <c r="C35">
        <v>0</v>
      </c>
      <c r="D35">
        <v>0</v>
      </c>
      <c r="E35">
        <v>0</v>
      </c>
      <c r="F35">
        <f t="shared" si="0"/>
        <v>0</v>
      </c>
      <c r="G35">
        <f t="shared" si="1"/>
        <v>0</v>
      </c>
      <c r="H35">
        <f t="shared" si="2"/>
        <v>0</v>
      </c>
      <c r="J35" s="17" t="s">
        <v>1</v>
      </c>
      <c r="K35" s="17">
        <f>K9</f>
        <v>35</v>
      </c>
      <c r="L35" s="17">
        <f>L9</f>
        <v>4901.8888888888896</v>
      </c>
      <c r="M35" s="17"/>
      <c r="N35" s="17"/>
      <c r="O35" s="17"/>
      <c r="R35" s="16" t="s">
        <v>127</v>
      </c>
      <c r="S35" s="16">
        <v>2.856677552882414</v>
      </c>
      <c r="T35" s="16">
        <v>3.3763043714517851</v>
      </c>
      <c r="U35" s="16">
        <v>0.8460959790938708</v>
      </c>
      <c r="V35" s="16">
        <v>0.40398325617209507</v>
      </c>
      <c r="W35" s="16">
        <v>-4.0293406118204746</v>
      </c>
      <c r="X35" s="16">
        <v>9.7426957175853026</v>
      </c>
    </row>
    <row r="36" spans="1:24" x14ac:dyDescent="0.25">
      <c r="A36">
        <v>7</v>
      </c>
      <c r="B36">
        <v>28.2</v>
      </c>
      <c r="C36">
        <v>0</v>
      </c>
      <c r="D36">
        <v>0</v>
      </c>
      <c r="E36">
        <v>0</v>
      </c>
      <c r="F36">
        <f t="shared" si="0"/>
        <v>0</v>
      </c>
      <c r="G36">
        <f t="shared" si="1"/>
        <v>0</v>
      </c>
      <c r="H36">
        <f t="shared" si="2"/>
        <v>0</v>
      </c>
      <c r="R36" s="16" t="s">
        <v>4</v>
      </c>
      <c r="S36" s="16">
        <v>0.32253482300317932</v>
      </c>
      <c r="T36" s="16">
        <v>5.946472591854892E-2</v>
      </c>
      <c r="U36" s="16">
        <v>5.4239688827451662</v>
      </c>
      <c r="V36" s="16">
        <v>6.3670620361677307E-6</v>
      </c>
      <c r="W36" s="16">
        <v>0.20125571490602179</v>
      </c>
      <c r="X36" s="16">
        <v>0.44381393110033684</v>
      </c>
    </row>
    <row r="37" spans="1:24" x14ac:dyDescent="0.25">
      <c r="A37">
        <v>19</v>
      </c>
      <c r="B37">
        <v>46.400000000000006</v>
      </c>
      <c r="C37">
        <v>0</v>
      </c>
      <c r="D37">
        <v>0</v>
      </c>
      <c r="E37">
        <v>0</v>
      </c>
      <c r="F37">
        <f t="shared" si="0"/>
        <v>0</v>
      </c>
      <c r="G37">
        <f t="shared" si="1"/>
        <v>0</v>
      </c>
      <c r="H37">
        <f t="shared" si="2"/>
        <v>0</v>
      </c>
      <c r="R37" s="16" t="s">
        <v>172</v>
      </c>
      <c r="S37" s="16">
        <v>5.1857522742588777</v>
      </c>
      <c r="T37" s="16">
        <v>3.5996349990324723</v>
      </c>
      <c r="U37" s="16">
        <v>1.4406328073965082</v>
      </c>
      <c r="V37" s="16">
        <v>0.15971307178846195</v>
      </c>
      <c r="W37" s="16">
        <v>-2.1557517083869717</v>
      </c>
      <c r="X37" s="16">
        <v>12.527256256904728</v>
      </c>
    </row>
    <row r="38" spans="1:24" ht="15.75" thickBot="1" x14ac:dyDescent="0.3">
      <c r="A38">
        <v>25</v>
      </c>
      <c r="B38">
        <v>64.900000000000006</v>
      </c>
      <c r="C38">
        <v>0</v>
      </c>
      <c r="D38">
        <v>0</v>
      </c>
      <c r="E38">
        <v>0</v>
      </c>
      <c r="F38">
        <f t="shared" si="0"/>
        <v>0</v>
      </c>
      <c r="G38">
        <f t="shared" si="1"/>
        <v>0</v>
      </c>
      <c r="H38">
        <f t="shared" si="2"/>
        <v>0</v>
      </c>
      <c r="J38" t="s">
        <v>573</v>
      </c>
      <c r="R38" s="16" t="s">
        <v>173</v>
      </c>
      <c r="S38" s="16">
        <v>11.456567675888499</v>
      </c>
      <c r="T38" s="16">
        <v>3.7774692134876644</v>
      </c>
      <c r="U38" s="16">
        <v>3.0328685763955892</v>
      </c>
      <c r="V38" s="16">
        <v>4.8651077362410929E-3</v>
      </c>
      <c r="W38" s="16">
        <v>3.7523684216319424</v>
      </c>
      <c r="X38" s="16">
        <v>19.160766930145055</v>
      </c>
    </row>
    <row r="39" spans="1:24" ht="15.75" thickBot="1" x14ac:dyDescent="0.3">
      <c r="A39" s="113">
        <v>26</v>
      </c>
      <c r="B39" s="113">
        <v>59.4</v>
      </c>
      <c r="C39" s="113">
        <v>0</v>
      </c>
      <c r="D39" s="113">
        <v>0</v>
      </c>
      <c r="E39" s="113">
        <v>0</v>
      </c>
      <c r="F39" s="113">
        <f t="shared" si="0"/>
        <v>0</v>
      </c>
      <c r="G39" s="113">
        <f t="shared" si="1"/>
        <v>0</v>
      </c>
      <c r="H39" s="113">
        <f t="shared" si="2"/>
        <v>0</v>
      </c>
      <c r="J39" s="194" t="s">
        <v>160</v>
      </c>
      <c r="K39" s="194" t="s">
        <v>41</v>
      </c>
      <c r="L39" s="194" t="s">
        <v>111</v>
      </c>
      <c r="M39" s="194" t="s">
        <v>115</v>
      </c>
      <c r="N39" s="194" t="s">
        <v>98</v>
      </c>
      <c r="O39" s="194" t="s">
        <v>128</v>
      </c>
      <c r="R39" s="17" t="s">
        <v>189</v>
      </c>
      <c r="S39" s="17">
        <v>2.7359617960768428</v>
      </c>
      <c r="T39" s="17">
        <v>3.4343107914459856</v>
      </c>
      <c r="U39" s="17">
        <v>0.79665527152971816</v>
      </c>
      <c r="V39" s="17">
        <v>0.43171050712537717</v>
      </c>
      <c r="W39" s="17">
        <v>-4.2683612421815358</v>
      </c>
      <c r="X39" s="17">
        <v>9.7402848343352204</v>
      </c>
    </row>
    <row r="40" spans="1:24" x14ac:dyDescent="0.25">
      <c r="J40" s="16" t="s">
        <v>562</v>
      </c>
      <c r="K40" s="16">
        <f>K33</f>
        <v>3</v>
      </c>
      <c r="L40" s="16">
        <f>L33</f>
        <v>571.02988334509655</v>
      </c>
      <c r="M40" s="16">
        <f>L40/K40</f>
        <v>190.34329444836553</v>
      </c>
      <c r="N40" s="16">
        <f>M40/M41</f>
        <v>3.3364815845012772</v>
      </c>
      <c r="O40" s="16">
        <f>FDIST(N40,K40,K41)</f>
        <v>3.1940102263091678E-2</v>
      </c>
    </row>
    <row r="41" spans="1:24" ht="18" x14ac:dyDescent="0.35">
      <c r="A41" t="s">
        <v>559</v>
      </c>
      <c r="B41" s="258">
        <f>DEVSQ(B4:B39)</f>
        <v>18030.609722222227</v>
      </c>
      <c r="J41" s="16" t="s">
        <v>126</v>
      </c>
      <c r="K41" s="16">
        <f>K34</f>
        <v>31</v>
      </c>
      <c r="L41" s="16">
        <f>L34</f>
        <v>1768.5223126389094</v>
      </c>
      <c r="M41" s="16">
        <f>L41/K41</f>
        <v>57.049106859319657</v>
      </c>
      <c r="N41" s="16"/>
      <c r="O41" s="16"/>
    </row>
    <row r="42" spans="1:24" ht="15.75" thickBot="1" x14ac:dyDescent="0.3">
      <c r="F42" s="35"/>
      <c r="J42" s="17" t="s">
        <v>564</v>
      </c>
      <c r="K42" s="17">
        <f>K40+K41</f>
        <v>34</v>
      </c>
      <c r="L42" s="17">
        <f>T32-B43^2*B41</f>
        <v>2339.5521959840053</v>
      </c>
      <c r="M42" s="17"/>
      <c r="N42" s="17"/>
      <c r="O42" s="17"/>
      <c r="R42" t="s">
        <v>565</v>
      </c>
    </row>
    <row r="43" spans="1:24" ht="18.75" thickBot="1" x14ac:dyDescent="0.4">
      <c r="A43" t="s">
        <v>561</v>
      </c>
      <c r="B43" s="258">
        <f>SLOPE(A4:A39,B4:B39)</f>
        <v>0.37697529640759825</v>
      </c>
    </row>
    <row r="44" spans="1:24" x14ac:dyDescent="0.25">
      <c r="R44" s="18" t="s">
        <v>122</v>
      </c>
      <c r="S44" s="18"/>
    </row>
    <row r="45" spans="1:24" ht="15.75" thickBot="1" x14ac:dyDescent="0.3">
      <c r="A45" s="1" t="s">
        <v>581</v>
      </c>
      <c r="J45" t="s">
        <v>580</v>
      </c>
      <c r="R45" s="16" t="s">
        <v>123</v>
      </c>
      <c r="S45" s="16">
        <v>0.32436576379192761</v>
      </c>
    </row>
    <row r="46" spans="1:24" ht="15.75" thickBot="1" x14ac:dyDescent="0.3">
      <c r="J46" s="194" t="s">
        <v>160</v>
      </c>
      <c r="K46" s="194" t="s">
        <v>41</v>
      </c>
      <c r="L46" s="194" t="s">
        <v>111</v>
      </c>
      <c r="M46" s="194" t="s">
        <v>115</v>
      </c>
      <c r="N46" s="194" t="s">
        <v>98</v>
      </c>
      <c r="O46" s="194" t="s">
        <v>128</v>
      </c>
      <c r="R46" s="16" t="s">
        <v>120</v>
      </c>
      <c r="S46" s="16">
        <v>0.10521314872032059</v>
      </c>
    </row>
    <row r="47" spans="1:24" x14ac:dyDescent="0.25">
      <c r="A47" s="194" t="s">
        <v>563</v>
      </c>
      <c r="B47" s="194" t="s">
        <v>139</v>
      </c>
      <c r="C47" s="194" t="s">
        <v>138</v>
      </c>
      <c r="D47" s="194" t="s">
        <v>587</v>
      </c>
      <c r="J47" s="16" t="s">
        <v>562</v>
      </c>
      <c r="K47" s="16">
        <f>K7-1</f>
        <v>3</v>
      </c>
      <c r="L47" s="16">
        <f>L49-L48</f>
        <v>571.02988334509587</v>
      </c>
      <c r="M47" s="16">
        <f>L47/K47</f>
        <v>190.3432944483653</v>
      </c>
      <c r="N47" s="16">
        <f>M47/M48</f>
        <v>3.3364815845012732</v>
      </c>
      <c r="O47" s="16">
        <f>FDIST(N47,K47,K48)</f>
        <v>3.1940102263091824E-2</v>
      </c>
      <c r="R47" s="16" t="s">
        <v>124</v>
      </c>
      <c r="S47" s="16">
        <v>2.1326881412850648E-2</v>
      </c>
    </row>
    <row r="48" spans="1:24" x14ac:dyDescent="0.25">
      <c r="A48" s="193" t="s">
        <v>23</v>
      </c>
      <c r="B48">
        <f>AVERAGE(A4:A11)</f>
        <v>22.875</v>
      </c>
      <c r="C48">
        <f>AVERAGE(B4:B11)</f>
        <v>45.987499999999997</v>
      </c>
      <c r="D48">
        <f>B48-$S$36*(C48-C$52)</f>
        <v>23.783025119760339</v>
      </c>
      <c r="J48" s="16" t="s">
        <v>126</v>
      </c>
      <c r="K48" s="16">
        <f>K34</f>
        <v>31</v>
      </c>
      <c r="L48" s="16">
        <f>L34</f>
        <v>1768.5223126389094</v>
      </c>
      <c r="M48" s="16">
        <f>L48/K48</f>
        <v>57.049106859319657</v>
      </c>
      <c r="N48" s="16"/>
      <c r="O48" s="16"/>
      <c r="R48" s="16" t="s">
        <v>10</v>
      </c>
      <c r="S48" s="16">
        <v>22.453808488205294</v>
      </c>
    </row>
    <row r="49" spans="1:23" ht="15.75" thickBot="1" x14ac:dyDescent="0.3">
      <c r="A49" s="193" t="s">
        <v>24</v>
      </c>
      <c r="B49">
        <f>AVERAGE(A12:A19)</f>
        <v>33.75</v>
      </c>
      <c r="C49">
        <f>AVERAGE(B12:B19)</f>
        <v>60.262500000000003</v>
      </c>
      <c r="D49">
        <f>B49-$S$36*(C49-C$52)</f>
        <v>30.053840521389954</v>
      </c>
      <c r="J49" s="17" t="s">
        <v>564</v>
      </c>
      <c r="K49" s="17">
        <f>K47+K48</f>
        <v>34</v>
      </c>
      <c r="L49" s="17">
        <f>L9-B43^2*B41</f>
        <v>2339.5521959840053</v>
      </c>
      <c r="M49" s="17"/>
      <c r="N49" s="17"/>
      <c r="O49" s="17"/>
      <c r="R49" s="17" t="s">
        <v>55</v>
      </c>
      <c r="S49" s="17">
        <v>36</v>
      </c>
    </row>
    <row r="50" spans="1:23" x14ac:dyDescent="0.25">
      <c r="A50" s="193" t="s">
        <v>30</v>
      </c>
      <c r="B50">
        <f>AVERAGE(A20:A29)</f>
        <v>21.9</v>
      </c>
      <c r="C50">
        <f>AVERAGE(B20:B29)</f>
        <v>50.559999999999995</v>
      </c>
      <c r="D50">
        <f>B50-$S$36*(C50-C$52)</f>
        <v>21.333234641578301</v>
      </c>
    </row>
    <row r="51" spans="1:23" ht="15.75" thickBot="1" x14ac:dyDescent="0.3">
      <c r="A51" s="246" t="s">
        <v>31</v>
      </c>
      <c r="B51" s="17">
        <f>AVERAGE(A30:A39)</f>
        <v>15.8</v>
      </c>
      <c r="C51" s="17">
        <f>AVERAGE(B30:B39)</f>
        <v>40.129999999999995</v>
      </c>
      <c r="D51" s="17">
        <f>B51-$S$36*(C51-C$52)</f>
        <v>18.597272845501465</v>
      </c>
      <c r="R51" t="s">
        <v>125</v>
      </c>
    </row>
    <row r="52" spans="1:23" x14ac:dyDescent="0.25">
      <c r="B52">
        <f>AVERAGE(A4:A39)</f>
        <v>23.055555555555557</v>
      </c>
      <c r="C52">
        <f>AVERAGE(B4:B39)</f>
        <v>48.802777777777777</v>
      </c>
      <c r="D52">
        <f>AVERAGE(D48:D51)</f>
        <v>23.441843282057516</v>
      </c>
      <c r="J52" s="1" t="s">
        <v>612</v>
      </c>
      <c r="R52" s="194"/>
      <c r="S52" s="194" t="s">
        <v>41</v>
      </c>
      <c r="T52" s="194" t="s">
        <v>111</v>
      </c>
      <c r="U52" s="194" t="s">
        <v>115</v>
      </c>
      <c r="V52" s="194" t="s">
        <v>98</v>
      </c>
      <c r="W52" s="194" t="s">
        <v>128</v>
      </c>
    </row>
    <row r="53" spans="1:23" x14ac:dyDescent="0.25">
      <c r="R53" s="16" t="s">
        <v>113</v>
      </c>
      <c r="S53" s="16">
        <v>3</v>
      </c>
      <c r="T53" s="16">
        <v>1897.0572222222254</v>
      </c>
      <c r="U53" s="16">
        <v>632.35240740740846</v>
      </c>
      <c r="V53" s="16">
        <v>1.2542356704784683</v>
      </c>
      <c r="W53" s="16">
        <v>0.30655018520822414</v>
      </c>
    </row>
    <row r="54" spans="1:23" ht="15.75" thickBot="1" x14ac:dyDescent="0.3">
      <c r="J54" t="s">
        <v>606</v>
      </c>
      <c r="R54" s="16" t="s">
        <v>126</v>
      </c>
      <c r="S54" s="16">
        <v>32</v>
      </c>
      <c r="T54" s="16">
        <v>16133.552500000002</v>
      </c>
      <c r="U54" s="16">
        <v>504.17351562500005</v>
      </c>
      <c r="V54" s="16"/>
      <c r="W54" s="16"/>
    </row>
    <row r="55" spans="1:23" ht="15.75" thickBot="1" x14ac:dyDescent="0.3">
      <c r="A55" s="194" t="s">
        <v>563</v>
      </c>
      <c r="B55" s="194" t="s">
        <v>139</v>
      </c>
      <c r="C55" s="194" t="s">
        <v>582</v>
      </c>
      <c r="R55" s="17" t="s">
        <v>1</v>
      </c>
      <c r="S55" s="17">
        <v>35</v>
      </c>
      <c r="T55" s="17">
        <v>18030.609722222227</v>
      </c>
      <c r="U55" s="17"/>
      <c r="V55" s="17"/>
      <c r="W55" s="17"/>
    </row>
    <row r="56" spans="1:23" x14ac:dyDescent="0.25">
      <c r="A56" s="193" t="s">
        <v>23</v>
      </c>
      <c r="B56">
        <f>AVERAGE(A4:A11)</f>
        <v>22.875</v>
      </c>
      <c r="C56">
        <f>C59+S37</f>
        <v>23.783025119760339</v>
      </c>
      <c r="J56" t="s">
        <v>604</v>
      </c>
      <c r="K56" s="121">
        <f>L33/L35</f>
        <v>0.11649180474886933</v>
      </c>
    </row>
    <row r="57" spans="1:23" x14ac:dyDescent="0.25">
      <c r="A57" s="193" t="s">
        <v>24</v>
      </c>
      <c r="B57">
        <f>AVERAGE(A12:A19)</f>
        <v>33.75</v>
      </c>
      <c r="C57">
        <f>C59+S38</f>
        <v>30.053840521389958</v>
      </c>
      <c r="J57" t="s">
        <v>605</v>
      </c>
      <c r="K57" s="123">
        <f>L33/(L33+L34)</f>
        <v>0.24407657342516512</v>
      </c>
    </row>
    <row r="58" spans="1:23" x14ac:dyDescent="0.25">
      <c r="A58" s="193" t="s">
        <v>30</v>
      </c>
      <c r="B58">
        <f>AVERAGE(A20:A29)</f>
        <v>21.9</v>
      </c>
      <c r="C58">
        <f>C59+S39</f>
        <v>21.333234641578304</v>
      </c>
      <c r="R58" t="s">
        <v>566</v>
      </c>
    </row>
    <row r="59" spans="1:23" ht="15.75" thickBot="1" x14ac:dyDescent="0.3">
      <c r="A59" s="246" t="s">
        <v>31</v>
      </c>
      <c r="B59" s="17">
        <f>AVERAGE(A30:A39)</f>
        <v>15.8</v>
      </c>
      <c r="C59" s="17">
        <f>S35+C52*S36</f>
        <v>18.597272845501461</v>
      </c>
      <c r="J59" t="s">
        <v>607</v>
      </c>
    </row>
    <row r="60" spans="1:23" x14ac:dyDescent="0.25">
      <c r="B60">
        <f>AVERAGE(A4:A39)</f>
        <v>23.055555555555557</v>
      </c>
      <c r="C60">
        <f>AVERAGE(C56:C59)</f>
        <v>23.441843282057516</v>
      </c>
      <c r="R60" s="18" t="s">
        <v>122</v>
      </c>
      <c r="S60" s="18"/>
    </row>
    <row r="61" spans="1:23" x14ac:dyDescent="0.25">
      <c r="J61" t="s">
        <v>604</v>
      </c>
      <c r="K61" s="121">
        <f>L32/L35</f>
        <v>0.34238896992655465</v>
      </c>
      <c r="R61" s="16" t="s">
        <v>123</v>
      </c>
      <c r="S61" s="16">
        <v>0.54481848977319036</v>
      </c>
    </row>
    <row r="62" spans="1:23" x14ac:dyDescent="0.25">
      <c r="J62" t="s">
        <v>605</v>
      </c>
      <c r="K62" s="123">
        <f>L32/(L32+L34)</f>
        <v>0.48692009062153119</v>
      </c>
      <c r="R62" s="16" t="s">
        <v>120</v>
      </c>
      <c r="S62" s="16">
        <v>0.29682718679873993</v>
      </c>
    </row>
    <row r="63" spans="1:23" x14ac:dyDescent="0.25">
      <c r="R63" s="16" t="s">
        <v>124</v>
      </c>
      <c r="S63" s="16">
        <v>0.23090473556112179</v>
      </c>
    </row>
    <row r="64" spans="1:23" x14ac:dyDescent="0.25">
      <c r="J64" t="s">
        <v>608</v>
      </c>
      <c r="R64" s="16" t="s">
        <v>10</v>
      </c>
      <c r="S64" s="16">
        <v>10.378576190884759</v>
      </c>
    </row>
    <row r="65" spans="10:23" ht="15.75" thickBot="1" x14ac:dyDescent="0.3">
      <c r="R65" s="17" t="s">
        <v>55</v>
      </c>
      <c r="S65" s="17">
        <v>36</v>
      </c>
    </row>
    <row r="66" spans="10:23" x14ac:dyDescent="0.25">
      <c r="J66" t="s">
        <v>84</v>
      </c>
      <c r="K66" s="213">
        <f>SQRT(U36^2/(U36^2+S31))</f>
        <v>0.69779659688302542</v>
      </c>
    </row>
    <row r="67" spans="10:23" ht="15.75" thickBot="1" x14ac:dyDescent="0.3">
      <c r="R67" t="s">
        <v>125</v>
      </c>
    </row>
    <row r="68" spans="10:23" x14ac:dyDescent="0.25">
      <c r="R68" s="194"/>
      <c r="S68" s="194" t="s">
        <v>41</v>
      </c>
      <c r="T68" s="194" t="s">
        <v>111</v>
      </c>
      <c r="U68" s="194" t="s">
        <v>115</v>
      </c>
      <c r="V68" s="194" t="s">
        <v>98</v>
      </c>
      <c r="W68" s="194" t="s">
        <v>128</v>
      </c>
    </row>
    <row r="69" spans="10:23" x14ac:dyDescent="0.25">
      <c r="R69" s="16" t="s">
        <v>113</v>
      </c>
      <c r="S69" s="16">
        <v>3</v>
      </c>
      <c r="T69" s="16">
        <v>1455.0138888888901</v>
      </c>
      <c r="U69" s="16">
        <v>485.00462962963002</v>
      </c>
      <c r="V69" s="16">
        <v>4.5026721735334654</v>
      </c>
      <c r="W69" s="16">
        <v>9.5805875705777723E-3</v>
      </c>
    </row>
    <row r="70" spans="10:23" x14ac:dyDescent="0.25">
      <c r="R70" s="16" t="s">
        <v>126</v>
      </c>
      <c r="S70" s="16">
        <v>32</v>
      </c>
      <c r="T70" s="16">
        <v>3446.8749999999995</v>
      </c>
      <c r="U70" s="16">
        <v>107.71484374999999</v>
      </c>
      <c r="V70" s="16"/>
      <c r="W70" s="16"/>
    </row>
    <row r="71" spans="10:23" ht="15.75" thickBot="1" x14ac:dyDescent="0.3">
      <c r="R71" s="17" t="s">
        <v>1</v>
      </c>
      <c r="S71" s="17">
        <v>35</v>
      </c>
      <c r="T71" s="17">
        <v>4901.8888888888896</v>
      </c>
      <c r="U71" s="17"/>
      <c r="V71" s="17"/>
      <c r="W71" s="17"/>
    </row>
    <row r="74" spans="10:23" x14ac:dyDescent="0.25">
      <c r="R74" t="s">
        <v>567</v>
      </c>
    </row>
    <row r="75" spans="10:23" ht="15.75" thickBot="1" x14ac:dyDescent="0.3"/>
    <row r="76" spans="10:23" x14ac:dyDescent="0.25">
      <c r="R76" s="18" t="s">
        <v>122</v>
      </c>
      <c r="S76" s="18"/>
    </row>
    <row r="77" spans="10:23" x14ac:dyDescent="0.25">
      <c r="R77" s="16" t="s">
        <v>123</v>
      </c>
      <c r="S77" s="16">
        <v>0.72299678559204206</v>
      </c>
    </row>
    <row r="78" spans="10:23" x14ac:dyDescent="0.25">
      <c r="R78" s="16" t="s">
        <v>120</v>
      </c>
      <c r="S78" s="16">
        <v>0.52272435197642519</v>
      </c>
    </row>
    <row r="79" spans="10:23" x14ac:dyDescent="0.25">
      <c r="R79" s="16" t="s">
        <v>124</v>
      </c>
      <c r="S79" s="16">
        <v>0.5086868329169083</v>
      </c>
    </row>
    <row r="80" spans="10:23" x14ac:dyDescent="0.25">
      <c r="R80" s="16" t="s">
        <v>10</v>
      </c>
      <c r="S80" s="16">
        <v>8.2952009442455292</v>
      </c>
    </row>
    <row r="81" spans="18:23" ht="15.75" thickBot="1" x14ac:dyDescent="0.3">
      <c r="R81" s="17" t="s">
        <v>55</v>
      </c>
      <c r="S81" s="17">
        <v>36</v>
      </c>
    </row>
    <row r="83" spans="18:23" ht="15.75" thickBot="1" x14ac:dyDescent="0.3">
      <c r="R83" t="s">
        <v>125</v>
      </c>
    </row>
    <row r="84" spans="18:23" x14ac:dyDescent="0.25">
      <c r="R84" s="194"/>
      <c r="S84" s="194" t="s">
        <v>41</v>
      </c>
      <c r="T84" s="194" t="s">
        <v>111</v>
      </c>
      <c r="U84" s="194" t="s">
        <v>115</v>
      </c>
      <c r="V84" s="194" t="s">
        <v>98</v>
      </c>
      <c r="W84" s="194" t="s">
        <v>128</v>
      </c>
    </row>
    <row r="85" spans="18:23" x14ac:dyDescent="0.25">
      <c r="R85" s="16" t="s">
        <v>113</v>
      </c>
      <c r="S85" s="16">
        <v>1</v>
      </c>
      <c r="T85" s="16">
        <v>2562.3366929048839</v>
      </c>
      <c r="U85" s="16">
        <v>2562.3366929048839</v>
      </c>
      <c r="V85" s="16">
        <v>37.237659287239794</v>
      </c>
      <c r="W85" s="16">
        <v>6.3463662804716112E-7</v>
      </c>
    </row>
    <row r="86" spans="18:23" x14ac:dyDescent="0.25">
      <c r="R86" s="16" t="s">
        <v>126</v>
      </c>
      <c r="S86" s="16">
        <v>34</v>
      </c>
      <c r="T86" s="16">
        <v>2339.5521959840057</v>
      </c>
      <c r="U86" s="16">
        <v>68.810358705411929</v>
      </c>
      <c r="V86" s="16"/>
      <c r="W86" s="16"/>
    </row>
    <row r="87" spans="18:23" ht="15.75" thickBot="1" x14ac:dyDescent="0.3">
      <c r="R87" s="17" t="s">
        <v>1</v>
      </c>
      <c r="S87" s="17">
        <v>35</v>
      </c>
      <c r="T87" s="17">
        <v>4901.8888888888896</v>
      </c>
      <c r="U87" s="17"/>
      <c r="V87" s="17"/>
      <c r="W87" s="17"/>
    </row>
  </sheetData>
  <pageMargins left="0.7" right="0.7" top="0.75" bottom="0.75" header="0.3" footer="0.3"/>
  <ignoredErrors>
    <ignoredError sqref="B56:B57 B48:C48 B58:B59 B49:C5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AA57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1" width="10.140625" customWidth="1"/>
    <col min="13" max="13" width="17.28515625" customWidth="1"/>
    <col min="18" max="18" width="9.140625" customWidth="1"/>
    <col min="21" max="21" width="16.7109375" customWidth="1"/>
    <col min="27" max="27" width="12" bestFit="1" customWidth="1"/>
  </cols>
  <sheetData>
    <row r="1" spans="1:27" x14ac:dyDescent="0.25">
      <c r="A1" s="1" t="s">
        <v>611</v>
      </c>
    </row>
    <row r="3" spans="1:27" ht="15.75" thickBot="1" x14ac:dyDescent="0.3">
      <c r="B3" t="s">
        <v>591</v>
      </c>
      <c r="G3" t="s">
        <v>592</v>
      </c>
      <c r="M3" t="s">
        <v>597</v>
      </c>
      <c r="U3" t="s">
        <v>590</v>
      </c>
    </row>
    <row r="4" spans="1:27" x14ac:dyDescent="0.25">
      <c r="M4" s="194" t="s">
        <v>160</v>
      </c>
      <c r="N4" s="194" t="s">
        <v>111</v>
      </c>
      <c r="O4" s="194" t="s">
        <v>41</v>
      </c>
      <c r="P4" s="194" t="s">
        <v>115</v>
      </c>
      <c r="Q4" s="194" t="s">
        <v>98</v>
      </c>
      <c r="R4" s="194" t="s">
        <v>83</v>
      </c>
      <c r="S4" s="194" t="s">
        <v>161</v>
      </c>
    </row>
    <row r="5" spans="1:27" ht="15.75" thickBot="1" x14ac:dyDescent="0.3">
      <c r="B5" s="245" t="s">
        <v>23</v>
      </c>
      <c r="C5" s="245" t="s">
        <v>24</v>
      </c>
      <c r="D5" s="245" t="s">
        <v>30</v>
      </c>
      <c r="E5" s="247" t="s">
        <v>31</v>
      </c>
      <c r="G5" s="245" t="s">
        <v>23</v>
      </c>
      <c r="H5" s="245" t="s">
        <v>24</v>
      </c>
      <c r="I5" s="245" t="s">
        <v>30</v>
      </c>
      <c r="J5" s="247" t="s">
        <v>31</v>
      </c>
      <c r="K5" s="249"/>
      <c r="M5" s="16" t="s">
        <v>156</v>
      </c>
      <c r="N5" s="16">
        <v>1455.0138888888878</v>
      </c>
      <c r="O5" s="16">
        <v>3</v>
      </c>
      <c r="P5" s="16">
        <v>485.00462962962928</v>
      </c>
      <c r="Q5" s="16">
        <v>4.5026721735334574</v>
      </c>
      <c r="R5" s="16">
        <v>9.5805875705778556E-3</v>
      </c>
      <c r="S5" s="16">
        <v>2.9011195838408388</v>
      </c>
      <c r="U5" t="s">
        <v>43</v>
      </c>
    </row>
    <row r="6" spans="1:2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M6" s="16" t="s">
        <v>157</v>
      </c>
      <c r="N6" s="16">
        <v>3446.875</v>
      </c>
      <c r="O6" s="16">
        <v>32</v>
      </c>
      <c r="P6" s="16">
        <v>107.71484375</v>
      </c>
      <c r="Q6" s="16"/>
      <c r="R6" s="16"/>
      <c r="S6" s="16"/>
      <c r="U6" s="194" t="s">
        <v>53</v>
      </c>
      <c r="V6" s="194" t="s">
        <v>12</v>
      </c>
      <c r="W6" s="194" t="s">
        <v>11</v>
      </c>
      <c r="X6" s="194" t="s">
        <v>159</v>
      </c>
      <c r="Y6" s="194" t="s">
        <v>54</v>
      </c>
    </row>
    <row r="7" spans="1:2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M7" s="16"/>
      <c r="N7" s="16"/>
      <c r="O7" s="16"/>
      <c r="P7" s="16"/>
      <c r="Q7" s="16"/>
      <c r="R7" s="16"/>
      <c r="S7" s="16"/>
      <c r="U7" s="16" t="s">
        <v>23</v>
      </c>
      <c r="V7" s="16">
        <v>8</v>
      </c>
      <c r="W7" s="16">
        <v>183</v>
      </c>
      <c r="X7" s="16">
        <v>22.875</v>
      </c>
      <c r="Y7" s="16">
        <v>134.125</v>
      </c>
    </row>
    <row r="8" spans="1:27" ht="15.75" thickBot="1" x14ac:dyDescent="0.3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M8" s="17" t="s">
        <v>1</v>
      </c>
      <c r="N8" s="17">
        <v>4901.8888888888878</v>
      </c>
      <c r="O8" s="17">
        <v>35</v>
      </c>
      <c r="P8" s="17"/>
      <c r="Q8" s="17"/>
      <c r="R8" s="17"/>
      <c r="S8" s="17"/>
      <c r="U8" s="16" t="s">
        <v>24</v>
      </c>
      <c r="V8" s="16">
        <v>8</v>
      </c>
      <c r="W8" s="16">
        <v>270</v>
      </c>
      <c r="X8" s="16">
        <v>33.75</v>
      </c>
      <c r="Y8" s="16">
        <v>164.78571428571428</v>
      </c>
    </row>
    <row r="9" spans="1:2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U9" s="16" t="s">
        <v>30</v>
      </c>
      <c r="V9" s="16">
        <v>10</v>
      </c>
      <c r="W9" s="16">
        <v>219</v>
      </c>
      <c r="X9" s="16">
        <v>21.9</v>
      </c>
      <c r="Y9" s="16">
        <v>105.65555555555551</v>
      </c>
    </row>
    <row r="10" spans="1:27" ht="15.75" thickBot="1" x14ac:dyDescent="0.3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U10" s="17" t="s">
        <v>31</v>
      </c>
      <c r="V10" s="17">
        <v>10</v>
      </c>
      <c r="W10" s="17">
        <v>158</v>
      </c>
      <c r="X10" s="17">
        <v>15.8</v>
      </c>
      <c r="Y10" s="17">
        <v>44.844444444444434</v>
      </c>
    </row>
    <row r="11" spans="1:27" ht="15.75" thickBot="1" x14ac:dyDescent="0.3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M11" t="s">
        <v>598</v>
      </c>
    </row>
    <row r="12" spans="1:27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M12" s="194" t="s">
        <v>160</v>
      </c>
      <c r="N12" s="194" t="s">
        <v>111</v>
      </c>
      <c r="O12" s="194" t="s">
        <v>41</v>
      </c>
      <c r="P12" s="194" t="s">
        <v>115</v>
      </c>
      <c r="Q12" s="194" t="s">
        <v>98</v>
      </c>
      <c r="R12" s="194" t="s">
        <v>83</v>
      </c>
      <c r="S12" s="194" t="s">
        <v>161</v>
      </c>
    </row>
    <row r="13" spans="1:27" ht="15.75" thickBot="1" x14ac:dyDescent="0.3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M13" s="16" t="s">
        <v>156</v>
      </c>
      <c r="N13" s="16">
        <v>1897.0572222222163</v>
      </c>
      <c r="O13" s="16">
        <v>3</v>
      </c>
      <c r="P13" s="16">
        <v>632.35240740740539</v>
      </c>
      <c r="Q13" s="16">
        <v>1.2542356704784621</v>
      </c>
      <c r="R13" s="16">
        <v>0.30655018520822608</v>
      </c>
      <c r="S13" s="16">
        <v>2.9011195838408388</v>
      </c>
      <c r="U13" t="s">
        <v>125</v>
      </c>
    </row>
    <row r="14" spans="1:27" x14ac:dyDescent="0.25">
      <c r="D14">
        <v>31</v>
      </c>
      <c r="E14">
        <v>25</v>
      </c>
      <c r="I14">
        <v>80</v>
      </c>
      <c r="J14">
        <v>64.900000000000006</v>
      </c>
      <c r="M14" s="16" t="s">
        <v>157</v>
      </c>
      <c r="N14" s="16">
        <v>16133.552500000003</v>
      </c>
      <c r="O14" s="16">
        <v>32</v>
      </c>
      <c r="P14" s="16">
        <v>504.17351562500011</v>
      </c>
      <c r="Q14" s="16"/>
      <c r="R14" s="16"/>
      <c r="S14" s="16"/>
      <c r="U14" s="194" t="s">
        <v>160</v>
      </c>
      <c r="V14" s="194" t="s">
        <v>111</v>
      </c>
      <c r="W14" s="194" t="s">
        <v>41</v>
      </c>
      <c r="X14" s="194" t="s">
        <v>115</v>
      </c>
      <c r="Y14" s="194" t="s">
        <v>98</v>
      </c>
      <c r="Z14" s="194" t="s">
        <v>83</v>
      </c>
      <c r="AA14" s="194" t="s">
        <v>161</v>
      </c>
    </row>
    <row r="15" spans="1:27" x14ac:dyDescent="0.25">
      <c r="B15" s="113"/>
      <c r="C15" s="113"/>
      <c r="D15" s="113">
        <v>13</v>
      </c>
      <c r="E15" s="113">
        <v>26</v>
      </c>
      <c r="G15" s="113"/>
      <c r="H15" s="113"/>
      <c r="I15" s="113">
        <v>41</v>
      </c>
      <c r="J15" s="113">
        <v>59.4</v>
      </c>
      <c r="K15" s="7"/>
      <c r="M15" s="16"/>
      <c r="N15" s="16"/>
      <c r="O15" s="16"/>
      <c r="P15" s="16"/>
      <c r="Q15" s="16"/>
      <c r="R15" s="16"/>
      <c r="S15" s="16"/>
      <c r="U15" s="16" t="s">
        <v>156</v>
      </c>
      <c r="V15" s="16">
        <v>1455.0138888888878</v>
      </c>
      <c r="W15" s="16">
        <v>3</v>
      </c>
      <c r="X15" s="16">
        <v>485.00462962962928</v>
      </c>
      <c r="Y15" s="16">
        <v>4.5026721735334574</v>
      </c>
      <c r="Z15" s="16">
        <v>9.5805875705778556E-3</v>
      </c>
      <c r="AA15" s="16">
        <v>2.9011195838408388</v>
      </c>
    </row>
    <row r="16" spans="1:27" ht="15.75" thickBot="1" x14ac:dyDescent="0.3">
      <c r="A16" t="s">
        <v>6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M16" s="17" t="s">
        <v>1</v>
      </c>
      <c r="N16" s="17">
        <v>18030.60972222222</v>
      </c>
      <c r="O16" s="17">
        <v>35</v>
      </c>
      <c r="P16" s="17"/>
      <c r="Q16" s="17"/>
      <c r="R16" s="17"/>
      <c r="S16" s="17"/>
      <c r="U16" s="16" t="s">
        <v>157</v>
      </c>
      <c r="V16" s="16">
        <v>3446.875</v>
      </c>
      <c r="W16" s="16">
        <v>32</v>
      </c>
      <c r="X16" s="16">
        <v>107.71484375</v>
      </c>
      <c r="Y16" s="16"/>
      <c r="Z16" s="16"/>
      <c r="AA16" s="16"/>
    </row>
    <row r="17" spans="1:27" x14ac:dyDescent="0.25">
      <c r="A17" t="s">
        <v>7</v>
      </c>
      <c r="B17" s="113">
        <f>VAR(B6:B15)</f>
        <v>134.125</v>
      </c>
      <c r="C17" s="113">
        <f>VAR(C6:C15)</f>
        <v>164.78571428571428</v>
      </c>
      <c r="D17" s="113">
        <f>VAR(D6:D15)</f>
        <v>105.65555555555551</v>
      </c>
      <c r="E17" s="113">
        <f>VAR(E6:E15)</f>
        <v>44.844444444444434</v>
      </c>
      <c r="G17" s="113">
        <f>VAR(G6:G15)</f>
        <v>1159.0783928571432</v>
      </c>
      <c r="H17" s="113">
        <f>VAR(H6:H15)</f>
        <v>324.43410714285659</v>
      </c>
      <c r="I17" s="113">
        <f>VAR(I6:I15)</f>
        <v>449.52044444444499</v>
      </c>
      <c r="J17" s="113">
        <f>VAR(J6:J15)</f>
        <v>189.25344444444514</v>
      </c>
      <c r="K17" s="7"/>
      <c r="U17" s="16"/>
      <c r="V17" s="16"/>
      <c r="W17" s="16"/>
      <c r="X17" s="16"/>
      <c r="Y17" s="16"/>
      <c r="Z17" s="16"/>
      <c r="AA17" s="16"/>
    </row>
    <row r="18" spans="1:27" ht="15.75" thickBot="1" x14ac:dyDescent="0.3">
      <c r="U18" s="17" t="s">
        <v>1</v>
      </c>
      <c r="V18" s="17">
        <v>4901.8888888888878</v>
      </c>
      <c r="W18" s="17">
        <v>35</v>
      </c>
      <c r="X18" s="17"/>
      <c r="Y18" s="17"/>
      <c r="Z18" s="17"/>
      <c r="AA18" s="17"/>
    </row>
    <row r="19" spans="1:27" ht="15.75" thickBot="1" x14ac:dyDescent="0.3">
      <c r="G19" t="s">
        <v>585</v>
      </c>
      <c r="M19" t="s">
        <v>573</v>
      </c>
    </row>
    <row r="20" spans="1:27" x14ac:dyDescent="0.25">
      <c r="M20" s="194" t="s">
        <v>160</v>
      </c>
      <c r="N20" s="194" t="s">
        <v>111</v>
      </c>
      <c r="O20" s="194" t="s">
        <v>41</v>
      </c>
      <c r="P20" s="194" t="s">
        <v>115</v>
      </c>
      <c r="Q20" s="194" t="s">
        <v>98</v>
      </c>
      <c r="R20" s="194" t="s">
        <v>83</v>
      </c>
    </row>
    <row r="21" spans="1:27" x14ac:dyDescent="0.25">
      <c r="F21" t="s">
        <v>111</v>
      </c>
      <c r="G21" s="132">
        <f>DEVSQ(G6:G15)</f>
        <v>8113.5487500000008</v>
      </c>
      <c r="H21" s="224">
        <f>DEVSQ(H6:H15)</f>
        <v>2271.0387499999997</v>
      </c>
      <c r="I21" s="224">
        <f>DEVSQ(I6:I15)</f>
        <v>4045.6840000000007</v>
      </c>
      <c r="J21" s="225">
        <f>DEVSQ(J6:J15)</f>
        <v>1703.2810000000002</v>
      </c>
      <c r="K21">
        <f>SUM(G21:J21)</f>
        <v>16133.552500000003</v>
      </c>
      <c r="M21" s="16" t="s">
        <v>594</v>
      </c>
      <c r="N21" s="16">
        <f>N24-N22</f>
        <v>571.02988334509268</v>
      </c>
      <c r="O21" s="16">
        <f>O5</f>
        <v>3</v>
      </c>
      <c r="P21" s="16">
        <f>N21/O21</f>
        <v>190.34329444836422</v>
      </c>
      <c r="Q21" s="16">
        <f>P21/P22</f>
        <v>3.336481584501255</v>
      </c>
      <c r="R21" s="16">
        <f>FDIST(Q21,O21,O22)</f>
        <v>3.1940102263092449E-2</v>
      </c>
      <c r="U21" t="s">
        <v>593</v>
      </c>
    </row>
    <row r="22" spans="1:27" x14ac:dyDescent="0.25">
      <c r="F22" t="s">
        <v>570</v>
      </c>
      <c r="G22" s="214">
        <f>SLOPE(B6:B15,G6:G15)</f>
        <v>0.29192990305259459</v>
      </c>
      <c r="H22" s="7">
        <f>SLOPE(C6:C15,H6:H15)</f>
        <v>0.53985208310514299</v>
      </c>
      <c r="I22" s="7">
        <f>SLOPE(D6:D15,I6:I15)</f>
        <v>0.2348824080180261</v>
      </c>
      <c r="J22" s="215">
        <f>SLOPE(E6:E15,J6:J15)</f>
        <v>0.3867594366402255</v>
      </c>
      <c r="M22" s="16" t="s">
        <v>595</v>
      </c>
      <c r="N22" s="16">
        <f>N6-G25^2*N14</f>
        <v>1768.5223126389089</v>
      </c>
      <c r="O22" s="16">
        <f>O6-1</f>
        <v>31</v>
      </c>
      <c r="P22" s="16">
        <f>N22/O22</f>
        <v>57.049106859319643</v>
      </c>
      <c r="Q22" s="16"/>
      <c r="R22" s="16"/>
    </row>
    <row r="23" spans="1:27" ht="15.75" thickBot="1" x14ac:dyDescent="0.3">
      <c r="F23" t="s">
        <v>589</v>
      </c>
      <c r="G23" s="112">
        <f>G21*G22</f>
        <v>2368.5875000000001</v>
      </c>
      <c r="H23" s="113">
        <f>H21*H22</f>
        <v>1226.0249999999999</v>
      </c>
      <c r="I23" s="113">
        <f>I21*I22</f>
        <v>950.26</v>
      </c>
      <c r="J23" s="120">
        <f>J21*J22</f>
        <v>658.76</v>
      </c>
      <c r="K23">
        <f>SUM(G23:J23)</f>
        <v>5203.6325000000006</v>
      </c>
      <c r="M23" s="16"/>
      <c r="N23" s="16"/>
      <c r="O23" s="16"/>
      <c r="P23" s="16"/>
      <c r="Q23" s="16"/>
      <c r="R23" s="16"/>
      <c r="U23" t="s">
        <v>43</v>
      </c>
    </row>
    <row r="24" spans="1:27" ht="15.75" thickBot="1" x14ac:dyDescent="0.3">
      <c r="M24" s="17" t="s">
        <v>564</v>
      </c>
      <c r="N24" s="17">
        <f>N8-G26^2*N16</f>
        <v>2339.5521959840016</v>
      </c>
      <c r="O24" s="17">
        <f>O21+O22</f>
        <v>34</v>
      </c>
      <c r="P24" s="17"/>
      <c r="Q24" s="17"/>
      <c r="R24" s="17"/>
      <c r="U24" s="194" t="s">
        <v>53</v>
      </c>
      <c r="V24" s="194" t="s">
        <v>12</v>
      </c>
      <c r="W24" s="194" t="s">
        <v>11</v>
      </c>
      <c r="X24" s="194" t="s">
        <v>159</v>
      </c>
      <c r="Y24" s="194" t="s">
        <v>54</v>
      </c>
    </row>
    <row r="25" spans="1:27" ht="18" x14ac:dyDescent="0.35">
      <c r="F25" t="s">
        <v>571</v>
      </c>
      <c r="G25">
        <f>K23/K21</f>
        <v>0.32253482300317921</v>
      </c>
      <c r="U25" s="16" t="s">
        <v>23</v>
      </c>
      <c r="V25" s="16">
        <v>8</v>
      </c>
      <c r="W25" s="16">
        <v>367.9</v>
      </c>
      <c r="X25" s="16">
        <v>45.987499999999997</v>
      </c>
      <c r="Y25" s="16">
        <v>1159.0783928571432</v>
      </c>
    </row>
    <row r="26" spans="1:27" ht="18" x14ac:dyDescent="0.35">
      <c r="F26" t="s">
        <v>561</v>
      </c>
      <c r="G26">
        <f>SLOPE(B6:E15,G6:J15)</f>
        <v>0.37697529640759841</v>
      </c>
      <c r="U26" s="16" t="s">
        <v>24</v>
      </c>
      <c r="V26" s="16">
        <v>8</v>
      </c>
      <c r="W26" s="16">
        <v>482.1</v>
      </c>
      <c r="X26" s="16">
        <v>60.262500000000003</v>
      </c>
      <c r="Y26" s="16">
        <v>324.43410714285659</v>
      </c>
    </row>
    <row r="27" spans="1:27" ht="15.75" thickBot="1" x14ac:dyDescent="0.3">
      <c r="M27" t="s">
        <v>574</v>
      </c>
      <c r="U27" s="16" t="s">
        <v>30</v>
      </c>
      <c r="V27" s="16">
        <v>10</v>
      </c>
      <c r="W27" s="16">
        <v>505.59999999999997</v>
      </c>
      <c r="X27" s="16">
        <v>50.559999999999995</v>
      </c>
      <c r="Y27" s="16">
        <v>449.52044444444499</v>
      </c>
    </row>
    <row r="28" spans="1:27" ht="15.75" thickBot="1" x14ac:dyDescent="0.3">
      <c r="M28" s="194" t="s">
        <v>160</v>
      </c>
      <c r="N28" s="194" t="s">
        <v>111</v>
      </c>
      <c r="O28" s="194" t="s">
        <v>41</v>
      </c>
      <c r="P28" s="194" t="s">
        <v>115</v>
      </c>
      <c r="Q28" s="194" t="s">
        <v>98</v>
      </c>
      <c r="R28" s="194" t="s">
        <v>83</v>
      </c>
      <c r="U28" s="17" t="s">
        <v>31</v>
      </c>
      <c r="V28" s="17">
        <v>10</v>
      </c>
      <c r="W28" s="17">
        <v>401.29999999999995</v>
      </c>
      <c r="X28" s="17">
        <v>40.129999999999995</v>
      </c>
      <c r="Y28" s="17">
        <v>189.25344444444514</v>
      </c>
    </row>
    <row r="29" spans="1:27" x14ac:dyDescent="0.25">
      <c r="M29" t="s">
        <v>568</v>
      </c>
      <c r="N29">
        <f>G25*K23</f>
        <v>1678.3526873610911</v>
      </c>
      <c r="O29">
        <v>1</v>
      </c>
      <c r="P29" s="16">
        <f>N29/O29</f>
        <v>1678.3526873610911</v>
      </c>
      <c r="Q29" s="16">
        <f>P29/P31</f>
        <v>29.419438440987836</v>
      </c>
      <c r="R29" s="16">
        <f>FDIST(Q29,O29,O31)</f>
        <v>6.3670620361677544E-6</v>
      </c>
    </row>
    <row r="30" spans="1:27" x14ac:dyDescent="0.25">
      <c r="M30" s="16" t="s">
        <v>596</v>
      </c>
      <c r="N30">
        <f>N21</f>
        <v>571.02988334509268</v>
      </c>
      <c r="O30">
        <f>O21</f>
        <v>3</v>
      </c>
      <c r="P30" s="16">
        <f>N30/O30</f>
        <v>190.34329444836422</v>
      </c>
      <c r="Q30" s="16">
        <f>P30/P31</f>
        <v>3.336481584501255</v>
      </c>
      <c r="R30" s="16">
        <f>FDIST(Q30,O30,O31)</f>
        <v>3.1940102263092449E-2</v>
      </c>
    </row>
    <row r="31" spans="1:27" ht="15.75" thickBot="1" x14ac:dyDescent="0.3">
      <c r="M31" s="16" t="s">
        <v>595</v>
      </c>
      <c r="N31" s="16">
        <f>N22</f>
        <v>1768.5223126389089</v>
      </c>
      <c r="O31" s="16">
        <f>O22</f>
        <v>31</v>
      </c>
      <c r="P31" s="16">
        <f>N31/O31</f>
        <v>57.049106859319643</v>
      </c>
      <c r="Q31" s="16"/>
      <c r="R31" s="16"/>
      <c r="U31" t="s">
        <v>125</v>
      </c>
    </row>
    <row r="32" spans="1:27" x14ac:dyDescent="0.25">
      <c r="M32" s="16"/>
      <c r="N32" s="16"/>
      <c r="O32" s="16"/>
      <c r="P32" s="16"/>
      <c r="Q32" s="16"/>
      <c r="R32" s="16"/>
      <c r="U32" s="194" t="s">
        <v>160</v>
      </c>
      <c r="V32" s="194" t="s">
        <v>111</v>
      </c>
      <c r="W32" s="194" t="s">
        <v>41</v>
      </c>
      <c r="X32" s="194" t="s">
        <v>115</v>
      </c>
      <c r="Y32" s="194" t="s">
        <v>98</v>
      </c>
      <c r="Z32" s="194" t="s">
        <v>83</v>
      </c>
      <c r="AA32" s="194" t="s">
        <v>161</v>
      </c>
    </row>
    <row r="33" spans="13:27" ht="15.75" thickBot="1" x14ac:dyDescent="0.3">
      <c r="M33" s="17" t="s">
        <v>1</v>
      </c>
      <c r="N33" s="17">
        <f>N8</f>
        <v>4901.8888888888878</v>
      </c>
      <c r="O33" s="17">
        <f>O8</f>
        <v>35</v>
      </c>
      <c r="P33" s="17"/>
      <c r="Q33" s="17"/>
      <c r="R33" s="17"/>
      <c r="U33" s="16" t="s">
        <v>156</v>
      </c>
      <c r="V33" s="16">
        <v>1897.0572222222163</v>
      </c>
      <c r="W33" s="16">
        <v>3</v>
      </c>
      <c r="X33" s="16">
        <v>632.35240740740539</v>
      </c>
      <c r="Y33" s="16">
        <v>1.2542356704784621</v>
      </c>
      <c r="Z33" s="16">
        <v>0.30655018520822608</v>
      </c>
      <c r="AA33" s="16">
        <v>2.9011195838408388</v>
      </c>
    </row>
    <row r="34" spans="13:27" x14ac:dyDescent="0.25">
      <c r="U34" s="16" t="s">
        <v>157</v>
      </c>
      <c r="V34" s="16">
        <v>16133.552500000003</v>
      </c>
      <c r="W34" s="16">
        <v>32</v>
      </c>
      <c r="X34" s="16">
        <v>504.17351562500011</v>
      </c>
      <c r="Y34" s="16"/>
      <c r="Z34" s="16"/>
      <c r="AA34" s="16"/>
    </row>
    <row r="35" spans="13:27" x14ac:dyDescent="0.25">
      <c r="U35" s="16"/>
      <c r="V35" s="16"/>
      <c r="W35" s="16"/>
      <c r="X35" s="16"/>
      <c r="Y35" s="16"/>
      <c r="Z35" s="16"/>
      <c r="AA35" s="16"/>
    </row>
    <row r="36" spans="13:27" ht="15.75" thickBot="1" x14ac:dyDescent="0.3">
      <c r="U36" s="17" t="s">
        <v>1</v>
      </c>
      <c r="V36" s="17">
        <v>18030.60972222222</v>
      </c>
      <c r="W36" s="17">
        <v>35</v>
      </c>
      <c r="X36" s="17"/>
      <c r="Y36" s="17"/>
      <c r="Z36" s="17"/>
      <c r="AA36" s="17"/>
    </row>
    <row r="56" spans="22:22" x14ac:dyDescent="0.25">
      <c r="V56">
        <f>'ANCOVA 2'!L7</f>
        <v>3133.3665762499804</v>
      </c>
    </row>
    <row r="57" spans="22:22" x14ac:dyDescent="0.25">
      <c r="V57">
        <f>V15</f>
        <v>1455.0138888888878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Q17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1" width="10.140625" customWidth="1"/>
  </cols>
  <sheetData>
    <row r="1" spans="1:17" x14ac:dyDescent="0.25">
      <c r="A1" s="1" t="s">
        <v>1170</v>
      </c>
      <c r="L1" t="s">
        <v>1165</v>
      </c>
    </row>
    <row r="3" spans="1:17" x14ac:dyDescent="0.25">
      <c r="B3" t="s">
        <v>591</v>
      </c>
      <c r="G3" t="s">
        <v>592</v>
      </c>
      <c r="M3" t="str">
        <f>B5</f>
        <v>Method 1</v>
      </c>
      <c r="N3" t="str">
        <f>C5</f>
        <v>Method 2</v>
      </c>
      <c r="O3" t="str">
        <f>D5</f>
        <v>Method 3</v>
      </c>
      <c r="P3" t="str">
        <f>E5</f>
        <v>Method 4</v>
      </c>
    </row>
    <row r="4" spans="1:17" x14ac:dyDescent="0.25">
      <c r="L4" t="s">
        <v>111</v>
      </c>
      <c r="M4" s="598">
        <f>DEVSQ(G6:G15)</f>
        <v>8113.5487500000008</v>
      </c>
      <c r="N4" s="387">
        <f>DEVSQ(H6:H15)</f>
        <v>2271.0387499999997</v>
      </c>
      <c r="O4" s="387">
        <f>DEVSQ(I6:I15)</f>
        <v>4045.6840000000007</v>
      </c>
      <c r="P4" s="604">
        <f>DEVSQ(J6:J15)</f>
        <v>1703.2810000000002</v>
      </c>
    </row>
    <row r="5" spans="1:17" x14ac:dyDescent="0.25">
      <c r="B5" s="245" t="s">
        <v>23</v>
      </c>
      <c r="C5" s="245" t="s">
        <v>24</v>
      </c>
      <c r="D5" s="245" t="s">
        <v>30</v>
      </c>
      <c r="E5" s="247" t="s">
        <v>31</v>
      </c>
      <c r="G5" s="245" t="s">
        <v>23</v>
      </c>
      <c r="H5" s="245" t="s">
        <v>24</v>
      </c>
      <c r="I5" s="245" t="s">
        <v>30</v>
      </c>
      <c r="J5" s="247" t="s">
        <v>31</v>
      </c>
      <c r="K5" s="249"/>
      <c r="L5" t="s">
        <v>570</v>
      </c>
      <c r="M5" s="214">
        <f>SLOPE(B6:B15,G6:G15)</f>
        <v>0.29192990305259459</v>
      </c>
      <c r="N5" s="7">
        <f>SLOPE(C6:C15,H6:H15)</f>
        <v>0.53985208310514299</v>
      </c>
      <c r="O5" s="7">
        <f>SLOPE(D6:D15,I6:I15)</f>
        <v>0.2348824080180261</v>
      </c>
      <c r="P5" s="215">
        <f>SLOPE(E6:E15,J6:J15)</f>
        <v>0.3867594366402255</v>
      </c>
    </row>
    <row r="6" spans="1:1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L6" t="s">
        <v>1166</v>
      </c>
      <c r="M6" s="112">
        <f>AVERAGE(B6:B15)-(AVERAGE(G6:G15)-AVERAGE($G$6:$J$15))*$M8</f>
        <v>23.783025119760342</v>
      </c>
      <c r="N6" s="354">
        <f>AVERAGE(C6:C15)-(AVERAGE(H6:H15)-AVERAGE($G$6:$J$15))*$M8</f>
        <v>30.053840521389958</v>
      </c>
      <c r="O6" s="354">
        <f>AVERAGE(D6:D15)-(AVERAGE(I6:I15)-AVERAGE($G$6:$J$15))*$M8</f>
        <v>21.333234641578304</v>
      </c>
      <c r="P6" s="120">
        <f>AVERAGE(E6:E15)-(AVERAGE(J6:J15)-AVERAGE($G$6:$J$15))*$M8</f>
        <v>18.597272845501465</v>
      </c>
    </row>
    <row r="7" spans="1:1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</row>
    <row r="8" spans="1:17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L8" t="s">
        <v>1167</v>
      </c>
      <c r="M8" s="551">
        <f>SUM(SUMPRODUCT(M4:P4,M5:P5))/SUM(M4:P4)</f>
        <v>0.32253482300317921</v>
      </c>
    </row>
    <row r="9" spans="1:1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L9" t="s">
        <v>1168</v>
      </c>
      <c r="M9" s="349">
        <f>SLOPE(B6:E15,G6:J15)</f>
        <v>0.37697529640759841</v>
      </c>
    </row>
    <row r="10" spans="1:17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</row>
    <row r="11" spans="1:17" ht="15.75" thickBot="1" x14ac:dyDescent="0.3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L11" t="s">
        <v>560</v>
      </c>
    </row>
    <row r="12" spans="1:17" ht="15.75" thickTop="1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L12" s="386"/>
      <c r="M12" s="386" t="s">
        <v>111</v>
      </c>
      <c r="N12" s="386" t="s">
        <v>41</v>
      </c>
      <c r="O12" s="386" t="s">
        <v>115</v>
      </c>
      <c r="P12" s="386" t="s">
        <v>98</v>
      </c>
      <c r="Q12" s="386" t="s">
        <v>48</v>
      </c>
    </row>
    <row r="13" spans="1:17" x14ac:dyDescent="0.25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L13" t="s">
        <v>568</v>
      </c>
      <c r="M13">
        <f>M8^2*SUM(M4:P4)</f>
        <v>1678.3526873610911</v>
      </c>
      <c r="N13">
        <v>1</v>
      </c>
      <c r="O13">
        <f>M13/N13</f>
        <v>1678.3526873610911</v>
      </c>
      <c r="P13" t="e">
        <f ca="1">O13/O15</f>
        <v>#NAME?</v>
      </c>
      <c r="Q13" t="e">
        <f ca="1">FDIST(P13,N13,N15)</f>
        <v>#NAME?</v>
      </c>
    </row>
    <row r="14" spans="1:17" x14ac:dyDescent="0.25">
      <c r="D14">
        <v>31</v>
      </c>
      <c r="E14">
        <v>25</v>
      </c>
      <c r="I14">
        <v>80</v>
      </c>
      <c r="J14">
        <v>64.900000000000006</v>
      </c>
      <c r="L14" t="s">
        <v>1169</v>
      </c>
      <c r="M14" t="e">
        <f ca="1">M16-M9^2*DEVSQ(G6:J15)-M15</f>
        <v>#NAME?</v>
      </c>
      <c r="N14">
        <f>COUNT(M5:P5)-1</f>
        <v>3</v>
      </c>
      <c r="O14" t="e">
        <f ca="1">M14/N14</f>
        <v>#NAME?</v>
      </c>
      <c r="P14" t="e">
        <f ca="1">O14/O15</f>
        <v>#NAME?</v>
      </c>
      <c r="Q14" t="e">
        <f ca="1">FDIST(P14,N14,N15)</f>
        <v>#NAME?</v>
      </c>
    </row>
    <row r="15" spans="1:17" x14ac:dyDescent="0.25">
      <c r="B15" s="113"/>
      <c r="C15" s="113"/>
      <c r="D15" s="113">
        <v>13</v>
      </c>
      <c r="E15" s="113">
        <v>26</v>
      </c>
      <c r="G15" s="113"/>
      <c r="H15" s="113"/>
      <c r="I15" s="113">
        <v>41</v>
      </c>
      <c r="J15" s="113">
        <v>59.4</v>
      </c>
      <c r="K15" s="7"/>
      <c r="L15" t="s">
        <v>178</v>
      </c>
      <c r="M15" t="e">
        <f ca="1">SUMPRODUCT(VARCOL(B6:E15),COUNTCOL(B6:E15)-1)-SUMPRODUCT(VARCOL(G6:J15),COUNTCOL(G6:J15)-1)*M8^2</f>
        <v>#NAME?</v>
      </c>
      <c r="N15">
        <f>N16-N13-N14</f>
        <v>31</v>
      </c>
      <c r="O15" t="e">
        <f ca="1">M15/N15</f>
        <v>#NAME?</v>
      </c>
    </row>
    <row r="16" spans="1:17" x14ac:dyDescent="0.25">
      <c r="A16" t="s">
        <v>6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L16" s="354" t="s">
        <v>1</v>
      </c>
      <c r="M16" s="354">
        <f>DEVSQ(B6:E15)</f>
        <v>4901.8888888888878</v>
      </c>
      <c r="N16" s="354">
        <f>COUNT(B6:E15)-1</f>
        <v>35</v>
      </c>
      <c r="O16" s="354"/>
      <c r="P16" s="354"/>
      <c r="Q16" s="354"/>
    </row>
    <row r="17" spans="1:11" x14ac:dyDescent="0.25">
      <c r="A17" t="s">
        <v>7</v>
      </c>
      <c r="B17" s="113">
        <f>VAR(B6:B15)</f>
        <v>134.125</v>
      </c>
      <c r="C17" s="113">
        <f>VAR(C6:C15)</f>
        <v>164.78571428571428</v>
      </c>
      <c r="D17" s="113">
        <f>VAR(D6:D15)</f>
        <v>105.65555555555551</v>
      </c>
      <c r="E17" s="113">
        <f>VAR(E6:E15)</f>
        <v>44.844444444444434</v>
      </c>
      <c r="G17" s="113">
        <f>VAR(G6:G15)</f>
        <v>1159.0783928571432</v>
      </c>
      <c r="H17" s="113">
        <f>VAR(H6:H15)</f>
        <v>324.43410714285659</v>
      </c>
      <c r="I17" s="113">
        <f>VAR(I6:I15)</f>
        <v>449.52044444444499</v>
      </c>
      <c r="J17" s="113">
        <f>VAR(J6:J15)</f>
        <v>189.25344444444514</v>
      </c>
      <c r="K17" s="7"/>
    </row>
  </sheetData>
  <pageMargins left="0.7" right="0.7" top="0.75" bottom="0.75" header="0.3" footer="0.3"/>
  <pageSetup paperSize="9"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F17"/>
  <sheetViews>
    <sheetView workbookViewId="0"/>
  </sheetViews>
  <sheetFormatPr defaultRowHeight="15" x14ac:dyDescent="0.25"/>
  <cols>
    <col min="1" max="1" width="16.42578125" customWidth="1"/>
    <col min="5" max="5" width="3.42578125" customWidth="1"/>
    <col min="6" max="6" width="23.7109375" customWidth="1"/>
  </cols>
  <sheetData>
    <row r="1" spans="1:6" x14ac:dyDescent="0.25">
      <c r="A1" s="1" t="s">
        <v>588</v>
      </c>
    </row>
    <row r="3" spans="1:6" x14ac:dyDescent="0.25">
      <c r="B3" s="250" t="s">
        <v>24</v>
      </c>
      <c r="C3" s="250" t="s">
        <v>31</v>
      </c>
    </row>
    <row r="4" spans="1:6" x14ac:dyDescent="0.25">
      <c r="A4" t="s">
        <v>599</v>
      </c>
      <c r="B4" s="132">
        <f>'ANCOVA 2'!C57</f>
        <v>30.053840521389958</v>
      </c>
      <c r="C4" s="225">
        <f>'ANCOVA 2'!C59</f>
        <v>18.597272845501461</v>
      </c>
      <c r="D4" s="121">
        <f>ABS(B4-C4)</f>
        <v>11.456567675888497</v>
      </c>
      <c r="F4" s="14" t="s">
        <v>630</v>
      </c>
    </row>
    <row r="5" spans="1:6" x14ac:dyDescent="0.25">
      <c r="A5" t="s">
        <v>600</v>
      </c>
      <c r="B5" s="214">
        <f>'ANCOVA 1'!H16</f>
        <v>60.262500000000003</v>
      </c>
      <c r="C5" s="215">
        <f>'ANCOVA 1'!J16</f>
        <v>40.129999999999995</v>
      </c>
      <c r="D5" s="185">
        <f>(B5-C5)^2</f>
        <v>405.31755625000028</v>
      </c>
      <c r="F5" s="14" t="s">
        <v>631</v>
      </c>
    </row>
    <row r="6" spans="1:6" x14ac:dyDescent="0.25">
      <c r="A6" t="s">
        <v>601</v>
      </c>
      <c r="B6" s="112">
        <f>COUNT('ANCOVA 1'!C6:C15)</f>
        <v>8</v>
      </c>
      <c r="C6" s="120">
        <f>COUNT('ANCOVA 1'!E6:E15)</f>
        <v>10</v>
      </c>
      <c r="D6" s="123">
        <f>1/B6+1/C6</f>
        <v>0.22500000000000001</v>
      </c>
      <c r="F6" s="14" t="s">
        <v>632</v>
      </c>
    </row>
    <row r="7" spans="1:6" x14ac:dyDescent="0.25">
      <c r="A7" t="s">
        <v>602</v>
      </c>
      <c r="B7" s="7"/>
      <c r="C7" s="7"/>
      <c r="D7" s="185">
        <f>'ANCOVA 2'!M8</f>
        <v>57.049106859319657</v>
      </c>
      <c r="F7" s="14" t="s">
        <v>1456</v>
      </c>
    </row>
    <row r="8" spans="1:6" x14ac:dyDescent="0.25">
      <c r="A8" t="s">
        <v>603</v>
      </c>
      <c r="B8" s="7"/>
      <c r="C8" s="7"/>
      <c r="D8" s="185">
        <f>'ANCOVA 2'!L14</f>
        <v>16133.552500000002</v>
      </c>
      <c r="F8" s="14" t="s">
        <v>1457</v>
      </c>
    </row>
    <row r="9" spans="1:6" x14ac:dyDescent="0.25">
      <c r="A9" t="s">
        <v>148</v>
      </c>
      <c r="D9" s="185">
        <f>SQRT(D7*(D6+D5/D8))</f>
        <v>3.777469213487664</v>
      </c>
      <c r="F9" s="14" t="s">
        <v>633</v>
      </c>
    </row>
    <row r="10" spans="1:6" x14ac:dyDescent="0.25">
      <c r="A10" t="s">
        <v>44</v>
      </c>
      <c r="D10" s="185">
        <f>D4/D9</f>
        <v>3.0328685763955892</v>
      </c>
      <c r="F10" s="14" t="s">
        <v>634</v>
      </c>
    </row>
    <row r="11" spans="1:6" x14ac:dyDescent="0.25">
      <c r="A11" t="s">
        <v>41</v>
      </c>
      <c r="D11" s="185">
        <f>'ANCOVA 2'!K8</f>
        <v>31</v>
      </c>
      <c r="F11" s="14" t="s">
        <v>1458</v>
      </c>
    </row>
    <row r="12" spans="1:6" x14ac:dyDescent="0.25">
      <c r="A12" s="24" t="s">
        <v>32</v>
      </c>
      <c r="D12" s="185">
        <v>0.05</v>
      </c>
    </row>
    <row r="13" spans="1:6" x14ac:dyDescent="0.25">
      <c r="A13" s="24" t="s">
        <v>48</v>
      </c>
      <c r="D13" s="185">
        <f>TDIST(D10,D11,2)</f>
        <v>4.8651077362410929E-3</v>
      </c>
      <c r="F13" s="14" t="s">
        <v>635</v>
      </c>
    </row>
    <row r="14" spans="1:6" x14ac:dyDescent="0.25">
      <c r="A14" s="24" t="s">
        <v>49</v>
      </c>
      <c r="D14" s="185">
        <f>TINV(D12,D11)</f>
        <v>2.0395134463964082</v>
      </c>
      <c r="F14" s="14" t="s">
        <v>636</v>
      </c>
    </row>
    <row r="15" spans="1:6" x14ac:dyDescent="0.25">
      <c r="A15" s="24" t="s">
        <v>164</v>
      </c>
      <c r="D15" s="117" t="str">
        <f>IF(D13&lt;D12,"yes","no")</f>
        <v>yes</v>
      </c>
      <c r="F15" s="14" t="s">
        <v>637</v>
      </c>
    </row>
    <row r="17" spans="1:4" x14ac:dyDescent="0.25">
      <c r="A17" t="s">
        <v>609</v>
      </c>
      <c r="D17" s="213">
        <f>SQRT(D10^2/(D10^2+D11))</f>
        <v>0.47835442106865922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Q19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10.7109375" customWidth="1"/>
    <col min="7" max="10" width="10.140625" customWidth="1"/>
    <col min="12" max="12" width="16.85546875" customWidth="1"/>
    <col min="16" max="16" width="4.28515625" customWidth="1"/>
    <col min="17" max="17" width="25" customWidth="1"/>
  </cols>
  <sheetData>
    <row r="1" spans="1:17" x14ac:dyDescent="0.25">
      <c r="A1" s="1" t="s">
        <v>1459</v>
      </c>
      <c r="L1" s="1" t="s">
        <v>1459</v>
      </c>
    </row>
    <row r="3" spans="1:17" x14ac:dyDescent="0.25">
      <c r="B3" t="s">
        <v>20</v>
      </c>
      <c r="G3" t="s">
        <v>3</v>
      </c>
      <c r="M3" s="250" t="s">
        <v>24</v>
      </c>
      <c r="N3" s="250" t="s">
        <v>31</v>
      </c>
    </row>
    <row r="4" spans="1:17" x14ac:dyDescent="0.25">
      <c r="L4" t="s">
        <v>599</v>
      </c>
      <c r="M4" s="132">
        <f>'ANCOVA 2'!C57</f>
        <v>30.053840521389958</v>
      </c>
      <c r="N4" s="225">
        <f>'ANCOVA 2'!C59</f>
        <v>18.597272845501461</v>
      </c>
      <c r="O4" s="121">
        <f>ABS(M4-N4)</f>
        <v>11.456567675888497</v>
      </c>
      <c r="Q4" s="14" t="e">
        <f ca="1">FTEXT(O4)</f>
        <v>#NAME?</v>
      </c>
    </row>
    <row r="5" spans="1:17" x14ac:dyDescent="0.25">
      <c r="B5" s="245" t="s">
        <v>23</v>
      </c>
      <c r="C5" s="245" t="s">
        <v>24</v>
      </c>
      <c r="D5" s="245" t="s">
        <v>30</v>
      </c>
      <c r="E5" s="247" t="s">
        <v>31</v>
      </c>
      <c r="G5" s="245" t="s">
        <v>23</v>
      </c>
      <c r="H5" s="245" t="s">
        <v>24</v>
      </c>
      <c r="I5" s="245" t="s">
        <v>30</v>
      </c>
      <c r="J5" s="247" t="s">
        <v>31</v>
      </c>
      <c r="L5" t="s">
        <v>600</v>
      </c>
      <c r="M5" s="214">
        <f>'ANCOVA 1'!H16</f>
        <v>60.262500000000003</v>
      </c>
      <c r="N5" s="215">
        <f>'ANCOVA 1'!J16</f>
        <v>40.129999999999995</v>
      </c>
      <c r="O5" s="185">
        <f>(M5-N5)^2</f>
        <v>405.31755625000028</v>
      </c>
      <c r="Q5" s="14" t="e">
        <f ca="1">FTEXT(O5)</f>
        <v>#NAME?</v>
      </c>
    </row>
    <row r="6" spans="1:17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L6" t="s">
        <v>601</v>
      </c>
      <c r="M6" s="112">
        <f>COUNT('ANCOVA 1'!C6:C15)</f>
        <v>8</v>
      </c>
      <c r="N6" s="120">
        <f>COUNT('ANCOVA 1'!E6:E15)</f>
        <v>10</v>
      </c>
      <c r="O6" s="123">
        <f>1/M6+1/N6</f>
        <v>0.22500000000000001</v>
      </c>
      <c r="Q6" s="14" t="e">
        <f ca="1">FTEXT(O6)</f>
        <v>#NAME?</v>
      </c>
    </row>
    <row r="7" spans="1:17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L7" t="s">
        <v>1454</v>
      </c>
      <c r="M7" s="7"/>
      <c r="N7" s="7"/>
      <c r="O7" s="524" t="e">
        <f ca="1">SSBet(G6:J15)</f>
        <v>#NAME?</v>
      </c>
      <c r="Q7" s="14" t="e">
        <f ca="1">FTEXT(O7)</f>
        <v>#NAME?</v>
      </c>
    </row>
    <row r="8" spans="1:17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L8" t="s">
        <v>1453</v>
      </c>
      <c r="M8" s="7"/>
      <c r="N8" s="7"/>
      <c r="O8" s="185" t="e">
        <f ca="1">SSW(G6:J15)</f>
        <v>#NAME?</v>
      </c>
      <c r="Q8" s="14" t="e">
        <f ca="1">FTEXT(O8)</f>
        <v>#NAME?</v>
      </c>
    </row>
    <row r="9" spans="1:17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L9" t="s">
        <v>162</v>
      </c>
      <c r="M9" s="7"/>
      <c r="N9" s="7"/>
      <c r="O9" s="185">
        <f>'ANCOVA 2'!M8</f>
        <v>57.049106859319657</v>
      </c>
      <c r="Q9" s="14" t="s">
        <v>1456</v>
      </c>
    </row>
    <row r="10" spans="1:17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L10" t="s">
        <v>38</v>
      </c>
      <c r="O10" s="185">
        <f>COUNTA(G5:J5)</f>
        <v>4</v>
      </c>
      <c r="Q10" s="14" t="e">
        <f t="shared" ref="Q10:Q15" ca="1" si="0">FTEXT(O10)</f>
        <v>#NAME?</v>
      </c>
    </row>
    <row r="11" spans="1:17" x14ac:dyDescent="0.25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L11" t="s">
        <v>17</v>
      </c>
      <c r="O11" s="185">
        <f>COUNT(G6:J15)</f>
        <v>36</v>
      </c>
      <c r="Q11" s="14" t="e">
        <f t="shared" ca="1" si="0"/>
        <v>#NAME?</v>
      </c>
    </row>
    <row r="12" spans="1:17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L12" t="s">
        <v>1455</v>
      </c>
      <c r="O12" s="185" t="e">
        <f ca="1">O9*(1+O7/((O10-1)*O8))</f>
        <v>#NAME?</v>
      </c>
      <c r="Q12" s="14" t="e">
        <f t="shared" ca="1" si="0"/>
        <v>#NAME?</v>
      </c>
    </row>
    <row r="13" spans="1:17" x14ac:dyDescent="0.25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L13" t="s">
        <v>148</v>
      </c>
      <c r="O13" s="185" t="e">
        <f ca="1">SQRT(O12*O6/2)</f>
        <v>#NAME?</v>
      </c>
      <c r="Q13" s="14" t="e">
        <f t="shared" ca="1" si="0"/>
        <v>#NAME?</v>
      </c>
    </row>
    <row r="14" spans="1:17" x14ac:dyDescent="0.25">
      <c r="D14">
        <v>31</v>
      </c>
      <c r="E14">
        <v>25</v>
      </c>
      <c r="I14">
        <v>80</v>
      </c>
      <c r="J14">
        <v>64.900000000000006</v>
      </c>
      <c r="L14" t="s">
        <v>800</v>
      </c>
      <c r="O14" s="185" t="e">
        <f ca="1">O4/O13</f>
        <v>#NAME?</v>
      </c>
      <c r="Q14" s="14" t="e">
        <f t="shared" ca="1" si="0"/>
        <v>#NAME?</v>
      </c>
    </row>
    <row r="15" spans="1:17" x14ac:dyDescent="0.25">
      <c r="B15" s="113"/>
      <c r="C15" s="113"/>
      <c r="D15" s="113">
        <v>13</v>
      </c>
      <c r="E15" s="113">
        <v>26</v>
      </c>
      <c r="G15" s="113"/>
      <c r="H15" s="113"/>
      <c r="I15" s="113">
        <v>41</v>
      </c>
      <c r="J15" s="113">
        <v>59.4</v>
      </c>
      <c r="L15" t="s">
        <v>41</v>
      </c>
      <c r="O15" s="185">
        <f>O11-O10-1</f>
        <v>31</v>
      </c>
      <c r="Q15" s="14" t="e">
        <f t="shared" ca="1" si="0"/>
        <v>#NAME?</v>
      </c>
    </row>
    <row r="16" spans="1:17" x14ac:dyDescent="0.25">
      <c r="A16" t="s">
        <v>6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L16" s="24" t="s">
        <v>32</v>
      </c>
      <c r="O16" s="185">
        <v>0.05</v>
      </c>
      <c r="Q16" s="14"/>
    </row>
    <row r="17" spans="1:17" x14ac:dyDescent="0.25">
      <c r="A17" t="s">
        <v>7</v>
      </c>
      <c r="B17" s="113">
        <f>VAR(B6:B15)</f>
        <v>134.125</v>
      </c>
      <c r="C17" s="113">
        <f>VAR(C6:C15)</f>
        <v>164.78571428571428</v>
      </c>
      <c r="D17" s="113">
        <f>VAR(D6:D15)</f>
        <v>105.65555555555551</v>
      </c>
      <c r="E17" s="113">
        <f>VAR(E6:E15)</f>
        <v>44.844444444444434</v>
      </c>
      <c r="G17" s="113">
        <f>VAR(G6:G15)</f>
        <v>1159.0783928571432</v>
      </c>
      <c r="H17" s="113">
        <f>VAR(H6:H15)</f>
        <v>324.43410714285659</v>
      </c>
      <c r="I17" s="113">
        <f>VAR(I6:I15)</f>
        <v>449.52044444444499</v>
      </c>
      <c r="J17" s="113">
        <f>VAR(J6:J15)</f>
        <v>189.25344444444514</v>
      </c>
      <c r="L17" s="24" t="s">
        <v>166</v>
      </c>
      <c r="O17" s="185" t="e">
        <f ca="1">QCRIT(O10,O15,O16)</f>
        <v>#NAME?</v>
      </c>
      <c r="Q17" s="14" t="e">
        <f ca="1">FTEXT(O17)</f>
        <v>#NAME?</v>
      </c>
    </row>
    <row r="18" spans="1:17" x14ac:dyDescent="0.25">
      <c r="L18" s="24" t="s">
        <v>48</v>
      </c>
      <c r="O18" s="185" t="e">
        <f ca="1">QDIST(ABS(O14),O10,O15)</f>
        <v>#NAME?</v>
      </c>
      <c r="Q18" s="14" t="e">
        <f ca="1">FTEXT(O18)</f>
        <v>#NAME?</v>
      </c>
    </row>
    <row r="19" spans="1:17" x14ac:dyDescent="0.25">
      <c r="L19" s="24" t="s">
        <v>164</v>
      </c>
      <c r="O19" s="117" t="e">
        <f ca="1">IF(O17&lt;O14,"yes","no")</f>
        <v>#NAME?</v>
      </c>
      <c r="Q19" s="14" t="e">
        <f ca="1">FTEXT(O19)</f>
        <v>#NAME?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N38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5.28515625" customWidth="1"/>
    <col min="7" max="10" width="10.140625" customWidth="1"/>
    <col min="11" max="11" width="4" customWidth="1"/>
  </cols>
  <sheetData>
    <row r="1" spans="1:14" x14ac:dyDescent="0.25">
      <c r="A1" s="1" t="s">
        <v>1446</v>
      </c>
    </row>
    <row r="3" spans="1:14" x14ac:dyDescent="0.25">
      <c r="B3" t="s">
        <v>20</v>
      </c>
      <c r="G3" t="s">
        <v>3</v>
      </c>
      <c r="L3" t="e">
        <f t="array" aca="1" ref="L3:N38" ca="1">Ancova1Std(B5:E15,G5:J15)</f>
        <v>#NAME?</v>
      </c>
      <c r="M3" t="e">
        <f ca="1"/>
        <v>#NAME?</v>
      </c>
      <c r="N3" t="e">
        <f ca="1"/>
        <v>#NAME?</v>
      </c>
    </row>
    <row r="4" spans="1:14" x14ac:dyDescent="0.25">
      <c r="L4" t="e">
        <f ca="1"/>
        <v>#NAME?</v>
      </c>
      <c r="M4" t="e">
        <f ca="1"/>
        <v>#NAME?</v>
      </c>
      <c r="N4" t="e">
        <f ca="1"/>
        <v>#NAME?</v>
      </c>
    </row>
    <row r="5" spans="1:14" x14ac:dyDescent="0.25">
      <c r="B5" s="680" t="s">
        <v>23</v>
      </c>
      <c r="C5" s="680" t="s">
        <v>24</v>
      </c>
      <c r="D5" s="680" t="s">
        <v>30</v>
      </c>
      <c r="E5" s="681" t="s">
        <v>31</v>
      </c>
      <c r="G5" s="680" t="s">
        <v>23</v>
      </c>
      <c r="H5" s="680" t="s">
        <v>24</v>
      </c>
      <c r="I5" s="680" t="s">
        <v>30</v>
      </c>
      <c r="J5" s="681" t="s">
        <v>31</v>
      </c>
      <c r="L5" t="e">
        <f ca="1"/>
        <v>#NAME?</v>
      </c>
      <c r="M5" t="e">
        <f ca="1"/>
        <v>#NAME?</v>
      </c>
      <c r="N5" t="e">
        <f ca="1"/>
        <v>#NAME?</v>
      </c>
    </row>
    <row r="6" spans="1:14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L6" t="e">
        <f ca="1"/>
        <v>#NAME?</v>
      </c>
      <c r="M6" t="e">
        <f ca="1"/>
        <v>#NAME?</v>
      </c>
      <c r="N6" t="e">
        <f ca="1"/>
        <v>#NAME?</v>
      </c>
    </row>
    <row r="7" spans="1:14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L7" t="e">
        <f ca="1"/>
        <v>#NAME?</v>
      </c>
      <c r="M7" t="e">
        <f ca="1"/>
        <v>#NAME?</v>
      </c>
      <c r="N7" t="e">
        <f ca="1"/>
        <v>#NAME?</v>
      </c>
    </row>
    <row r="8" spans="1:14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L8" t="e">
        <f ca="1"/>
        <v>#NAME?</v>
      </c>
      <c r="M8" t="e">
        <f ca="1"/>
        <v>#NAME?</v>
      </c>
      <c r="N8" t="e">
        <f ca="1"/>
        <v>#NAME?</v>
      </c>
    </row>
    <row r="9" spans="1:14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L9" t="e">
        <f ca="1"/>
        <v>#NAME?</v>
      </c>
      <c r="M9" t="e">
        <f ca="1"/>
        <v>#NAME?</v>
      </c>
      <c r="N9" t="e">
        <f ca="1"/>
        <v>#NAME?</v>
      </c>
    </row>
    <row r="10" spans="1:14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L10" t="e">
        <f ca="1"/>
        <v>#NAME?</v>
      </c>
      <c r="M10" t="e">
        <f ca="1"/>
        <v>#NAME?</v>
      </c>
      <c r="N10" t="e">
        <f ca="1"/>
        <v>#NAME?</v>
      </c>
    </row>
    <row r="11" spans="1:14" x14ac:dyDescent="0.25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L11" t="e">
        <f ca="1"/>
        <v>#NAME?</v>
      </c>
      <c r="M11" t="e">
        <f ca="1"/>
        <v>#NAME?</v>
      </c>
      <c r="N11" t="e">
        <f ca="1"/>
        <v>#NAME?</v>
      </c>
    </row>
    <row r="12" spans="1:14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L12" t="e">
        <f ca="1"/>
        <v>#NAME?</v>
      </c>
      <c r="M12" t="e">
        <f ca="1"/>
        <v>#NAME?</v>
      </c>
      <c r="N12" t="e">
        <f ca="1"/>
        <v>#NAME?</v>
      </c>
    </row>
    <row r="13" spans="1:14" x14ac:dyDescent="0.25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L13" t="e">
        <f ca="1"/>
        <v>#NAME?</v>
      </c>
      <c r="M13" t="e">
        <f ca="1"/>
        <v>#NAME?</v>
      </c>
      <c r="N13" t="e">
        <f ca="1"/>
        <v>#NAME?</v>
      </c>
    </row>
    <row r="14" spans="1:14" x14ac:dyDescent="0.25">
      <c r="D14">
        <v>31</v>
      </c>
      <c r="E14">
        <v>25</v>
      </c>
      <c r="I14">
        <v>80</v>
      </c>
      <c r="J14">
        <v>64.900000000000006</v>
      </c>
      <c r="L14" t="e">
        <f ca="1"/>
        <v>#NAME?</v>
      </c>
      <c r="M14" t="e">
        <f ca="1"/>
        <v>#NAME?</v>
      </c>
      <c r="N14" t="e">
        <f ca="1"/>
        <v>#NAME?</v>
      </c>
    </row>
    <row r="15" spans="1:14" x14ac:dyDescent="0.25">
      <c r="B15" s="354"/>
      <c r="C15" s="354"/>
      <c r="D15" s="354">
        <v>13</v>
      </c>
      <c r="E15" s="354">
        <v>26</v>
      </c>
      <c r="G15" s="354"/>
      <c r="H15" s="354"/>
      <c r="I15" s="354">
        <v>41</v>
      </c>
      <c r="J15" s="354">
        <v>59.4</v>
      </c>
      <c r="L15" t="e">
        <f ca="1"/>
        <v>#NAME?</v>
      </c>
      <c r="M15" t="e">
        <f ca="1"/>
        <v>#NAME?</v>
      </c>
      <c r="N15" t="e">
        <f ca="1"/>
        <v>#NAME?</v>
      </c>
    </row>
    <row r="16" spans="1:14" x14ac:dyDescent="0.25">
      <c r="A16" t="s">
        <v>6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L16" t="e">
        <f ca="1"/>
        <v>#NAME?</v>
      </c>
      <c r="M16" t="e">
        <f ca="1"/>
        <v>#NAME?</v>
      </c>
      <c r="N16" t="e">
        <f ca="1"/>
        <v>#NAME?</v>
      </c>
    </row>
    <row r="17" spans="1:14" x14ac:dyDescent="0.25">
      <c r="A17" t="s">
        <v>7</v>
      </c>
      <c r="B17" s="354">
        <f>VAR(B6:B15)</f>
        <v>134.125</v>
      </c>
      <c r="C17" s="354">
        <f>VAR(C6:C15)</f>
        <v>164.78571428571428</v>
      </c>
      <c r="D17" s="354">
        <f>VAR(D6:D15)</f>
        <v>105.65555555555551</v>
      </c>
      <c r="E17" s="354">
        <f>VAR(E6:E15)</f>
        <v>44.844444444444434</v>
      </c>
      <c r="G17" s="354">
        <f>VAR(G6:G15)</f>
        <v>1159.0783928571432</v>
      </c>
      <c r="H17" s="354">
        <f>VAR(H6:H15)</f>
        <v>324.43410714285659</v>
      </c>
      <c r="I17" s="354">
        <f>VAR(I6:I15)</f>
        <v>449.52044444444499</v>
      </c>
      <c r="J17" s="354">
        <f>VAR(J6:J15)</f>
        <v>189.25344444444514</v>
      </c>
      <c r="L17" t="e">
        <f ca="1"/>
        <v>#NAME?</v>
      </c>
      <c r="M17" t="e">
        <f ca="1"/>
        <v>#NAME?</v>
      </c>
      <c r="N17" t="e">
        <f ca="1"/>
        <v>#NAME?</v>
      </c>
    </row>
    <row r="18" spans="1:14" x14ac:dyDescent="0.25">
      <c r="L18" t="e">
        <f ca="1"/>
        <v>#NAME?</v>
      </c>
      <c r="M18" t="e">
        <f ca="1"/>
        <v>#NAME?</v>
      </c>
      <c r="N18" t="e">
        <f ca="1"/>
        <v>#NAME?</v>
      </c>
    </row>
    <row r="19" spans="1:14" x14ac:dyDescent="0.25">
      <c r="L19" t="e">
        <f ca="1"/>
        <v>#NAME?</v>
      </c>
      <c r="M19" t="e">
        <f ca="1"/>
        <v>#NAME?</v>
      </c>
      <c r="N19" t="e">
        <f ca="1"/>
        <v>#NAME?</v>
      </c>
    </row>
    <row r="20" spans="1:14" x14ac:dyDescent="0.25">
      <c r="L20" t="e">
        <f ca="1"/>
        <v>#NAME?</v>
      </c>
      <c r="M20" t="e">
        <f ca="1"/>
        <v>#NAME?</v>
      </c>
      <c r="N20" t="e">
        <f ca="1"/>
        <v>#NAME?</v>
      </c>
    </row>
    <row r="21" spans="1:14" x14ac:dyDescent="0.25">
      <c r="L21" t="e">
        <f ca="1"/>
        <v>#NAME?</v>
      </c>
      <c r="M21" t="e">
        <f ca="1"/>
        <v>#NAME?</v>
      </c>
      <c r="N21" t="e">
        <f ca="1"/>
        <v>#NAME?</v>
      </c>
    </row>
    <row r="22" spans="1:14" x14ac:dyDescent="0.25">
      <c r="L22" t="e">
        <f ca="1"/>
        <v>#NAME?</v>
      </c>
      <c r="M22" t="e">
        <f ca="1"/>
        <v>#NAME?</v>
      </c>
      <c r="N22" t="e">
        <f ca="1"/>
        <v>#NAME?</v>
      </c>
    </row>
    <row r="23" spans="1:14" x14ac:dyDescent="0.25">
      <c r="L23" t="e">
        <f ca="1"/>
        <v>#NAME?</v>
      </c>
      <c r="M23" t="e">
        <f ca="1"/>
        <v>#NAME?</v>
      </c>
      <c r="N23" t="e">
        <f ca="1"/>
        <v>#NAME?</v>
      </c>
    </row>
    <row r="24" spans="1:14" x14ac:dyDescent="0.25">
      <c r="L24" t="e">
        <f ca="1"/>
        <v>#NAME?</v>
      </c>
      <c r="M24" t="e">
        <f ca="1"/>
        <v>#NAME?</v>
      </c>
      <c r="N24" t="e">
        <f ca="1"/>
        <v>#NAME?</v>
      </c>
    </row>
    <row r="25" spans="1:14" x14ac:dyDescent="0.25">
      <c r="L25" t="e">
        <f ca="1"/>
        <v>#NAME?</v>
      </c>
      <c r="M25" t="e">
        <f ca="1"/>
        <v>#NAME?</v>
      </c>
      <c r="N25" t="e">
        <f ca="1"/>
        <v>#NAME?</v>
      </c>
    </row>
    <row r="26" spans="1:14" x14ac:dyDescent="0.25">
      <c r="L26" t="e">
        <f ca="1"/>
        <v>#NAME?</v>
      </c>
      <c r="M26" t="e">
        <f ca="1"/>
        <v>#NAME?</v>
      </c>
      <c r="N26" t="e">
        <f ca="1"/>
        <v>#NAME?</v>
      </c>
    </row>
    <row r="27" spans="1:14" x14ac:dyDescent="0.25">
      <c r="L27" t="e">
        <f ca="1"/>
        <v>#NAME?</v>
      </c>
      <c r="M27" t="e">
        <f ca="1"/>
        <v>#NAME?</v>
      </c>
      <c r="N27" t="e">
        <f ca="1"/>
        <v>#NAME?</v>
      </c>
    </row>
    <row r="28" spans="1:14" x14ac:dyDescent="0.25">
      <c r="L28" t="e">
        <f ca="1"/>
        <v>#NAME?</v>
      </c>
      <c r="M28" t="e">
        <f ca="1"/>
        <v>#NAME?</v>
      </c>
      <c r="N28" t="e">
        <f ca="1"/>
        <v>#NAME?</v>
      </c>
    </row>
    <row r="29" spans="1:14" x14ac:dyDescent="0.25">
      <c r="L29" t="e">
        <f ca="1"/>
        <v>#NAME?</v>
      </c>
      <c r="M29" t="e">
        <f ca="1"/>
        <v>#NAME?</v>
      </c>
      <c r="N29" t="e">
        <f ca="1"/>
        <v>#NAME?</v>
      </c>
    </row>
    <row r="30" spans="1:14" x14ac:dyDescent="0.25">
      <c r="L30" t="e">
        <f ca="1"/>
        <v>#NAME?</v>
      </c>
      <c r="M30" t="e">
        <f ca="1"/>
        <v>#NAME?</v>
      </c>
      <c r="N30" t="e">
        <f ca="1"/>
        <v>#NAME?</v>
      </c>
    </row>
    <row r="31" spans="1:14" x14ac:dyDescent="0.25">
      <c r="L31" t="e">
        <f ca="1"/>
        <v>#NAME?</v>
      </c>
      <c r="M31" t="e">
        <f ca="1"/>
        <v>#NAME?</v>
      </c>
      <c r="N31" t="e">
        <f ca="1"/>
        <v>#NAME?</v>
      </c>
    </row>
    <row r="32" spans="1:14" x14ac:dyDescent="0.25">
      <c r="L32" t="e">
        <f ca="1"/>
        <v>#NAME?</v>
      </c>
      <c r="M32" t="e">
        <f ca="1"/>
        <v>#NAME?</v>
      </c>
      <c r="N32" t="e">
        <f ca="1"/>
        <v>#NAME?</v>
      </c>
    </row>
    <row r="33" spans="12:14" x14ac:dyDescent="0.25">
      <c r="L33" t="e">
        <f ca="1"/>
        <v>#NAME?</v>
      </c>
      <c r="M33" t="e">
        <f ca="1"/>
        <v>#NAME?</v>
      </c>
      <c r="N33" t="e">
        <f ca="1"/>
        <v>#NAME?</v>
      </c>
    </row>
    <row r="34" spans="12:14" x14ac:dyDescent="0.25">
      <c r="L34" t="e">
        <f ca="1"/>
        <v>#NAME?</v>
      </c>
      <c r="M34" t="e">
        <f ca="1"/>
        <v>#NAME?</v>
      </c>
      <c r="N34" t="e">
        <f ca="1"/>
        <v>#NAME?</v>
      </c>
    </row>
    <row r="35" spans="12:14" x14ac:dyDescent="0.25">
      <c r="L35" t="e">
        <f ca="1"/>
        <v>#NAME?</v>
      </c>
      <c r="M35" t="e">
        <f ca="1"/>
        <v>#NAME?</v>
      </c>
      <c r="N35" t="e">
        <f ca="1"/>
        <v>#NAME?</v>
      </c>
    </row>
    <row r="36" spans="12:14" x14ac:dyDescent="0.25">
      <c r="L36" t="e">
        <f ca="1"/>
        <v>#NAME?</v>
      </c>
      <c r="M36" t="e">
        <f ca="1"/>
        <v>#NAME?</v>
      </c>
      <c r="N36" t="e">
        <f ca="1"/>
        <v>#NAME?</v>
      </c>
    </row>
    <row r="37" spans="12:14" x14ac:dyDescent="0.25">
      <c r="L37" t="e">
        <f ca="1"/>
        <v>#NAME?</v>
      </c>
      <c r="M37" t="e">
        <f ca="1"/>
        <v>#NAME?</v>
      </c>
      <c r="N37" t="e">
        <f ca="1"/>
        <v>#NAME?</v>
      </c>
    </row>
    <row r="38" spans="12:14" x14ac:dyDescent="0.25">
      <c r="L38" t="e">
        <f ca="1"/>
        <v>#NAME?</v>
      </c>
      <c r="M38" t="e">
        <f ca="1"/>
        <v>#NAME?</v>
      </c>
      <c r="N38" t="e">
        <f ca="1"/>
        <v>#NAME?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N38"/>
  <sheetViews>
    <sheetView workbookViewId="0"/>
  </sheetViews>
  <sheetFormatPr defaultRowHeight="15" x14ac:dyDescent="0.25"/>
  <cols>
    <col min="1" max="1" width="5.85546875" customWidth="1"/>
    <col min="2" max="5" width="10.140625" customWidth="1"/>
    <col min="6" max="6" width="5.28515625" customWidth="1"/>
    <col min="7" max="10" width="10.140625" customWidth="1"/>
  </cols>
  <sheetData>
    <row r="1" spans="1:40" x14ac:dyDescent="0.25">
      <c r="A1" s="1" t="s">
        <v>1447</v>
      </c>
    </row>
    <row r="3" spans="1:40" x14ac:dyDescent="0.25">
      <c r="B3" t="s">
        <v>20</v>
      </c>
      <c r="G3" t="s">
        <v>3</v>
      </c>
      <c r="L3" s="648" t="e">
        <f t="array" aca="1" ref="L3:N38" ca="1">Ancova1Std(B5:E15,G5:J15)</f>
        <v>#NAME?</v>
      </c>
      <c r="M3" s="649" t="e">
        <f ca="1"/>
        <v>#NAME?</v>
      </c>
      <c r="N3" s="650" t="e">
        <f ca="1"/>
        <v>#NAME?</v>
      </c>
      <c r="P3" t="s">
        <v>1165</v>
      </c>
    </row>
    <row r="4" spans="1:40" x14ac:dyDescent="0.25">
      <c r="L4" s="183" t="e">
        <f ca="1"/>
        <v>#NAME?</v>
      </c>
      <c r="M4" s="7" t="e">
        <f ca="1"/>
        <v>#NAME?</v>
      </c>
      <c r="N4" s="43" t="e">
        <f ca="1"/>
        <v>#NAME?</v>
      </c>
    </row>
    <row r="5" spans="1:40" ht="15.75" thickBot="1" x14ac:dyDescent="0.3">
      <c r="B5" s="680" t="s">
        <v>23</v>
      </c>
      <c r="C5" s="680" t="s">
        <v>24</v>
      </c>
      <c r="D5" s="680" t="s">
        <v>30</v>
      </c>
      <c r="E5" s="681" t="s">
        <v>31</v>
      </c>
      <c r="G5" s="680" t="s">
        <v>23</v>
      </c>
      <c r="H5" s="680" t="s">
        <v>24</v>
      </c>
      <c r="I5" s="680" t="s">
        <v>30</v>
      </c>
      <c r="J5" s="681" t="s">
        <v>31</v>
      </c>
      <c r="L5" s="183" t="e">
        <f ca="1"/>
        <v>#NAME?</v>
      </c>
      <c r="M5" s="7" t="e">
        <f ca="1"/>
        <v>#NAME?</v>
      </c>
      <c r="N5" s="43" t="e">
        <f ca="1"/>
        <v>#NAME?</v>
      </c>
      <c r="P5" t="s">
        <v>560</v>
      </c>
      <c r="W5" t="s">
        <v>1460</v>
      </c>
      <c r="AF5" t="s">
        <v>1461</v>
      </c>
    </row>
    <row r="6" spans="1:40" ht="15.75" thickTop="1" x14ac:dyDescent="0.25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L6" s="183" t="e">
        <f ca="1"/>
        <v>#NAME?</v>
      </c>
      <c r="M6" s="7" t="e">
        <f ca="1"/>
        <v>#NAME?</v>
      </c>
      <c r="N6" s="43" t="e">
        <f ca="1"/>
        <v>#NAME?</v>
      </c>
      <c r="P6" s="386"/>
      <c r="Q6" s="386" t="s">
        <v>111</v>
      </c>
      <c r="R6" s="386" t="s">
        <v>41</v>
      </c>
      <c r="S6" s="386" t="s">
        <v>115</v>
      </c>
      <c r="T6" s="386" t="s">
        <v>98</v>
      </c>
      <c r="U6" s="386" t="s">
        <v>48</v>
      </c>
      <c r="W6" s="386" t="s">
        <v>53</v>
      </c>
      <c r="X6" s="386" t="s">
        <v>27</v>
      </c>
      <c r="Y6" s="386" t="s">
        <v>1166</v>
      </c>
      <c r="Z6" s="386" t="s">
        <v>110</v>
      </c>
      <c r="AA6" s="386" t="s">
        <v>1449</v>
      </c>
      <c r="AB6" s="386" t="s">
        <v>1450</v>
      </c>
      <c r="AC6" s="386" t="s">
        <v>1451</v>
      </c>
      <c r="AD6" s="386" t="s">
        <v>1452</v>
      </c>
      <c r="AF6" s="386" t="s">
        <v>53</v>
      </c>
      <c r="AG6" s="386" t="s">
        <v>27</v>
      </c>
      <c r="AH6" s="386" t="s">
        <v>1166</v>
      </c>
      <c r="AI6" s="386" t="s">
        <v>110</v>
      </c>
      <c r="AJ6" s="386" t="s">
        <v>1449</v>
      </c>
      <c r="AK6" s="386" t="s">
        <v>1451</v>
      </c>
    </row>
    <row r="7" spans="1:40" x14ac:dyDescent="0.25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L7" s="183" t="e">
        <f ca="1"/>
        <v>#NAME?</v>
      </c>
      <c r="M7" s="7" t="e">
        <f ca="1"/>
        <v>#NAME?</v>
      </c>
      <c r="N7" s="43" t="e">
        <f ca="1"/>
        <v>#NAME?</v>
      </c>
      <c r="P7" t="s">
        <v>568</v>
      </c>
      <c r="Q7" t="e">
        <f t="array" aca="1" ref="Q7:Q9" ca="1">SSAncova(L3:N38)</f>
        <v>#NAME?</v>
      </c>
      <c r="R7">
        <f ca="1">COUNTA(L3:N3)-2</f>
        <v>1</v>
      </c>
      <c r="S7" t="e">
        <f ca="1">Q7/R7</f>
        <v>#NAME?</v>
      </c>
      <c r="T7" t="e">
        <f ca="1">S7/S9</f>
        <v>#NAME?</v>
      </c>
      <c r="U7" t="e">
        <f ca="1">FDIST(T7,R7,R9)</f>
        <v>#NAME?</v>
      </c>
      <c r="W7" s="387" t="e">
        <f t="array" aca="1" ref="W7:W10" ca="1">ExtractUnique(L3:L38)</f>
        <v>#NAME?</v>
      </c>
      <c r="X7" s="549"/>
      <c r="Y7" s="387" t="e">
        <f t="array" aca="1" ref="Y7:Y10" ca="1">INDEX(AncovaMeans(L3:N38),,3)</f>
        <v>#NAME?</v>
      </c>
      <c r="Z7" s="387">
        <f ca="1">COUNTIF(L3:L38,W7)</f>
        <v>36</v>
      </c>
      <c r="AA7" s="387" t="e">
        <f ca="1">AVERAGEIF(L3:L38,W7,N3:N38)</f>
        <v>#NAME?</v>
      </c>
      <c r="AB7" s="387"/>
      <c r="AC7" s="387"/>
      <c r="AD7" s="387"/>
      <c r="AF7" s="387" t="e">
        <f t="array" aca="1" ref="AF7:AF10" ca="1">ExtractUnique(L3:L38)</f>
        <v>#NAME?</v>
      </c>
      <c r="AG7" s="549"/>
      <c r="AH7" s="387" t="e">
        <f t="array" aca="1" ref="AH7:AH10" ca="1">INDEX(AncovaMeans(L3:N38),,3)</f>
        <v>#NAME?</v>
      </c>
      <c r="AI7" s="387">
        <f ca="1">COUNTIF(L3:L38,AF7)</f>
        <v>36</v>
      </c>
      <c r="AJ7" s="387" t="e">
        <f ca="1">AVERAGEIF(L3:L38,AF7,N3:N38)</f>
        <v>#NAME?</v>
      </c>
      <c r="AK7" s="387"/>
    </row>
    <row r="8" spans="1:40" x14ac:dyDescent="0.25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L8" s="183" t="e">
        <f ca="1"/>
        <v>#NAME?</v>
      </c>
      <c r="M8" s="7" t="e">
        <f ca="1"/>
        <v>#NAME?</v>
      </c>
      <c r="N8" s="43" t="e">
        <f ca="1"/>
        <v>#NAME?</v>
      </c>
      <c r="P8" t="s">
        <v>1169</v>
      </c>
      <c r="Q8" t="e">
        <f ca="1"/>
        <v>#NAME?</v>
      </c>
      <c r="R8" t="e">
        <f ca="1">COUNTAU(L3:L38)-1</f>
        <v>#NAME?</v>
      </c>
      <c r="S8" t="e">
        <f ca="1">Q8/R8</f>
        <v>#NAME?</v>
      </c>
      <c r="T8" t="e">
        <f ca="1">S8/S9</f>
        <v>#NAME?</v>
      </c>
      <c r="U8" t="e">
        <f ca="1">FDIST(T8,R8,R9)</f>
        <v>#NAME?</v>
      </c>
      <c r="W8" s="7" t="e">
        <f ca="1"/>
        <v>#NAME?</v>
      </c>
      <c r="X8" s="539">
        <v>1</v>
      </c>
      <c r="Y8" s="7" t="e">
        <f ca="1"/>
        <v>#NAME?</v>
      </c>
      <c r="Z8" s="7">
        <f ca="1">COUNTIF(L4:L39,W8)</f>
        <v>35</v>
      </c>
      <c r="AA8" s="7" t="e">
        <f ca="1">AVERAGEIF(L4:L39,W8,N4:N39)</f>
        <v>#NAME?</v>
      </c>
      <c r="AB8" s="7"/>
      <c r="AC8" s="7"/>
      <c r="AD8" s="7"/>
      <c r="AF8" s="7" t="e">
        <f ca="1"/>
        <v>#NAME?</v>
      </c>
      <c r="AG8" s="539">
        <v>1</v>
      </c>
      <c r="AH8" s="7" t="e">
        <f ca="1"/>
        <v>#NAME?</v>
      </c>
      <c r="AI8" s="7">
        <f ca="1">COUNTIF(L4:L39,AF8)</f>
        <v>35</v>
      </c>
      <c r="AJ8" s="7" t="e">
        <f ca="1">AVERAGEIF(L4:L39,AF8,N4:N39)</f>
        <v>#NAME?</v>
      </c>
      <c r="AK8" s="7"/>
    </row>
    <row r="9" spans="1:40" x14ac:dyDescent="0.25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L9" s="183" t="e">
        <f ca="1"/>
        <v>#NAME?</v>
      </c>
      <c r="M9" s="7" t="e">
        <f ca="1"/>
        <v>#NAME?</v>
      </c>
      <c r="N9" s="43" t="e">
        <f ca="1"/>
        <v>#NAME?</v>
      </c>
      <c r="P9" t="s">
        <v>178</v>
      </c>
      <c r="Q9" t="e">
        <f ca="1"/>
        <v>#NAME?</v>
      </c>
      <c r="R9" t="e">
        <f ca="1">R10-R7-R8</f>
        <v>#NAME?</v>
      </c>
      <c r="S9" t="e">
        <f ca="1">Q9/R9</f>
        <v>#NAME?</v>
      </c>
      <c r="W9" s="7" t="e">
        <f ca="1"/>
        <v>#NAME?</v>
      </c>
      <c r="X9" s="539"/>
      <c r="Y9" s="7" t="e">
        <f ca="1"/>
        <v>#NAME?</v>
      </c>
      <c r="Z9" s="7">
        <f ca="1">COUNTIF(L5:L39,W9)</f>
        <v>34</v>
      </c>
      <c r="AA9" s="7" t="e">
        <f ca="1">AVERAGEIF(L5:L39,W9,N5:N39)</f>
        <v>#NAME?</v>
      </c>
      <c r="AB9" s="7"/>
      <c r="AC9" s="7"/>
      <c r="AD9" s="7"/>
      <c r="AF9" s="7" t="e">
        <f ca="1"/>
        <v>#NAME?</v>
      </c>
      <c r="AG9" s="539">
        <v>-1</v>
      </c>
      <c r="AH9" s="7" t="e">
        <f ca="1"/>
        <v>#NAME?</v>
      </c>
      <c r="AI9" s="7">
        <f ca="1">COUNTIF(L5:L40,AF9)</f>
        <v>34</v>
      </c>
      <c r="AJ9" s="7" t="e">
        <f ca="1">AVERAGEIF(L5:L40,AF9,N5:N40)</f>
        <v>#NAME?</v>
      </c>
      <c r="AK9" s="7"/>
    </row>
    <row r="10" spans="1:40" x14ac:dyDescent="0.25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L10" s="183" t="e">
        <f ca="1"/>
        <v>#NAME?</v>
      </c>
      <c r="M10" s="7" t="e">
        <f ca="1"/>
        <v>#NAME?</v>
      </c>
      <c r="N10" s="43" t="e">
        <f ca="1"/>
        <v>#NAME?</v>
      </c>
      <c r="P10" s="354" t="s">
        <v>1</v>
      </c>
      <c r="Q10" s="354" t="e">
        <f ca="1">DEVSQ(M3:M38)</f>
        <v>#NAME?</v>
      </c>
      <c r="R10" s="354">
        <f ca="1">COUNT(M3:M38)-1</f>
        <v>-1</v>
      </c>
      <c r="S10" s="354"/>
      <c r="T10" s="354"/>
      <c r="U10" s="354"/>
      <c r="W10" s="354" t="e">
        <f ca="1"/>
        <v>#NAME?</v>
      </c>
      <c r="X10" s="540">
        <v>-1</v>
      </c>
      <c r="Y10" s="354" t="e">
        <f ca="1"/>
        <v>#NAME?</v>
      </c>
      <c r="Z10" s="354">
        <f ca="1">COUNTIF(L6:L39,W10)</f>
        <v>33</v>
      </c>
      <c r="AA10" s="354" t="e">
        <f ca="1">AVERAGEIF(L6:L39,W10,N6:N39)</f>
        <v>#NAME?</v>
      </c>
      <c r="AB10" s="354"/>
      <c r="AC10" s="354"/>
      <c r="AD10" s="354"/>
      <c r="AF10" s="354" t="e">
        <f ca="1"/>
        <v>#NAME?</v>
      </c>
      <c r="AG10" s="540"/>
      <c r="AH10" s="354" t="e">
        <f ca="1"/>
        <v>#NAME?</v>
      </c>
      <c r="AI10" s="354">
        <f ca="1">COUNTIF(L6:L41,AF10)</f>
        <v>33</v>
      </c>
      <c r="AJ10" s="354" t="e">
        <f ca="1">AVERAGEIF(L6:L41,AF10,N6:N41)</f>
        <v>#NAME?</v>
      </c>
      <c r="AK10" s="354"/>
    </row>
    <row r="11" spans="1:40" ht="15.75" thickBot="1" x14ac:dyDescent="0.3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L11" s="183" t="e">
        <f ca="1"/>
        <v>#NAME?</v>
      </c>
      <c r="M11" s="7" t="e">
        <f ca="1"/>
        <v>#NAME?</v>
      </c>
      <c r="N11" s="43" t="e">
        <f ca="1"/>
        <v>#NAME?</v>
      </c>
      <c r="X11">
        <f>SUM(X7:X10)</f>
        <v>0</v>
      </c>
      <c r="Y11" t="e">
        <f ca="1">SUMPRODUCT(X7:X10,Y7:Y10)</f>
        <v>#NAME?</v>
      </c>
      <c r="Z11">
        <f ca="1">SUM(Z7:Z10)</f>
        <v>138</v>
      </c>
      <c r="AA11" t="e">
        <f ca="1">AVERAGE(N3:N38)</f>
        <v>#NAME?</v>
      </c>
      <c r="AB11" t="e">
        <f ca="1">SUMPRODUCT(Z7:Z10,(AA7:AA10-AA11)^2)</f>
        <v>#NAME?</v>
      </c>
      <c r="AC11" t="e">
        <f ca="1">DEVSQ(N3:N38)-AB11</f>
        <v>#NAME?</v>
      </c>
      <c r="AD11" t="e">
        <f ca="1">INDEX(SSAncova(L3:N38),3)/Y15</f>
        <v>#NAME?</v>
      </c>
      <c r="AG11">
        <f>SUM(AG7:AG10)</f>
        <v>0</v>
      </c>
      <c r="AH11" t="e">
        <f ca="1">SUMPRODUCT(AG7:AG10,AH7:AH10)</f>
        <v>#NAME?</v>
      </c>
      <c r="AI11">
        <f ca="1">SUM(AI7:AI10)</f>
        <v>138</v>
      </c>
      <c r="AJ11" t="e">
        <f ca="1">SUMPRODUCT(AG7:AG10,AJ7:AJ10)</f>
        <v>#NAME?</v>
      </c>
      <c r="AK11" t="e">
        <f ca="1">SSWStd(L3:N38,3)</f>
        <v>#NAME?</v>
      </c>
    </row>
    <row r="12" spans="1:40" ht="15.75" thickTop="1" x14ac:dyDescent="0.25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L12" s="183" t="e">
        <f ca="1"/>
        <v>#NAME?</v>
      </c>
      <c r="M12" s="7" t="e">
        <f ca="1"/>
        <v>#NAME?</v>
      </c>
      <c r="N12" s="43" t="e">
        <f ca="1"/>
        <v>#NAME?</v>
      </c>
      <c r="P12" s="386"/>
      <c r="Q12" s="386" t="s">
        <v>6</v>
      </c>
      <c r="R12" s="386" t="s">
        <v>1166</v>
      </c>
    </row>
    <row r="13" spans="1:40" ht="15.75" thickBot="1" x14ac:dyDescent="0.3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L13" s="183" t="e">
        <f ca="1"/>
        <v>#NAME?</v>
      </c>
      <c r="M13" s="7" t="e">
        <f ca="1"/>
        <v>#NAME?</v>
      </c>
      <c r="N13" s="43" t="e">
        <f ca="1"/>
        <v>#NAME?</v>
      </c>
      <c r="P13" s="387" t="e">
        <f t="array" aca="1" ref="P13:R16" ca="1">AncovaMeans(L3:N38)</f>
        <v>#NAME?</v>
      </c>
      <c r="Q13" s="387" t="e">
        <f ca="1"/>
        <v>#NAME?</v>
      </c>
      <c r="R13" s="387" t="e">
        <f ca="1"/>
        <v>#NAME?</v>
      </c>
      <c r="W13" t="s">
        <v>801</v>
      </c>
      <c r="AB13" t="s">
        <v>18</v>
      </c>
      <c r="AC13">
        <v>0.05</v>
      </c>
      <c r="AF13" t="s">
        <v>46</v>
      </c>
      <c r="AK13" t="s">
        <v>18</v>
      </c>
      <c r="AL13">
        <v>0.05</v>
      </c>
    </row>
    <row r="14" spans="1:40" ht="15.75" thickTop="1" x14ac:dyDescent="0.25">
      <c r="D14">
        <v>31</v>
      </c>
      <c r="E14">
        <v>25</v>
      </c>
      <c r="I14">
        <v>80</v>
      </c>
      <c r="J14">
        <v>64.900000000000006</v>
      </c>
      <c r="L14" s="183" t="e">
        <f ca="1"/>
        <v>#NAME?</v>
      </c>
      <c r="M14" s="7" t="e">
        <f ca="1"/>
        <v>#NAME?</v>
      </c>
      <c r="N14" s="43" t="e">
        <f ca="1"/>
        <v>#NAME?</v>
      </c>
      <c r="P14" s="7" t="e">
        <f ca="1"/>
        <v>#NAME?</v>
      </c>
      <c r="Q14" s="7" t="e">
        <f ca="1"/>
        <v>#NAME?</v>
      </c>
      <c r="R14" s="7" t="e">
        <f ca="1"/>
        <v>#NAME?</v>
      </c>
      <c r="W14" s="386" t="s">
        <v>390</v>
      </c>
      <c r="X14" s="386" t="s">
        <v>800</v>
      </c>
      <c r="Y14" s="386" t="s">
        <v>41</v>
      </c>
      <c r="Z14" s="386" t="s">
        <v>166</v>
      </c>
      <c r="AA14" s="386" t="s">
        <v>15</v>
      </c>
      <c r="AB14" s="386" t="s">
        <v>16</v>
      </c>
      <c r="AC14" s="386" t="s">
        <v>48</v>
      </c>
      <c r="AD14" s="386" t="s">
        <v>75</v>
      </c>
      <c r="AF14" s="386" t="s">
        <v>390</v>
      </c>
      <c r="AG14" s="386" t="s">
        <v>60</v>
      </c>
      <c r="AH14" s="386" t="s">
        <v>41</v>
      </c>
      <c r="AI14" s="386" t="s">
        <v>48</v>
      </c>
      <c r="AJ14" s="386" t="s">
        <v>49</v>
      </c>
      <c r="AK14" s="386" t="s">
        <v>15</v>
      </c>
      <c r="AL14" s="386" t="s">
        <v>16</v>
      </c>
      <c r="AM14" s="386" t="s">
        <v>164</v>
      </c>
      <c r="AN14" s="386" t="s">
        <v>399</v>
      </c>
    </row>
    <row r="15" spans="1:40" x14ac:dyDescent="0.25">
      <c r="B15" s="354"/>
      <c r="C15" s="354"/>
      <c r="D15" s="354">
        <v>13</v>
      </c>
      <c r="E15" s="354">
        <v>26</v>
      </c>
      <c r="G15" s="354"/>
      <c r="H15" s="354"/>
      <c r="I15" s="354">
        <v>41</v>
      </c>
      <c r="J15" s="354">
        <v>59.4</v>
      </c>
      <c r="L15" s="183" t="e">
        <f ca="1"/>
        <v>#NAME?</v>
      </c>
      <c r="M15" s="7" t="e">
        <f ca="1"/>
        <v>#NAME?</v>
      </c>
      <c r="N15" s="43" t="e">
        <f ca="1"/>
        <v>#NAME?</v>
      </c>
      <c r="P15" s="7" t="e">
        <f ca="1"/>
        <v>#NAME?</v>
      </c>
      <c r="Q15" s="7" t="e">
        <f ca="1"/>
        <v>#NAME?</v>
      </c>
      <c r="R15" s="7" t="e">
        <f ca="1"/>
        <v>#NAME?</v>
      </c>
      <c r="W15" s="651" t="e">
        <f ca="1">SQRT(AD11*(1+AB11/(AC11*(COUNTA(W7:W10)-1)))*SUMPRODUCT(X7:X10^2,1/Z7:Z10)/2)</f>
        <v>#NAME?</v>
      </c>
      <c r="X15" s="651" t="e">
        <f ca="1">Y11/W15</f>
        <v>#NAME?</v>
      </c>
      <c r="Y15" s="651">
        <f ca="1">Z11-COUNTA(W7:W10)-1</f>
        <v>133</v>
      </c>
      <c r="Z15" s="651" t="e">
        <f ca="1">QCRIT(COUNTA(W7:W10),Y15,AC13,2)</f>
        <v>#NAME?</v>
      </c>
      <c r="AA15" s="651" t="e">
        <f ca="1">Y11-W15*Z15</f>
        <v>#NAME?</v>
      </c>
      <c r="AB15" s="651" t="e">
        <f ca="1">Y11+W15*Z15</f>
        <v>#NAME?</v>
      </c>
      <c r="AC15" s="651" t="e">
        <f ca="1">QDIST(ABS(X15),COUNTA(W7:W10),Y15)</f>
        <v>#NAME?</v>
      </c>
      <c r="AD15" s="651" t="e">
        <f ca="1">W15*Z15</f>
        <v>#NAME?</v>
      </c>
      <c r="AF15" s="651" t="e">
        <f ca="1">SQRT(INDEX(SSAncova(L3:N38),3)/(AI11-COUNTA(AF7:AF10)-1)*(SUMPRODUCT(AG7:AG10^2,1/AI7:AI10)+AJ11^2/AK11))</f>
        <v>#NAME?</v>
      </c>
      <c r="AG15" s="651" t="e">
        <f ca="1">AH11/AF15</f>
        <v>#NAME?</v>
      </c>
      <c r="AH15" s="651">
        <f ca="1">AI11-COUNTA(AF7:AF10)-1</f>
        <v>133</v>
      </c>
      <c r="AI15" s="651" t="e">
        <f ca="1">TDIST(ABS(AG15),AH15,2)</f>
        <v>#NAME?</v>
      </c>
      <c r="AJ15" s="651">
        <f ca="1">TINV(AL13,AH15)</f>
        <v>1.9779612641677238</v>
      </c>
      <c r="AK15" s="651" t="e">
        <f ca="1">AH11-AF15*AJ15</f>
        <v>#NAME?</v>
      </c>
      <c r="AL15" s="651" t="e">
        <f ca="1">AH11+AF15*AJ15</f>
        <v>#NAME?</v>
      </c>
      <c r="AM15" s="652" t="e">
        <f ca="1">IF(AI15&lt;AL13,"yes","no")</f>
        <v>#NAME?</v>
      </c>
      <c r="AN15" s="651" t="e">
        <f ca="1">SQRT(AG15^2/(AG15^2+AH15))</f>
        <v>#NAME?</v>
      </c>
    </row>
    <row r="16" spans="1:40" x14ac:dyDescent="0.25">
      <c r="A16" t="s">
        <v>6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L16" s="183" t="e">
        <f ca="1"/>
        <v>#NAME?</v>
      </c>
      <c r="M16" s="7" t="e">
        <f ca="1"/>
        <v>#NAME?</v>
      </c>
      <c r="N16" s="43" t="e">
        <f ca="1"/>
        <v>#NAME?</v>
      </c>
      <c r="P16" s="354" t="e">
        <f ca="1"/>
        <v>#NAME?</v>
      </c>
      <c r="Q16" s="354" t="e">
        <f ca="1"/>
        <v>#NAME?</v>
      </c>
      <c r="R16" s="354" t="e">
        <f ca="1"/>
        <v>#NAME?</v>
      </c>
    </row>
    <row r="17" spans="1:17" x14ac:dyDescent="0.25">
      <c r="A17" t="s">
        <v>7</v>
      </c>
      <c r="B17" s="354">
        <f>VAR(B6:B15)</f>
        <v>134.125</v>
      </c>
      <c r="C17" s="354">
        <f>VAR(C6:C15)</f>
        <v>164.78571428571428</v>
      </c>
      <c r="D17" s="354">
        <f>VAR(D6:D15)</f>
        <v>105.65555555555551</v>
      </c>
      <c r="E17" s="354">
        <f>VAR(E6:E15)</f>
        <v>44.844444444444434</v>
      </c>
      <c r="G17" s="354">
        <f>VAR(G6:G15)</f>
        <v>1159.0783928571432</v>
      </c>
      <c r="H17" s="354">
        <f>VAR(H6:H15)</f>
        <v>324.43410714285659</v>
      </c>
      <c r="I17" s="354">
        <f>VAR(I6:I15)</f>
        <v>449.52044444444499</v>
      </c>
      <c r="J17" s="354">
        <f>VAR(J6:J15)</f>
        <v>189.25344444444514</v>
      </c>
      <c r="L17" s="183" t="e">
        <f ca="1"/>
        <v>#NAME?</v>
      </c>
      <c r="M17" s="7" t="e">
        <f ca="1"/>
        <v>#NAME?</v>
      </c>
      <c r="N17" s="43" t="e">
        <f ca="1"/>
        <v>#NAME?</v>
      </c>
    </row>
    <row r="18" spans="1:17" x14ac:dyDescent="0.25">
      <c r="L18" s="183" t="e">
        <f ca="1"/>
        <v>#NAME?</v>
      </c>
      <c r="M18" s="7" t="e">
        <f ca="1"/>
        <v>#NAME?</v>
      </c>
      <c r="N18" s="43" t="e">
        <f ca="1"/>
        <v>#NAME?</v>
      </c>
      <c r="P18" t="s">
        <v>1448</v>
      </c>
    </row>
    <row r="19" spans="1:17" x14ac:dyDescent="0.25">
      <c r="L19" s="183" t="e">
        <f ca="1"/>
        <v>#NAME?</v>
      </c>
      <c r="M19" s="7" t="e">
        <f ca="1"/>
        <v>#NAME?</v>
      </c>
      <c r="N19" s="43" t="e">
        <f ca="1"/>
        <v>#NAME?</v>
      </c>
    </row>
    <row r="20" spans="1:17" x14ac:dyDescent="0.25">
      <c r="L20" s="183" t="e">
        <f ca="1"/>
        <v>#NAME?</v>
      </c>
      <c r="M20" s="7" t="e">
        <f ca="1"/>
        <v>#NAME?</v>
      </c>
      <c r="N20" s="43" t="e">
        <f ca="1"/>
        <v>#NAME?</v>
      </c>
      <c r="P20" t="e">
        <f t="array" aca="1" ref="P20:Q25" ca="1">AncovaParallel(L3:N38,TRUE)</f>
        <v>#NAME?</v>
      </c>
      <c r="Q20" s="671" t="e">
        <f ca="1"/>
        <v>#NAME?</v>
      </c>
    </row>
    <row r="21" spans="1:17" x14ac:dyDescent="0.25">
      <c r="L21" s="183" t="e">
        <f ca="1"/>
        <v>#NAME?</v>
      </c>
      <c r="M21" s="7" t="e">
        <f ca="1"/>
        <v>#NAME?</v>
      </c>
      <c r="N21" s="43" t="e">
        <f ca="1"/>
        <v>#NAME?</v>
      </c>
      <c r="P21" t="e">
        <f ca="1"/>
        <v>#NAME?</v>
      </c>
      <c r="Q21" s="322" t="e">
        <f ca="1"/>
        <v>#NAME?</v>
      </c>
    </row>
    <row r="22" spans="1:17" x14ac:dyDescent="0.25">
      <c r="L22" s="183" t="e">
        <f ca="1"/>
        <v>#NAME?</v>
      </c>
      <c r="M22" s="7" t="e">
        <f ca="1"/>
        <v>#NAME?</v>
      </c>
      <c r="N22" s="43" t="e">
        <f ca="1"/>
        <v>#NAME?</v>
      </c>
      <c r="P22" t="e">
        <f ca="1"/>
        <v>#NAME?</v>
      </c>
      <c r="Q22" s="322" t="e">
        <f ca="1"/>
        <v>#NAME?</v>
      </c>
    </row>
    <row r="23" spans="1:17" x14ac:dyDescent="0.25">
      <c r="L23" s="183" t="e">
        <f ca="1"/>
        <v>#NAME?</v>
      </c>
      <c r="M23" s="7" t="e">
        <f ca="1"/>
        <v>#NAME?</v>
      </c>
      <c r="N23" s="43" t="e">
        <f ca="1"/>
        <v>#NAME?</v>
      </c>
      <c r="P23" t="e">
        <f ca="1"/>
        <v>#NAME?</v>
      </c>
      <c r="Q23" s="322" t="e">
        <f ca="1"/>
        <v>#NAME?</v>
      </c>
    </row>
    <row r="24" spans="1:17" x14ac:dyDescent="0.25">
      <c r="L24" s="183" t="e">
        <f ca="1"/>
        <v>#NAME?</v>
      </c>
      <c r="M24" s="7" t="e">
        <f ca="1"/>
        <v>#NAME?</v>
      </c>
      <c r="N24" s="43" t="e">
        <f ca="1"/>
        <v>#NAME?</v>
      </c>
      <c r="P24" t="e">
        <f ca="1"/>
        <v>#NAME?</v>
      </c>
      <c r="Q24" s="322" t="e">
        <f ca="1"/>
        <v>#NAME?</v>
      </c>
    </row>
    <row r="25" spans="1:17" x14ac:dyDescent="0.25">
      <c r="L25" s="183" t="e">
        <f ca="1"/>
        <v>#NAME?</v>
      </c>
      <c r="M25" s="7" t="e">
        <f ca="1"/>
        <v>#NAME?</v>
      </c>
      <c r="N25" s="43" t="e">
        <f ca="1"/>
        <v>#NAME?</v>
      </c>
      <c r="P25" t="e">
        <f ca="1"/>
        <v>#NAME?</v>
      </c>
      <c r="Q25" s="349" t="e">
        <f ca="1"/>
        <v>#NAME?</v>
      </c>
    </row>
    <row r="26" spans="1:17" x14ac:dyDescent="0.25">
      <c r="L26" s="183" t="e">
        <f ca="1"/>
        <v>#NAME?</v>
      </c>
      <c r="M26" s="7" t="e">
        <f ca="1"/>
        <v>#NAME?</v>
      </c>
      <c r="N26" s="43" t="e">
        <f ca="1"/>
        <v>#NAME?</v>
      </c>
    </row>
    <row r="27" spans="1:17" x14ac:dyDescent="0.25">
      <c r="L27" s="183" t="e">
        <f ca="1"/>
        <v>#NAME?</v>
      </c>
      <c r="M27" s="7" t="e">
        <f ca="1"/>
        <v>#NAME?</v>
      </c>
      <c r="N27" s="43" t="e">
        <f ca="1"/>
        <v>#NAME?</v>
      </c>
    </row>
    <row r="28" spans="1:17" x14ac:dyDescent="0.25">
      <c r="L28" s="183" t="e">
        <f ca="1"/>
        <v>#NAME?</v>
      </c>
      <c r="M28" s="7" t="e">
        <f ca="1"/>
        <v>#NAME?</v>
      </c>
      <c r="N28" s="43" t="e">
        <f ca="1"/>
        <v>#NAME?</v>
      </c>
    </row>
    <row r="29" spans="1:17" x14ac:dyDescent="0.25">
      <c r="L29" s="183" t="e">
        <f ca="1"/>
        <v>#NAME?</v>
      </c>
      <c r="M29" s="7" t="e">
        <f ca="1"/>
        <v>#NAME?</v>
      </c>
      <c r="N29" s="43" t="e">
        <f ca="1"/>
        <v>#NAME?</v>
      </c>
    </row>
    <row r="30" spans="1:17" x14ac:dyDescent="0.25">
      <c r="L30" s="183" t="e">
        <f ca="1"/>
        <v>#NAME?</v>
      </c>
      <c r="M30" s="7" t="e">
        <f ca="1"/>
        <v>#NAME?</v>
      </c>
      <c r="N30" s="43" t="e">
        <f ca="1"/>
        <v>#NAME?</v>
      </c>
    </row>
    <row r="31" spans="1:17" x14ac:dyDescent="0.25">
      <c r="L31" s="183" t="e">
        <f ca="1"/>
        <v>#NAME?</v>
      </c>
      <c r="M31" s="7" t="e">
        <f ca="1"/>
        <v>#NAME?</v>
      </c>
      <c r="N31" s="43" t="e">
        <f ca="1"/>
        <v>#NAME?</v>
      </c>
    </row>
    <row r="32" spans="1:17" x14ac:dyDescent="0.25">
      <c r="L32" s="183" t="e">
        <f ca="1"/>
        <v>#NAME?</v>
      </c>
      <c r="M32" s="7" t="e">
        <f ca="1"/>
        <v>#NAME?</v>
      </c>
      <c r="N32" s="43" t="e">
        <f ca="1"/>
        <v>#NAME?</v>
      </c>
    </row>
    <row r="33" spans="12:14" x14ac:dyDescent="0.25">
      <c r="L33" s="183" t="e">
        <f ca="1"/>
        <v>#NAME?</v>
      </c>
      <c r="M33" s="7" t="e">
        <f ca="1"/>
        <v>#NAME?</v>
      </c>
      <c r="N33" s="43" t="e">
        <f ca="1"/>
        <v>#NAME?</v>
      </c>
    </row>
    <row r="34" spans="12:14" x14ac:dyDescent="0.25">
      <c r="L34" s="183" t="e">
        <f ca="1"/>
        <v>#NAME?</v>
      </c>
      <c r="M34" s="7" t="e">
        <f ca="1"/>
        <v>#NAME?</v>
      </c>
      <c r="N34" s="43" t="e">
        <f ca="1"/>
        <v>#NAME?</v>
      </c>
    </row>
    <row r="35" spans="12:14" x14ac:dyDescent="0.25">
      <c r="L35" s="183" t="e">
        <f ca="1"/>
        <v>#NAME?</v>
      </c>
      <c r="M35" s="7" t="e">
        <f ca="1"/>
        <v>#NAME?</v>
      </c>
      <c r="N35" s="43" t="e">
        <f ca="1"/>
        <v>#NAME?</v>
      </c>
    </row>
    <row r="36" spans="12:14" x14ac:dyDescent="0.25">
      <c r="L36" s="183" t="e">
        <f ca="1"/>
        <v>#NAME?</v>
      </c>
      <c r="M36" s="7" t="e">
        <f ca="1"/>
        <v>#NAME?</v>
      </c>
      <c r="N36" s="43" t="e">
        <f ca="1"/>
        <v>#NAME?</v>
      </c>
    </row>
    <row r="37" spans="12:14" x14ac:dyDescent="0.25">
      <c r="L37" s="183" t="e">
        <f ca="1"/>
        <v>#NAME?</v>
      </c>
      <c r="M37" s="7" t="e">
        <f ca="1"/>
        <v>#NAME?</v>
      </c>
      <c r="N37" s="43" t="e">
        <f ca="1"/>
        <v>#NAME?</v>
      </c>
    </row>
    <row r="38" spans="12:14" x14ac:dyDescent="0.25">
      <c r="L38" s="351" t="e">
        <f ca="1"/>
        <v>#NAME?</v>
      </c>
      <c r="M38" s="352" t="e">
        <f ca="1"/>
        <v>#NAME?</v>
      </c>
      <c r="N38" s="353" t="e">
        <f ca="1"/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F49"/>
  <sheetViews>
    <sheetView workbookViewId="0"/>
  </sheetViews>
  <sheetFormatPr defaultRowHeight="15" x14ac:dyDescent="0.25"/>
  <cols>
    <col min="1" max="5" width="7.140625" customWidth="1"/>
    <col min="7" max="7" width="17.7109375" customWidth="1"/>
    <col min="24" max="24" width="16.85546875" customWidth="1"/>
  </cols>
  <sheetData>
    <row r="1" spans="1:32" x14ac:dyDescent="0.25">
      <c r="A1" s="1" t="s">
        <v>1436</v>
      </c>
      <c r="G1" t="s">
        <v>158</v>
      </c>
      <c r="X1" t="s">
        <v>151</v>
      </c>
    </row>
    <row r="2" spans="1:32" x14ac:dyDescent="0.25">
      <c r="O2" t="s">
        <v>1437</v>
      </c>
    </row>
    <row r="3" spans="1:32" ht="15.75" thickBot="1" x14ac:dyDescent="0.3">
      <c r="B3" s="773" t="s">
        <v>369</v>
      </c>
      <c r="C3" s="773"/>
      <c r="D3" s="773"/>
      <c r="E3" s="773"/>
      <c r="G3" t="s">
        <v>43</v>
      </c>
      <c r="X3" t="s">
        <v>152</v>
      </c>
      <c r="AC3" t="s">
        <v>18</v>
      </c>
      <c r="AD3">
        <v>0.05</v>
      </c>
    </row>
    <row r="4" spans="1:32" ht="15.75" thickTop="1" x14ac:dyDescent="0.25">
      <c r="A4" s="672" t="s">
        <v>370</v>
      </c>
      <c r="B4" s="672" t="s">
        <v>109</v>
      </c>
      <c r="C4" s="672" t="s">
        <v>95</v>
      </c>
      <c r="D4" s="672" t="s">
        <v>96</v>
      </c>
      <c r="E4" s="672" t="s">
        <v>97</v>
      </c>
      <c r="G4" s="675" t="s">
        <v>53</v>
      </c>
      <c r="H4" s="675" t="s">
        <v>12</v>
      </c>
      <c r="I4" s="675" t="s">
        <v>11</v>
      </c>
      <c r="J4" s="675" t="s">
        <v>159</v>
      </c>
      <c r="K4" s="675" t="s">
        <v>54</v>
      </c>
      <c r="O4" s="672">
        <v>1</v>
      </c>
      <c r="P4" s="672">
        <f t="shared" ref="P4:V4" si="0">O4+1</f>
        <v>2</v>
      </c>
      <c r="Q4" s="672">
        <f t="shared" si="0"/>
        <v>3</v>
      </c>
      <c r="R4" s="672">
        <f t="shared" si="0"/>
        <v>4</v>
      </c>
      <c r="S4" s="672">
        <f t="shared" si="0"/>
        <v>5</v>
      </c>
      <c r="T4" s="672">
        <f t="shared" si="0"/>
        <v>6</v>
      </c>
      <c r="U4" s="672">
        <f t="shared" si="0"/>
        <v>7</v>
      </c>
      <c r="V4" s="672">
        <f t="shared" si="0"/>
        <v>8</v>
      </c>
      <c r="X4" s="386" t="s">
        <v>53</v>
      </c>
      <c r="Y4" s="386" t="s">
        <v>12</v>
      </c>
      <c r="Z4" s="386" t="s">
        <v>11</v>
      </c>
      <c r="AA4" s="386" t="s">
        <v>9</v>
      </c>
      <c r="AB4" s="386" t="s">
        <v>54</v>
      </c>
      <c r="AC4" s="386" t="s">
        <v>111</v>
      </c>
      <c r="AD4" s="386" t="s">
        <v>40</v>
      </c>
      <c r="AE4" s="386" t="s">
        <v>135</v>
      </c>
      <c r="AF4" s="386" t="s">
        <v>136</v>
      </c>
    </row>
    <row r="5" spans="1:32" x14ac:dyDescent="0.25">
      <c r="A5" s="672">
        <v>1</v>
      </c>
      <c r="B5" s="676">
        <v>1</v>
      </c>
      <c r="C5" s="677">
        <v>2</v>
      </c>
      <c r="D5" s="677">
        <v>0</v>
      </c>
      <c r="E5" s="678">
        <v>1</v>
      </c>
      <c r="G5" s="16">
        <v>1</v>
      </c>
      <c r="H5" s="16">
        <v>4</v>
      </c>
      <c r="I5" s="16">
        <v>4</v>
      </c>
      <c r="J5" s="16">
        <v>1</v>
      </c>
      <c r="K5" s="16">
        <v>0.66666666666666663</v>
      </c>
      <c r="O5" s="676">
        <v>1</v>
      </c>
      <c r="P5" s="677">
        <v>1</v>
      </c>
      <c r="Q5" s="677">
        <v>3</v>
      </c>
      <c r="R5" s="677">
        <v>6</v>
      </c>
      <c r="S5" s="677">
        <v>6</v>
      </c>
      <c r="T5" s="677">
        <v>7</v>
      </c>
      <c r="U5" s="677">
        <v>8</v>
      </c>
      <c r="V5" s="678">
        <v>9</v>
      </c>
      <c r="X5">
        <f>O4</f>
        <v>1</v>
      </c>
      <c r="Y5">
        <f>COUNT(O5:O8)</f>
        <v>4</v>
      </c>
      <c r="Z5">
        <f>SUM(O5:O8)</f>
        <v>4</v>
      </c>
      <c r="AA5">
        <f>AVERAGE(O5:O8)</f>
        <v>1</v>
      </c>
      <c r="AB5">
        <f>VAR(O5:O8)</f>
        <v>0.66666666666666663</v>
      </c>
      <c r="AC5">
        <f>DEVSQ(O5:O8)</f>
        <v>2</v>
      </c>
      <c r="AD5">
        <f>SQRT(AA17/Y5)</f>
        <v>0.75863089400138017</v>
      </c>
      <c r="AE5">
        <f>AA5-AD5*TINV(AD3,Y5-1)</f>
        <v>-1.4143020856887696</v>
      </c>
      <c r="AF5">
        <f>AA5+AD5*TINV(AD3,Y5-1)</f>
        <v>3.4143020856887696</v>
      </c>
    </row>
    <row r="6" spans="1:32" x14ac:dyDescent="0.25">
      <c r="A6" s="672">
        <f>A5+1</f>
        <v>2</v>
      </c>
      <c r="B6" s="222">
        <v>1</v>
      </c>
      <c r="C6" s="673">
        <v>3</v>
      </c>
      <c r="D6" s="673">
        <v>3</v>
      </c>
      <c r="E6" s="176">
        <v>2</v>
      </c>
      <c r="G6" s="16">
        <v>2</v>
      </c>
      <c r="H6" s="16">
        <v>4</v>
      </c>
      <c r="I6" s="16">
        <v>9</v>
      </c>
      <c r="J6" s="16">
        <v>2.25</v>
      </c>
      <c r="K6" s="16">
        <v>0.91666666666666663</v>
      </c>
      <c r="O6" s="222">
        <v>2</v>
      </c>
      <c r="P6" s="673">
        <v>3</v>
      </c>
      <c r="Q6" s="673">
        <v>8</v>
      </c>
      <c r="R6" s="49">
        <v>4</v>
      </c>
      <c r="S6" s="49">
        <v>5</v>
      </c>
      <c r="T6" s="49">
        <v>5</v>
      </c>
      <c r="U6" s="49">
        <v>7</v>
      </c>
      <c r="V6" s="176">
        <v>9</v>
      </c>
      <c r="X6">
        <f>P4</f>
        <v>2</v>
      </c>
      <c r="Y6">
        <f>COUNT(P5:P8)</f>
        <v>4</v>
      </c>
      <c r="Z6">
        <f>SUM(P5:P8)</f>
        <v>9</v>
      </c>
      <c r="AA6">
        <f>AVERAGE(P5:P8)</f>
        <v>2.25</v>
      </c>
      <c r="AB6">
        <f>VAR(P5:P8)</f>
        <v>0.91666666666666663</v>
      </c>
      <c r="AC6">
        <f>DEVSQ(P5:P8)</f>
        <v>2.75</v>
      </c>
      <c r="AD6">
        <f>SQRT(AA17/Y6)</f>
        <v>0.75863089400138017</v>
      </c>
      <c r="AE6">
        <f>AA6-AD6*TINV(AD3,Y6-1)</f>
        <v>-0.16430208568876958</v>
      </c>
      <c r="AF6">
        <f>AA6+AD6*TINV(AD3,Y6-1)</f>
        <v>4.6643020856887691</v>
      </c>
    </row>
    <row r="7" spans="1:32" x14ac:dyDescent="0.25">
      <c r="A7" s="672">
        <f t="shared" ref="A7:A12" si="1">A6+1</f>
        <v>3</v>
      </c>
      <c r="B7" s="222">
        <v>3</v>
      </c>
      <c r="C7" s="673">
        <v>8</v>
      </c>
      <c r="D7" s="673">
        <v>1</v>
      </c>
      <c r="E7" s="176">
        <v>4</v>
      </c>
      <c r="G7" s="16">
        <v>3</v>
      </c>
      <c r="H7" s="16">
        <v>4</v>
      </c>
      <c r="I7" s="16">
        <v>16</v>
      </c>
      <c r="J7" s="16">
        <v>4</v>
      </c>
      <c r="K7" s="16">
        <v>8.6666666666666661</v>
      </c>
      <c r="O7" s="222">
        <v>0</v>
      </c>
      <c r="P7" s="673">
        <v>3</v>
      </c>
      <c r="Q7" s="673">
        <v>1</v>
      </c>
      <c r="R7" s="49">
        <v>3</v>
      </c>
      <c r="S7" s="49">
        <v>5</v>
      </c>
      <c r="T7" s="49">
        <v>6</v>
      </c>
      <c r="U7" s="49">
        <v>7</v>
      </c>
      <c r="V7" s="176">
        <v>9</v>
      </c>
      <c r="X7">
        <f>Q4</f>
        <v>3</v>
      </c>
      <c r="Y7">
        <f>COUNT(Q5:Q8)</f>
        <v>4</v>
      </c>
      <c r="Z7">
        <f>SUM(Q5:Q8)</f>
        <v>16</v>
      </c>
      <c r="AA7">
        <f>AVERAGE(Q5:Q8)</f>
        <v>4</v>
      </c>
      <c r="AB7">
        <f>VAR(Q5:Q8)</f>
        <v>8.6666666666666661</v>
      </c>
      <c r="AC7">
        <f>DEVSQ(Q5:Q8)</f>
        <v>26</v>
      </c>
      <c r="AD7">
        <f>SQRT(AA17/Y7)</f>
        <v>0.75863089400138017</v>
      </c>
      <c r="AE7">
        <f>AA7-AD7*TINV(AD3,Y7-1)</f>
        <v>1.5856979143112304</v>
      </c>
      <c r="AF7">
        <f>AA7+AD7*TINV(AD3,Y7-1)</f>
        <v>6.4143020856887691</v>
      </c>
    </row>
    <row r="8" spans="1:32" x14ac:dyDescent="0.25">
      <c r="A8" s="672">
        <f t="shared" si="1"/>
        <v>4</v>
      </c>
      <c r="B8" s="222">
        <v>6</v>
      </c>
      <c r="C8" s="49">
        <v>4</v>
      </c>
      <c r="D8" s="49">
        <v>3</v>
      </c>
      <c r="E8" s="176">
        <v>3</v>
      </c>
      <c r="G8" s="16">
        <v>4</v>
      </c>
      <c r="H8" s="16">
        <v>4</v>
      </c>
      <c r="I8" s="16">
        <v>16</v>
      </c>
      <c r="J8" s="16">
        <v>4</v>
      </c>
      <c r="K8" s="16">
        <v>2</v>
      </c>
      <c r="O8" s="139">
        <v>1</v>
      </c>
      <c r="P8" s="674">
        <v>2</v>
      </c>
      <c r="Q8" s="674">
        <v>4</v>
      </c>
      <c r="R8" s="674">
        <v>3</v>
      </c>
      <c r="S8" s="674">
        <v>6</v>
      </c>
      <c r="T8" s="674">
        <v>2</v>
      </c>
      <c r="U8" s="674">
        <v>9</v>
      </c>
      <c r="V8" s="115">
        <v>8</v>
      </c>
      <c r="X8">
        <f>R4</f>
        <v>4</v>
      </c>
      <c r="Y8">
        <f>COUNT(R5:R8)</f>
        <v>4</v>
      </c>
      <c r="Z8">
        <f>SUM(R5:R8)</f>
        <v>16</v>
      </c>
      <c r="AA8">
        <f>AVERAGE(R5:R8)</f>
        <v>4</v>
      </c>
      <c r="AB8">
        <f>VAR(R5:R8)</f>
        <v>2</v>
      </c>
      <c r="AC8">
        <f>DEVSQ(R5:R8)</f>
        <v>6</v>
      </c>
      <c r="AD8">
        <f>SQRT(AA17/Y8)</f>
        <v>0.75863089400138017</v>
      </c>
      <c r="AE8">
        <f>AA8-AD8*TINV(AD3,Y8-1)</f>
        <v>1.5856979143112304</v>
      </c>
      <c r="AF8">
        <f>AA8+AD8*TINV(AD3,Y8-1)</f>
        <v>6.4143020856887691</v>
      </c>
    </row>
    <row r="9" spans="1:32" x14ac:dyDescent="0.25">
      <c r="A9" s="672">
        <f t="shared" si="1"/>
        <v>5</v>
      </c>
      <c r="B9" s="222">
        <v>6</v>
      </c>
      <c r="C9" s="49">
        <v>5</v>
      </c>
      <c r="D9" s="49">
        <v>5</v>
      </c>
      <c r="E9" s="176">
        <v>6</v>
      </c>
      <c r="G9" s="16">
        <v>5</v>
      </c>
      <c r="H9" s="16">
        <v>4</v>
      </c>
      <c r="I9" s="16">
        <v>22</v>
      </c>
      <c r="J9" s="16">
        <v>5.5</v>
      </c>
      <c r="K9" s="16">
        <v>0.33333333333333331</v>
      </c>
      <c r="X9">
        <f>S4</f>
        <v>5</v>
      </c>
      <c r="Y9">
        <f>COUNT(S5:S8)</f>
        <v>4</v>
      </c>
      <c r="Z9">
        <f>SUM(S5:S8)</f>
        <v>22</v>
      </c>
      <c r="AA9">
        <f>AVERAGE(S5:S8)</f>
        <v>5.5</v>
      </c>
      <c r="AB9">
        <f>VAR(S5:S8)</f>
        <v>0.33333333333333331</v>
      </c>
      <c r="AC9">
        <f>DEVSQ(S5:S8)</f>
        <v>1</v>
      </c>
      <c r="AD9">
        <f>SQRT(AA17/Y9)</f>
        <v>0.75863089400138017</v>
      </c>
      <c r="AE9">
        <f>AA9-AD9*TINV(AD3,Y9-1)</f>
        <v>3.0856979143112304</v>
      </c>
      <c r="AF9">
        <f>AA9+AD9*TINV(AD3,Y9-1)</f>
        <v>7.9143020856887691</v>
      </c>
    </row>
    <row r="10" spans="1:32" x14ac:dyDescent="0.25">
      <c r="A10" s="672">
        <f t="shared" si="1"/>
        <v>6</v>
      </c>
      <c r="B10" s="222">
        <v>7</v>
      </c>
      <c r="C10" s="49">
        <v>5</v>
      </c>
      <c r="D10" s="49">
        <v>6</v>
      </c>
      <c r="E10" s="176">
        <v>2</v>
      </c>
      <c r="G10" s="16">
        <v>6</v>
      </c>
      <c r="H10" s="16">
        <v>4</v>
      </c>
      <c r="I10" s="16">
        <v>20</v>
      </c>
      <c r="J10" s="16">
        <v>5</v>
      </c>
      <c r="K10" s="16">
        <v>4.666666666666667</v>
      </c>
      <c r="O10" t="s">
        <v>1438</v>
      </c>
      <c r="X10">
        <f>T4</f>
        <v>6</v>
      </c>
      <c r="Y10">
        <f>COUNT(T5:T8)</f>
        <v>4</v>
      </c>
      <c r="Z10">
        <f>SUM(T5:T8)</f>
        <v>20</v>
      </c>
      <c r="AA10">
        <f>AVERAGE(T5:T8)</f>
        <v>5</v>
      </c>
      <c r="AB10">
        <f>VAR(T5:T8)</f>
        <v>4.666666666666667</v>
      </c>
      <c r="AC10">
        <f>DEVSQ(T5:T8)</f>
        <v>14</v>
      </c>
      <c r="AD10">
        <f>SQRT(AA17/Y10)</f>
        <v>0.75863089400138017</v>
      </c>
      <c r="AE10">
        <f>AA10-AD10*TINV(AD3,Y10-1)</f>
        <v>2.5856979143112304</v>
      </c>
      <c r="AF10">
        <f>AA10+AD10*TINV(AD3,Y10-1)</f>
        <v>7.4143020856887691</v>
      </c>
    </row>
    <row r="11" spans="1:32" x14ac:dyDescent="0.25">
      <c r="A11" s="672">
        <f t="shared" si="1"/>
        <v>7</v>
      </c>
      <c r="B11" s="222">
        <v>8</v>
      </c>
      <c r="C11" s="49">
        <v>7</v>
      </c>
      <c r="D11" s="49">
        <v>7</v>
      </c>
      <c r="E11" s="176">
        <v>9</v>
      </c>
      <c r="G11" s="16">
        <v>7</v>
      </c>
      <c r="H11" s="16">
        <v>4</v>
      </c>
      <c r="I11" s="16">
        <v>31</v>
      </c>
      <c r="J11" s="16">
        <v>7.75</v>
      </c>
      <c r="K11" s="16">
        <v>0.91666666666666663</v>
      </c>
      <c r="X11">
        <f>U4</f>
        <v>7</v>
      </c>
      <c r="Y11">
        <f>COUNT(U5:U8)</f>
        <v>4</v>
      </c>
      <c r="Z11">
        <f>SUM(U5:U8)</f>
        <v>31</v>
      </c>
      <c r="AA11">
        <f>AVERAGE(U5:U8)</f>
        <v>7.75</v>
      </c>
      <c r="AB11">
        <f>VAR(U5:U8)</f>
        <v>0.91666666666666663</v>
      </c>
      <c r="AC11">
        <f>DEVSQ(U5:U8)</f>
        <v>2.75</v>
      </c>
      <c r="AD11">
        <f>SQRT(AA17/Y11)</f>
        <v>0.75863089400138017</v>
      </c>
      <c r="AE11">
        <f>AA11-AD11*TINV(AD3,Y11-1)</f>
        <v>5.3356979143112309</v>
      </c>
      <c r="AF11">
        <f>AA11+AD11*TINV(AD3,Y11-1)</f>
        <v>10.164302085688769</v>
      </c>
    </row>
    <row r="12" spans="1:32" ht="15.75" thickBot="1" x14ac:dyDescent="0.3">
      <c r="A12" s="672">
        <f t="shared" si="1"/>
        <v>8</v>
      </c>
      <c r="B12" s="139">
        <v>9</v>
      </c>
      <c r="C12" s="674">
        <v>9</v>
      </c>
      <c r="D12" s="674">
        <v>9</v>
      </c>
      <c r="E12" s="115">
        <v>8</v>
      </c>
      <c r="G12" s="17">
        <v>8</v>
      </c>
      <c r="H12" s="17">
        <v>4</v>
      </c>
      <c r="I12" s="17">
        <v>35</v>
      </c>
      <c r="J12" s="17">
        <v>8.75</v>
      </c>
      <c r="K12" s="17">
        <v>0.25</v>
      </c>
      <c r="O12" t="s">
        <v>877</v>
      </c>
      <c r="P12" s="258" t="e">
        <f ca="1">(MSBet(O5:V8)-MSW(O5:V8))/(MSBet(O5:V8)+(COUNTA(O5:O8)-1)*MSW(O5:V8))</f>
        <v>#NAME?</v>
      </c>
      <c r="X12">
        <f>V4</f>
        <v>8</v>
      </c>
      <c r="Y12">
        <f>COUNT(V5:V8)</f>
        <v>4</v>
      </c>
      <c r="Z12">
        <f>SUM(V5:V8)</f>
        <v>35</v>
      </c>
      <c r="AA12">
        <f>AVERAGE(V5:V8)</f>
        <v>8.75</v>
      </c>
      <c r="AB12">
        <f>VAR(V5:V8)</f>
        <v>0.25</v>
      </c>
      <c r="AC12">
        <f>DEVSQ(V5:V8)</f>
        <v>0.75</v>
      </c>
      <c r="AD12">
        <f>SQRT(AA17/Y12)</f>
        <v>0.75863089400138017</v>
      </c>
      <c r="AE12">
        <f>AA12-AD12*TINV(AD3,Y12-1)</f>
        <v>6.3356979143112309</v>
      </c>
      <c r="AF12">
        <f>AA12+AD12*TINV(AD3,Y12-1)</f>
        <v>11.164302085688769</v>
      </c>
    </row>
    <row r="13" spans="1:32" x14ac:dyDescent="0.25">
      <c r="X13" s="664"/>
      <c r="Y13" s="664"/>
      <c r="Z13" s="664"/>
      <c r="AA13" s="664"/>
      <c r="AB13" s="664"/>
      <c r="AC13" s="664"/>
      <c r="AD13" s="664"/>
      <c r="AE13" s="664"/>
      <c r="AF13" s="664"/>
    </row>
    <row r="14" spans="1:32" ht="15.75" thickBot="1" x14ac:dyDescent="0.3">
      <c r="O14" s="14" t="s">
        <v>1439</v>
      </c>
      <c r="X14" t="s">
        <v>125</v>
      </c>
    </row>
    <row r="15" spans="1:32" ht="16.5" thickTop="1" thickBot="1" x14ac:dyDescent="0.3">
      <c r="G15" t="s">
        <v>125</v>
      </c>
      <c r="X15" s="386" t="s">
        <v>153</v>
      </c>
      <c r="Y15" s="386" t="s">
        <v>111</v>
      </c>
      <c r="Z15" s="386" t="s">
        <v>41</v>
      </c>
      <c r="AA15" s="386" t="s">
        <v>115</v>
      </c>
      <c r="AB15" s="386" t="s">
        <v>98</v>
      </c>
      <c r="AC15" s="386" t="s">
        <v>154</v>
      </c>
      <c r="AD15" s="386" t="s">
        <v>161</v>
      </c>
      <c r="AE15" s="386" t="s">
        <v>616</v>
      </c>
      <c r="AF15" s="386" t="s">
        <v>617</v>
      </c>
    </row>
    <row r="16" spans="1:32" x14ac:dyDescent="0.25">
      <c r="G16" s="675" t="s">
        <v>160</v>
      </c>
      <c r="H16" s="675" t="s">
        <v>111</v>
      </c>
      <c r="I16" s="675" t="s">
        <v>41</v>
      </c>
      <c r="J16" s="675" t="s">
        <v>115</v>
      </c>
      <c r="K16" s="675" t="s">
        <v>98</v>
      </c>
      <c r="L16" s="675" t="s">
        <v>83</v>
      </c>
      <c r="M16" s="675" t="s">
        <v>161</v>
      </c>
      <c r="O16" t="s">
        <v>1440</v>
      </c>
      <c r="P16" s="574" t="e">
        <f ca="1">MSBet(O5:V8)</f>
        <v>#NAME?</v>
      </c>
      <c r="R16" t="e">
        <f ca="1">FTEXT(P16)</f>
        <v>#NAME?</v>
      </c>
      <c r="X16" t="s">
        <v>156</v>
      </c>
      <c r="Y16">
        <f>Y18-Y17</f>
        <v>188.21875</v>
      </c>
      <c r="Z16">
        <f>COUNTA(X5:X12)-1</f>
        <v>7</v>
      </c>
      <c r="AA16">
        <f>Y16/Z16</f>
        <v>26.888392857142858</v>
      </c>
      <c r="AB16">
        <f>AA16/AA17</f>
        <v>11.680025856496444</v>
      </c>
      <c r="AC16">
        <f>FDIST(AB16,Z16,Z17)</f>
        <v>2.1813509548618397E-6</v>
      </c>
      <c r="AD16">
        <f>FINV(AD3,Z16,Z17)</f>
        <v>2.4226285334209159</v>
      </c>
      <c r="AE16">
        <f>SQRT(DEVSQ(AA5:AA12)/(AA17*Z16))</f>
        <v>1.7088026404837133</v>
      </c>
      <c r="AF16">
        <f>(Y18-Z18*AA17)/(Y18+AA17)</f>
        <v>0.70026277867254383</v>
      </c>
    </row>
    <row r="17" spans="7:32" x14ac:dyDescent="0.25">
      <c r="G17" s="16" t="s">
        <v>156</v>
      </c>
      <c r="H17" s="16">
        <v>188.21875</v>
      </c>
      <c r="I17" s="16">
        <v>7</v>
      </c>
      <c r="J17" s="16">
        <v>26.888392857142858</v>
      </c>
      <c r="K17" s="16">
        <v>11.680025856496444</v>
      </c>
      <c r="L17" s="16">
        <v>2.1813509548618397E-6</v>
      </c>
      <c r="M17" s="16">
        <v>2.4226285334209159</v>
      </c>
      <c r="O17" s="74" t="s">
        <v>162</v>
      </c>
      <c r="P17" s="185" t="e">
        <f ca="1">MSW(O5:V8)</f>
        <v>#NAME?</v>
      </c>
      <c r="R17" t="e">
        <f ca="1">FTEXT(P17)</f>
        <v>#NAME?</v>
      </c>
      <c r="X17" t="s">
        <v>157</v>
      </c>
      <c r="Y17">
        <f>SUM(AC5:AC12)</f>
        <v>55.25</v>
      </c>
      <c r="Z17">
        <f>Z18-Z16</f>
        <v>24</v>
      </c>
      <c r="AA17">
        <f>Y17/Z17</f>
        <v>2.3020833333333335</v>
      </c>
    </row>
    <row r="18" spans="7:32" x14ac:dyDescent="0.25">
      <c r="G18" s="16" t="s">
        <v>157</v>
      </c>
      <c r="H18" s="16">
        <v>55.25</v>
      </c>
      <c r="I18" s="16">
        <v>24</v>
      </c>
      <c r="J18" s="16">
        <v>2.3020833333333335</v>
      </c>
      <c r="K18" s="16"/>
      <c r="L18" s="16"/>
      <c r="M18" s="16"/>
      <c r="O18" t="s">
        <v>38</v>
      </c>
      <c r="P18" s="185">
        <f>COUNTA(O5:O8)</f>
        <v>4</v>
      </c>
      <c r="R18" t="e">
        <f ca="1">FTEXT(P18)</f>
        <v>#NAME?</v>
      </c>
      <c r="X18" s="354" t="s">
        <v>1</v>
      </c>
      <c r="Y18" s="354">
        <f>DEVSQ(O5:V8)</f>
        <v>243.46875</v>
      </c>
      <c r="Z18" s="354">
        <f>COUNT(O5:V8)-1</f>
        <v>31</v>
      </c>
      <c r="AA18" s="354">
        <f>Y18/Z18</f>
        <v>7.85383064516129</v>
      </c>
      <c r="AB18" s="354"/>
      <c r="AC18" s="354"/>
      <c r="AD18" s="354"/>
      <c r="AE18" s="354"/>
      <c r="AF18" s="354"/>
    </row>
    <row r="19" spans="7:32" x14ac:dyDescent="0.25">
      <c r="G19" s="16"/>
      <c r="H19" s="16"/>
      <c r="I19" s="16"/>
      <c r="J19" s="16"/>
      <c r="K19" s="16"/>
      <c r="L19" s="16"/>
      <c r="M19" s="16"/>
      <c r="O19" t="s">
        <v>877</v>
      </c>
      <c r="P19" s="123" t="e">
        <f ca="1">(P16-P17)/(P16+((P18-1)*P17))</f>
        <v>#NAME?</v>
      </c>
      <c r="R19" t="e">
        <f ca="1">FTEXT(P19)</f>
        <v>#NAME?</v>
      </c>
    </row>
    <row r="20" spans="7:32" ht="15.75" thickBot="1" x14ac:dyDescent="0.3">
      <c r="G20" s="17" t="s">
        <v>1</v>
      </c>
      <c r="H20" s="17">
        <v>243.46875</v>
      </c>
      <c r="I20" s="17">
        <v>31</v>
      </c>
      <c r="J20" s="17"/>
      <c r="K20" s="17"/>
      <c r="L20" s="17"/>
      <c r="M20" s="17"/>
    </row>
    <row r="21" spans="7:32" x14ac:dyDescent="0.25">
      <c r="O21" t="s">
        <v>1441</v>
      </c>
    </row>
    <row r="22" spans="7:32" x14ac:dyDescent="0.25">
      <c r="H22" t="s">
        <v>1442</v>
      </c>
      <c r="I22" s="258">
        <f>(J17-J18)/(J17+((H5-1)*J18))</f>
        <v>0.72752091589608103</v>
      </c>
      <c r="K22" t="e">
        <f ca="1">FTEXT(I22)</f>
        <v>#NAME?</v>
      </c>
    </row>
    <row r="23" spans="7:32" x14ac:dyDescent="0.25">
      <c r="O23" t="s">
        <v>70</v>
      </c>
      <c r="P23" s="574">
        <v>0.05</v>
      </c>
    </row>
    <row r="24" spans="7:32" x14ac:dyDescent="0.25">
      <c r="H24" t="s">
        <v>70</v>
      </c>
      <c r="I24" s="574">
        <v>0.05</v>
      </c>
      <c r="O24" t="s">
        <v>38</v>
      </c>
      <c r="P24" s="185">
        <f>P18</f>
        <v>4</v>
      </c>
      <c r="R24" t="e">
        <f t="shared" ref="R24:R32" ca="1" si="2">FTEXT(P24)</f>
        <v>#NAME?</v>
      </c>
    </row>
    <row r="25" spans="7:32" x14ac:dyDescent="0.25">
      <c r="H25" t="s">
        <v>38</v>
      </c>
      <c r="I25" s="185">
        <f>H5</f>
        <v>4</v>
      </c>
      <c r="K25" t="e">
        <f t="shared" ref="K25:K32" ca="1" si="3">FTEXT(I25)</f>
        <v>#NAME?</v>
      </c>
      <c r="O25" t="s">
        <v>17</v>
      </c>
      <c r="P25" s="185">
        <f>COUNTA(O4:V4)</f>
        <v>8</v>
      </c>
      <c r="R25" t="e">
        <f t="shared" ca="1" si="2"/>
        <v>#NAME?</v>
      </c>
    </row>
    <row r="26" spans="7:32" x14ac:dyDescent="0.25">
      <c r="H26" t="s">
        <v>170</v>
      </c>
      <c r="I26" s="185">
        <f>I17</f>
        <v>7</v>
      </c>
      <c r="K26" t="e">
        <f t="shared" ca="1" si="3"/>
        <v>#NAME?</v>
      </c>
      <c r="O26" t="s">
        <v>1443</v>
      </c>
      <c r="P26" s="185">
        <f>P25-1</f>
        <v>7</v>
      </c>
      <c r="R26" t="e">
        <f t="shared" ca="1" si="2"/>
        <v>#NAME?</v>
      </c>
    </row>
    <row r="27" spans="7:32" x14ac:dyDescent="0.25">
      <c r="H27" t="s">
        <v>171</v>
      </c>
      <c r="I27" s="185">
        <f>I18</f>
        <v>24</v>
      </c>
      <c r="K27" t="e">
        <f t="shared" ca="1" si="3"/>
        <v>#NAME?</v>
      </c>
      <c r="O27" t="s">
        <v>1444</v>
      </c>
      <c r="P27" s="185">
        <f>P25*(P24-1)</f>
        <v>24</v>
      </c>
      <c r="R27" t="e">
        <f t="shared" ca="1" si="2"/>
        <v>#NAME?</v>
      </c>
    </row>
    <row r="28" spans="7:32" x14ac:dyDescent="0.25">
      <c r="H28" t="s">
        <v>98</v>
      </c>
      <c r="I28" s="185">
        <f>K17</f>
        <v>11.680025856496444</v>
      </c>
      <c r="K28" t="e">
        <f t="shared" ca="1" si="3"/>
        <v>#NAME?</v>
      </c>
      <c r="O28" t="s">
        <v>98</v>
      </c>
      <c r="P28" s="185" t="b">
        <f ca="1">_xll.ANOVA1(O5:V8)</f>
        <v>0</v>
      </c>
      <c r="R28" t="e">
        <f t="shared" ca="1" si="2"/>
        <v>#NAME?</v>
      </c>
    </row>
    <row r="29" spans="7:32" x14ac:dyDescent="0.25">
      <c r="H29" t="s">
        <v>972</v>
      </c>
      <c r="I29" s="185">
        <f>I28/FINV(I24/2,I26,I27)</f>
        <v>4.0643025185585042</v>
      </c>
      <c r="K29" t="e">
        <f t="shared" ca="1" si="3"/>
        <v>#NAME?</v>
      </c>
      <c r="O29" t="s">
        <v>972</v>
      </c>
      <c r="P29" s="185">
        <f ca="1">P28/FINV(P23/2,P26,P27)</f>
        <v>0</v>
      </c>
      <c r="R29" t="e">
        <f t="shared" ca="1" si="2"/>
        <v>#NAME?</v>
      </c>
    </row>
    <row r="30" spans="7:32" x14ac:dyDescent="0.25">
      <c r="H30" t="s">
        <v>973</v>
      </c>
      <c r="I30" s="185">
        <f>I28*FINV(I24/2,I27,I26)</f>
        <v>51.567303236605973</v>
      </c>
      <c r="K30" t="e">
        <f t="shared" ca="1" si="3"/>
        <v>#NAME?</v>
      </c>
      <c r="O30" t="s">
        <v>973</v>
      </c>
      <c r="P30" s="185">
        <f ca="1">P28*FINV(P23/2,P27,P26)</f>
        <v>0</v>
      </c>
      <c r="R30" t="e">
        <f t="shared" ca="1" si="2"/>
        <v>#NAME?</v>
      </c>
    </row>
    <row r="31" spans="7:32" x14ac:dyDescent="0.25">
      <c r="H31" t="s">
        <v>15</v>
      </c>
      <c r="I31" s="185">
        <f>(I29-1)/(I29+I25-1)</f>
        <v>0.43377283327098881</v>
      </c>
      <c r="K31" t="e">
        <f t="shared" ca="1" si="3"/>
        <v>#NAME?</v>
      </c>
      <c r="O31" t="s">
        <v>15</v>
      </c>
      <c r="P31" s="185">
        <f ca="1">(P29-1)/(P29+P24-1)</f>
        <v>-0.33333333333333331</v>
      </c>
      <c r="R31" t="e">
        <f t="shared" ca="1" si="2"/>
        <v>#NAME?</v>
      </c>
    </row>
    <row r="32" spans="7:32" x14ac:dyDescent="0.25">
      <c r="H32" t="s">
        <v>16</v>
      </c>
      <c r="I32" s="123">
        <f>(I30-1)/(I30+I25-1)</f>
        <v>0.92669602925664396</v>
      </c>
      <c r="K32" t="e">
        <f t="shared" ca="1" si="3"/>
        <v>#NAME?</v>
      </c>
      <c r="O32" t="s">
        <v>16</v>
      </c>
      <c r="P32" s="123">
        <f ca="1">(P30-1)/(P30+P24-1)</f>
        <v>-0.33333333333333331</v>
      </c>
      <c r="R32" t="e">
        <f t="shared" ca="1" si="2"/>
        <v>#NAME?</v>
      </c>
    </row>
    <row r="34" spans="8:11" x14ac:dyDescent="0.25">
      <c r="H34" t="s">
        <v>1445</v>
      </c>
      <c r="I34" s="574">
        <f>(J17-J18)/J17</f>
        <v>0.91438375117604742</v>
      </c>
      <c r="K34" t="e">
        <f ca="1">FTEXT(I34)</f>
        <v>#NAME?</v>
      </c>
    </row>
    <row r="35" spans="8:11" x14ac:dyDescent="0.25">
      <c r="H35" t="s">
        <v>15</v>
      </c>
      <c r="I35" s="185">
        <f>1-1/I29</f>
        <v>0.75395532310063562</v>
      </c>
      <c r="K35" t="e">
        <f ca="1">FTEXT(I35)</f>
        <v>#NAME?</v>
      </c>
    </row>
    <row r="36" spans="8:11" x14ac:dyDescent="0.25">
      <c r="H36" t="s">
        <v>16</v>
      </c>
      <c r="I36" s="123">
        <f>1-1/I30</f>
        <v>0.98060786705460035</v>
      </c>
      <c r="K36" t="e">
        <f ca="1">FTEXT(I36)</f>
        <v>#NAME?</v>
      </c>
    </row>
    <row r="38" spans="8:11" x14ac:dyDescent="0.25">
      <c r="H38" t="s">
        <v>1217</v>
      </c>
    </row>
    <row r="40" spans="8:11" x14ac:dyDescent="0.25">
      <c r="H40" t="s">
        <v>1442</v>
      </c>
      <c r="I40" s="574" t="e">
        <f ca="1">ICC(B5:E12,1,1)</f>
        <v>#NAME?</v>
      </c>
      <c r="K40" t="e">
        <f ca="1">FTEXT(I40)</f>
        <v>#NAME?</v>
      </c>
    </row>
    <row r="41" spans="8:11" x14ac:dyDescent="0.25">
      <c r="H41" t="s">
        <v>1445</v>
      </c>
      <c r="I41" s="123" t="e">
        <f ca="1">ICC(B5:E12,1,4)</f>
        <v>#NAME?</v>
      </c>
      <c r="K41" t="e">
        <f ca="1">FTEXT(I41)</f>
        <v>#NAME?</v>
      </c>
    </row>
    <row r="43" spans="8:11" x14ac:dyDescent="0.25">
      <c r="H43" t="e">
        <f t="array" aca="1" ref="H43:I45" ca="1">ICC(B5:E12,1,1,TRUE)</f>
        <v>#NAME?</v>
      </c>
      <c r="I43" s="574" t="e">
        <f ca="1"/>
        <v>#NAME?</v>
      </c>
      <c r="K43" t="e">
        <f ca="1">FTEXT(I43)</f>
        <v>#NAME?</v>
      </c>
    </row>
    <row r="44" spans="8:11" x14ac:dyDescent="0.25">
      <c r="H44" t="e">
        <f ca="1"/>
        <v>#NAME?</v>
      </c>
      <c r="I44" s="185" t="e">
        <f ca="1"/>
        <v>#NAME?</v>
      </c>
    </row>
    <row r="45" spans="8:11" x14ac:dyDescent="0.25">
      <c r="H45" t="e">
        <f ca="1"/>
        <v>#NAME?</v>
      </c>
      <c r="I45" s="123" t="e">
        <f ca="1"/>
        <v>#NAME?</v>
      </c>
    </row>
    <row r="47" spans="8:11" x14ac:dyDescent="0.25">
      <c r="H47" t="e">
        <f t="array" aca="1" ref="H47:I49" ca="1">ICC(B5:E12,1,4,TRUE)</f>
        <v>#NAME?</v>
      </c>
      <c r="I47" s="574" t="e">
        <f ca="1"/>
        <v>#NAME?</v>
      </c>
      <c r="K47" t="e">
        <f ca="1">FTEXT(I47)</f>
        <v>#NAME?</v>
      </c>
    </row>
    <row r="48" spans="8:11" x14ac:dyDescent="0.25">
      <c r="H48" t="e">
        <f ca="1"/>
        <v>#NAME?</v>
      </c>
      <c r="I48" s="185" t="e">
        <f ca="1"/>
        <v>#NAME?</v>
      </c>
    </row>
    <row r="49" spans="8:9" x14ac:dyDescent="0.25">
      <c r="H49" t="e">
        <f ca="1"/>
        <v>#NAME?</v>
      </c>
      <c r="I49" s="123" t="e">
        <f ca="1"/>
        <v>#NAME?</v>
      </c>
    </row>
  </sheetData>
  <mergeCells count="1">
    <mergeCell ref="B3:E3"/>
  </mergeCells>
  <pageMargins left="0.7" right="0.7" top="0.75" bottom="0.75" header="0.3" footer="0.3"/>
  <ignoredErrors>
    <ignoredError sqref="P18" formulaRange="1"/>
  </ignoredError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G14"/>
  <sheetViews>
    <sheetView workbookViewId="0"/>
  </sheetViews>
  <sheetFormatPr defaultRowHeight="15" x14ac:dyDescent="0.25"/>
  <sheetData>
    <row r="1" spans="1:7" x14ac:dyDescent="0.25">
      <c r="A1" s="1" t="s">
        <v>1241</v>
      </c>
    </row>
    <row r="3" spans="1:7" x14ac:dyDescent="0.25">
      <c r="A3" t="s">
        <v>17</v>
      </c>
      <c r="B3" s="418">
        <v>50</v>
      </c>
      <c r="C3" s="416">
        <v>100</v>
      </c>
      <c r="D3" s="419">
        <v>100</v>
      </c>
      <c r="F3" t="s">
        <v>1242</v>
      </c>
      <c r="G3" s="524">
        <v>0.2</v>
      </c>
    </row>
    <row r="4" spans="1:7" x14ac:dyDescent="0.25">
      <c r="A4" t="s">
        <v>38</v>
      </c>
      <c r="B4" s="214">
        <v>5</v>
      </c>
      <c r="C4" s="7">
        <v>10</v>
      </c>
      <c r="D4" s="215">
        <v>20</v>
      </c>
      <c r="F4" t="s">
        <v>1243</v>
      </c>
      <c r="G4" s="185">
        <v>0.3</v>
      </c>
    </row>
    <row r="5" spans="1:7" x14ac:dyDescent="0.25">
      <c r="A5" t="s">
        <v>170</v>
      </c>
      <c r="B5" s="214">
        <f>B3-1</f>
        <v>49</v>
      </c>
      <c r="C5" s="7">
        <f>C3-1</f>
        <v>99</v>
      </c>
      <c r="D5" s="215">
        <f>D3-1</f>
        <v>99</v>
      </c>
      <c r="F5" t="s">
        <v>38</v>
      </c>
      <c r="G5" s="185">
        <v>5</v>
      </c>
    </row>
    <row r="6" spans="1:7" x14ac:dyDescent="0.25">
      <c r="A6" t="s">
        <v>171</v>
      </c>
      <c r="B6" s="214">
        <f>B3*(B4-1)</f>
        <v>200</v>
      </c>
      <c r="C6" s="7">
        <f>C3*(C4-1)</f>
        <v>900</v>
      </c>
      <c r="D6" s="215">
        <f>D3*(D4-1)</f>
        <v>1900</v>
      </c>
      <c r="F6" t="s">
        <v>1118</v>
      </c>
      <c r="G6" s="185">
        <v>0.95</v>
      </c>
    </row>
    <row r="7" spans="1:7" x14ac:dyDescent="0.25">
      <c r="A7" t="s">
        <v>70</v>
      </c>
      <c r="B7" s="214">
        <v>0.05</v>
      </c>
      <c r="C7" s="7">
        <v>0.05</v>
      </c>
      <c r="D7" s="215">
        <v>0.05</v>
      </c>
      <c r="F7" t="s">
        <v>70</v>
      </c>
      <c r="G7" s="185">
        <v>0.05</v>
      </c>
    </row>
    <row r="8" spans="1:7" x14ac:dyDescent="0.25">
      <c r="A8" t="s">
        <v>1242</v>
      </c>
      <c r="B8" s="214">
        <v>0.2</v>
      </c>
      <c r="C8" s="7">
        <v>0.2</v>
      </c>
      <c r="D8" s="215">
        <v>0.2</v>
      </c>
      <c r="F8" t="s">
        <v>17</v>
      </c>
      <c r="G8" s="123" t="e">
        <f ca="1">ICC_SIZE(G3,G4,G5,G6,G7)</f>
        <v>#NAME?</v>
      </c>
    </row>
    <row r="9" spans="1:7" x14ac:dyDescent="0.25">
      <c r="A9" t="s">
        <v>1243</v>
      </c>
      <c r="B9" s="214">
        <v>0.3</v>
      </c>
      <c r="C9" s="7">
        <v>0.3</v>
      </c>
      <c r="D9" s="215">
        <v>0.3</v>
      </c>
    </row>
    <row r="10" spans="1:7" x14ac:dyDescent="0.25">
      <c r="A10" t="s">
        <v>27</v>
      </c>
      <c r="B10" s="214">
        <f>(1+B4*B8/(1-B8))/(1+B4*B9/(1-B9))</f>
        <v>0.71590909090909094</v>
      </c>
      <c r="C10" s="7">
        <f>(1+C4*C8/(1-C8))/(1+C4*C9/(1-C9))</f>
        <v>0.66216216216216217</v>
      </c>
      <c r="D10" s="215">
        <f>(1+D4*D8/(1-D8))/(1+D4*D9/(1-D9))</f>
        <v>0.62686567164179108</v>
      </c>
    </row>
    <row r="11" spans="1:7" x14ac:dyDescent="0.25">
      <c r="A11" t="s">
        <v>119</v>
      </c>
      <c r="B11" s="214">
        <f>FINV(B7,B5,B6)</f>
        <v>1.4180510679425447</v>
      </c>
      <c r="C11" s="7">
        <f>FINV(C7,C5,C6)</f>
        <v>1.2625626897379845</v>
      </c>
      <c r="D11" s="215">
        <f>FINV(D7,D5,D6)</f>
        <v>1.2532266035881876</v>
      </c>
    </row>
    <row r="12" spans="1:7" x14ac:dyDescent="0.25">
      <c r="A12" t="s">
        <v>1118</v>
      </c>
      <c r="B12" s="112">
        <f>FDIST(B10*B11,B5,B6)</f>
        <v>0.45522270324893632</v>
      </c>
      <c r="C12" s="354">
        <f>FDIST(C10*C11,C5,C6)</f>
        <v>0.87006932216253641</v>
      </c>
      <c r="D12" s="120">
        <f>FDIST(D10*D11,D5,D6)</f>
        <v>0.93966710976513512</v>
      </c>
    </row>
    <row r="14" spans="1:7" x14ac:dyDescent="0.25">
      <c r="A14" t="s">
        <v>1118</v>
      </c>
      <c r="B14" s="275" t="e">
        <f ca="1">ICC_POWER(B8,B9,B3,B4,B7)</f>
        <v>#NAME?</v>
      </c>
      <c r="C14" s="263" t="e">
        <f ca="1">ICC_POWER(C8,C9,C3,C4,C7)</f>
        <v>#NAME?</v>
      </c>
      <c r="D14" s="276" t="e">
        <f ca="1">ICC_POWER(D8,D9,D3,D4,D7)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AG60"/>
  <sheetViews>
    <sheetView workbookViewId="0">
      <selection activeCell="AF1" sqref="AF1"/>
    </sheetView>
  </sheetViews>
  <sheetFormatPr defaultRowHeight="15" x14ac:dyDescent="0.25"/>
  <cols>
    <col min="1" max="1" width="7.85546875" customWidth="1"/>
    <col min="2" max="6" width="5.85546875" customWidth="1"/>
    <col min="7" max="7" width="18.28515625" customWidth="1"/>
    <col min="13" max="14" width="9.140625" customWidth="1"/>
    <col min="29" max="29" width="4.28515625" customWidth="1"/>
    <col min="30" max="30" width="77" customWidth="1"/>
    <col min="32" max="32" width="10.7109375" customWidth="1"/>
  </cols>
  <sheetData>
    <row r="1" spans="1:33" x14ac:dyDescent="0.25">
      <c r="A1" s="1" t="s">
        <v>971</v>
      </c>
      <c r="P1" t="s">
        <v>1122</v>
      </c>
      <c r="AF1" t="s">
        <v>1123</v>
      </c>
    </row>
    <row r="3" spans="1:33" x14ac:dyDescent="0.25">
      <c r="B3" s="773" t="s">
        <v>369</v>
      </c>
      <c r="C3" s="773"/>
      <c r="D3" s="773"/>
      <c r="E3" s="773"/>
      <c r="G3" t="s">
        <v>175</v>
      </c>
      <c r="P3" t="s">
        <v>13</v>
      </c>
      <c r="W3" t="s">
        <v>823</v>
      </c>
      <c r="AF3" t="s">
        <v>1223</v>
      </c>
    </row>
    <row r="4" spans="1:33" ht="15.75" thickBot="1" x14ac:dyDescent="0.3">
      <c r="A4" s="128" t="s">
        <v>370</v>
      </c>
      <c r="B4" s="49" t="s">
        <v>109</v>
      </c>
      <c r="C4" s="128" t="s">
        <v>95</v>
      </c>
      <c r="D4" s="128" t="s">
        <v>96</v>
      </c>
      <c r="E4" s="128" t="s">
        <v>97</v>
      </c>
    </row>
    <row r="5" spans="1:33" ht="15.75" thickBot="1" x14ac:dyDescent="0.3">
      <c r="A5" s="128">
        <v>1</v>
      </c>
      <c r="B5" s="168">
        <v>1</v>
      </c>
      <c r="C5" s="174">
        <v>2</v>
      </c>
      <c r="D5" s="174">
        <v>0</v>
      </c>
      <c r="E5" s="175">
        <v>1</v>
      </c>
      <c r="G5" s="129" t="s">
        <v>43</v>
      </c>
      <c r="H5" s="129" t="s">
        <v>12</v>
      </c>
      <c r="I5" s="129" t="s">
        <v>11</v>
      </c>
      <c r="J5" s="129" t="s">
        <v>159</v>
      </c>
      <c r="K5" s="129" t="s">
        <v>54</v>
      </c>
      <c r="P5" t="s">
        <v>820</v>
      </c>
      <c r="W5" t="s">
        <v>125</v>
      </c>
      <c r="AA5" s="390" t="s">
        <v>18</v>
      </c>
      <c r="AB5" s="390">
        <v>0.05</v>
      </c>
      <c r="AF5" t="s">
        <v>1124</v>
      </c>
      <c r="AG5" s="480">
        <v>2</v>
      </c>
    </row>
    <row r="6" spans="1:33" ht="15.75" thickTop="1" x14ac:dyDescent="0.25">
      <c r="A6" s="128">
        <f>A5+1</f>
        <v>2</v>
      </c>
      <c r="B6" s="57">
        <v>1</v>
      </c>
      <c r="C6" s="38">
        <v>3</v>
      </c>
      <c r="D6" s="38">
        <v>3</v>
      </c>
      <c r="E6" s="176">
        <v>2</v>
      </c>
      <c r="G6" s="16">
        <v>1</v>
      </c>
      <c r="H6" s="16">
        <v>4</v>
      </c>
      <c r="I6" s="16">
        <v>4</v>
      </c>
      <c r="J6" s="16">
        <v>1</v>
      </c>
      <c r="K6" s="16">
        <v>0.66666666666666663</v>
      </c>
      <c r="Q6" s="390" t="str">
        <f>B4</f>
        <v>A</v>
      </c>
      <c r="R6" s="390" t="str">
        <f>C4</f>
        <v>B</v>
      </c>
      <c r="S6" s="390" t="str">
        <f>D4</f>
        <v>C</v>
      </c>
      <c r="T6" s="390" t="str">
        <f>E4</f>
        <v>D</v>
      </c>
      <c r="W6" s="386"/>
      <c r="X6" s="386" t="s">
        <v>111</v>
      </c>
      <c r="Y6" s="386" t="s">
        <v>41</v>
      </c>
      <c r="Z6" s="386" t="s">
        <v>115</v>
      </c>
      <c r="AA6" s="386" t="s">
        <v>98</v>
      </c>
      <c r="AB6" s="386" t="s">
        <v>48</v>
      </c>
      <c r="AC6" s="386" t="s">
        <v>164</v>
      </c>
      <c r="AF6" t="s">
        <v>1125</v>
      </c>
      <c r="AG6" s="322">
        <v>1</v>
      </c>
    </row>
    <row r="7" spans="1:33" x14ac:dyDescent="0.25">
      <c r="A7" s="128">
        <f t="shared" ref="A7:A12" si="0">A6+1</f>
        <v>3</v>
      </c>
      <c r="B7" s="29">
        <v>3</v>
      </c>
      <c r="C7" s="38">
        <v>8</v>
      </c>
      <c r="D7" s="38">
        <v>1</v>
      </c>
      <c r="E7" s="176">
        <v>4</v>
      </c>
      <c r="G7" s="16">
        <v>2</v>
      </c>
      <c r="H7" s="16">
        <v>4</v>
      </c>
      <c r="I7" s="16">
        <v>9</v>
      </c>
      <c r="J7" s="16">
        <v>2.25</v>
      </c>
      <c r="K7" s="16">
        <v>0.91666666666666663</v>
      </c>
      <c r="P7">
        <f t="shared" ref="P7:P14" si="1">A5</f>
        <v>1</v>
      </c>
      <c r="Q7" s="357">
        <f t="shared" ref="Q7:Q14" si="2">COUNT(B5)</f>
        <v>1</v>
      </c>
      <c r="R7" s="358">
        <f t="shared" ref="R7:T14" si="3">COUNT(C5)</f>
        <v>1</v>
      </c>
      <c r="S7" s="358">
        <f t="shared" si="3"/>
        <v>1</v>
      </c>
      <c r="T7" s="359">
        <f t="shared" si="3"/>
        <v>1</v>
      </c>
      <c r="U7">
        <f t="shared" ref="U7:U14" si="4">COUNT(B5:E5)</f>
        <v>4</v>
      </c>
      <c r="W7" t="s">
        <v>99</v>
      </c>
      <c r="X7">
        <f>DEVSQ(U19:U26)*U7</f>
        <v>188.21875</v>
      </c>
      <c r="Y7">
        <f>COUNT(U19:U26)-1</f>
        <v>7</v>
      </c>
      <c r="Z7">
        <f>X7/Y7</f>
        <v>26.888392857142858</v>
      </c>
      <c r="AA7">
        <f>Z7/Z9</f>
        <v>11.7866927592955</v>
      </c>
      <c r="AB7">
        <f>FDIST(AA7,Y7,Y9)</f>
        <v>5.0257154640603623E-6</v>
      </c>
      <c r="AC7" s="390" t="str">
        <f>IF(AB7&lt;AB5,"yes","no")</f>
        <v>yes</v>
      </c>
      <c r="AF7" t="s">
        <v>18</v>
      </c>
      <c r="AG7" s="349">
        <v>0.05</v>
      </c>
    </row>
    <row r="8" spans="1:33" x14ac:dyDescent="0.25">
      <c r="A8" s="128">
        <f t="shared" si="0"/>
        <v>4</v>
      </c>
      <c r="B8" s="29">
        <v>6</v>
      </c>
      <c r="C8" s="38">
        <v>4</v>
      </c>
      <c r="D8" s="38">
        <v>3</v>
      </c>
      <c r="E8" s="176">
        <v>3</v>
      </c>
      <c r="G8" s="16">
        <v>3</v>
      </c>
      <c r="H8" s="16">
        <v>4</v>
      </c>
      <c r="I8" s="16">
        <v>16</v>
      </c>
      <c r="J8" s="16">
        <v>4</v>
      </c>
      <c r="K8" s="16">
        <v>8.6666666666666661</v>
      </c>
      <c r="P8">
        <f t="shared" si="1"/>
        <v>2</v>
      </c>
      <c r="Q8" s="183">
        <f t="shared" si="2"/>
        <v>1</v>
      </c>
      <c r="R8" s="7">
        <f t="shared" si="3"/>
        <v>1</v>
      </c>
      <c r="S8" s="7">
        <f t="shared" si="3"/>
        <v>1</v>
      </c>
      <c r="T8" s="43">
        <f t="shared" si="3"/>
        <v>1</v>
      </c>
      <c r="U8">
        <f t="shared" si="4"/>
        <v>4</v>
      </c>
      <c r="W8" t="s">
        <v>177</v>
      </c>
      <c r="X8">
        <f>DEVSQ(Q27:T27)*Q15</f>
        <v>7.34375</v>
      </c>
      <c r="Y8">
        <f>COUNT(Q27:T27)-1</f>
        <v>3</v>
      </c>
      <c r="Z8">
        <f>X8/Y8</f>
        <v>2.4479166666666665</v>
      </c>
      <c r="AA8">
        <f>Z8/Z9</f>
        <v>1.0730593607305936</v>
      </c>
      <c r="AB8">
        <f>FDIST(AA8,Y8,Y9)</f>
        <v>0.3818394427683251</v>
      </c>
      <c r="AC8" s="390" t="str">
        <f>IF(AB8&lt;AB5,"yes","no")</f>
        <v>no</v>
      </c>
    </row>
    <row r="9" spans="1:33" x14ac:dyDescent="0.25">
      <c r="A9" s="128">
        <f t="shared" si="0"/>
        <v>5</v>
      </c>
      <c r="B9" s="29">
        <v>6</v>
      </c>
      <c r="C9" s="38">
        <v>5</v>
      </c>
      <c r="D9" s="38">
        <v>5</v>
      </c>
      <c r="E9" s="176">
        <v>6</v>
      </c>
      <c r="G9" s="16">
        <v>4</v>
      </c>
      <c r="H9" s="16">
        <v>4</v>
      </c>
      <c r="I9" s="16">
        <v>16</v>
      </c>
      <c r="J9" s="16">
        <v>4</v>
      </c>
      <c r="K9" s="16">
        <v>2</v>
      </c>
      <c r="P9">
        <f t="shared" si="1"/>
        <v>3</v>
      </c>
      <c r="Q9" s="183">
        <f t="shared" si="2"/>
        <v>1</v>
      </c>
      <c r="R9" s="7">
        <f t="shared" si="3"/>
        <v>1</v>
      </c>
      <c r="S9" s="7">
        <f t="shared" si="3"/>
        <v>1</v>
      </c>
      <c r="T9" s="43">
        <f t="shared" si="3"/>
        <v>1</v>
      </c>
      <c r="U9">
        <f t="shared" si="4"/>
        <v>4</v>
      </c>
      <c r="W9" t="s">
        <v>176</v>
      </c>
      <c r="X9">
        <f>X11-X7-X8</f>
        <v>47.90625</v>
      </c>
      <c r="Y9">
        <f>Y8*Y7</f>
        <v>21</v>
      </c>
      <c r="Z9">
        <f>X9/Y9</f>
        <v>2.28125</v>
      </c>
      <c r="AF9" t="e">
        <f t="array" aca="1" ref="AF9:AG11" ca="1">ICC(B5:E12,AG5,AG6,TRUE,AG7)</f>
        <v>#NAME?</v>
      </c>
      <c r="AG9" s="480" t="e">
        <f ca="1"/>
        <v>#NAME?</v>
      </c>
    </row>
    <row r="10" spans="1:33" x14ac:dyDescent="0.25">
      <c r="A10" s="128">
        <f t="shared" si="0"/>
        <v>6</v>
      </c>
      <c r="B10" s="29">
        <v>7</v>
      </c>
      <c r="C10" s="38">
        <v>5</v>
      </c>
      <c r="D10" s="38">
        <v>6</v>
      </c>
      <c r="E10" s="176">
        <v>2</v>
      </c>
      <c r="G10" s="16">
        <v>5</v>
      </c>
      <c r="H10" s="16">
        <v>4</v>
      </c>
      <c r="I10" s="16">
        <v>22</v>
      </c>
      <c r="J10" s="16">
        <v>5.5</v>
      </c>
      <c r="K10" s="16">
        <v>0.33333333333333331</v>
      </c>
      <c r="P10">
        <f t="shared" si="1"/>
        <v>4</v>
      </c>
      <c r="Q10" s="183">
        <f t="shared" si="2"/>
        <v>1</v>
      </c>
      <c r="R10" s="7">
        <f t="shared" si="3"/>
        <v>1</v>
      </c>
      <c r="S10" s="7">
        <f t="shared" si="3"/>
        <v>1</v>
      </c>
      <c r="T10" s="43">
        <f t="shared" si="3"/>
        <v>1</v>
      </c>
      <c r="U10">
        <f t="shared" si="4"/>
        <v>4</v>
      </c>
      <c r="AF10" t="e">
        <f ca="1"/>
        <v>#NAME?</v>
      </c>
      <c r="AG10" s="322" t="e">
        <f ca="1"/>
        <v>#NAME?</v>
      </c>
    </row>
    <row r="11" spans="1:33" x14ac:dyDescent="0.25">
      <c r="A11" s="128">
        <f t="shared" si="0"/>
        <v>7</v>
      </c>
      <c r="B11" s="29">
        <v>8</v>
      </c>
      <c r="C11" s="38">
        <v>7</v>
      </c>
      <c r="D11" s="38">
        <v>7</v>
      </c>
      <c r="E11" s="176">
        <v>9</v>
      </c>
      <c r="G11" s="16">
        <v>6</v>
      </c>
      <c r="H11" s="16">
        <v>4</v>
      </c>
      <c r="I11" s="16">
        <v>20</v>
      </c>
      <c r="J11" s="16">
        <v>5</v>
      </c>
      <c r="K11" s="16">
        <v>4.666666666666667</v>
      </c>
      <c r="P11">
        <f t="shared" si="1"/>
        <v>5</v>
      </c>
      <c r="Q11" s="183">
        <f t="shared" si="2"/>
        <v>1</v>
      </c>
      <c r="R11" s="7">
        <f t="shared" si="3"/>
        <v>1</v>
      </c>
      <c r="S11" s="7">
        <f t="shared" si="3"/>
        <v>1</v>
      </c>
      <c r="T11" s="43">
        <f t="shared" si="3"/>
        <v>1</v>
      </c>
      <c r="U11">
        <f t="shared" si="4"/>
        <v>4</v>
      </c>
      <c r="W11" s="354" t="s">
        <v>1</v>
      </c>
      <c r="X11" s="354">
        <f>Z11*Y11</f>
        <v>243.46875</v>
      </c>
      <c r="Y11" s="354">
        <f>U15-1</f>
        <v>31</v>
      </c>
      <c r="Z11" s="354">
        <f>U39</f>
        <v>7.85383064516129</v>
      </c>
      <c r="AA11" s="354"/>
      <c r="AB11" s="354"/>
      <c r="AC11" s="354"/>
      <c r="AF11" t="e">
        <f ca="1"/>
        <v>#NAME?</v>
      </c>
      <c r="AG11" s="349" t="e">
        <f ca="1"/>
        <v>#NAME?</v>
      </c>
    </row>
    <row r="12" spans="1:33" x14ac:dyDescent="0.25">
      <c r="A12" s="128">
        <f t="shared" si="0"/>
        <v>8</v>
      </c>
      <c r="B12" s="139">
        <v>9</v>
      </c>
      <c r="C12" s="169">
        <v>9</v>
      </c>
      <c r="D12" s="169">
        <v>9</v>
      </c>
      <c r="E12" s="115">
        <v>8</v>
      </c>
      <c r="G12" s="16">
        <v>7</v>
      </c>
      <c r="H12" s="16">
        <v>4</v>
      </c>
      <c r="I12" s="16">
        <v>31</v>
      </c>
      <c r="J12" s="16">
        <v>7.75</v>
      </c>
      <c r="K12" s="16">
        <v>0.91666666666666663</v>
      </c>
      <c r="P12">
        <f t="shared" si="1"/>
        <v>6</v>
      </c>
      <c r="Q12" s="183">
        <f t="shared" si="2"/>
        <v>1</v>
      </c>
      <c r="R12" s="7">
        <f t="shared" si="3"/>
        <v>1</v>
      </c>
      <c r="S12" s="7">
        <f t="shared" si="3"/>
        <v>1</v>
      </c>
      <c r="T12" s="43">
        <f t="shared" si="3"/>
        <v>1</v>
      </c>
      <c r="U12">
        <f t="shared" si="4"/>
        <v>4</v>
      </c>
    </row>
    <row r="13" spans="1:33" x14ac:dyDescent="0.25">
      <c r="G13" s="16">
        <v>8</v>
      </c>
      <c r="H13" s="16">
        <v>4</v>
      </c>
      <c r="I13" s="16">
        <v>35</v>
      </c>
      <c r="J13" s="16">
        <v>8.75</v>
      </c>
      <c r="K13" s="16">
        <v>0.25</v>
      </c>
      <c r="P13">
        <f t="shared" si="1"/>
        <v>7</v>
      </c>
      <c r="Q13" s="183">
        <f t="shared" si="2"/>
        <v>1</v>
      </c>
      <c r="R13" s="7">
        <f t="shared" si="3"/>
        <v>1</v>
      </c>
      <c r="S13" s="7">
        <f t="shared" si="3"/>
        <v>1</v>
      </c>
      <c r="T13" s="43">
        <f t="shared" si="3"/>
        <v>1</v>
      </c>
      <c r="U13">
        <f t="shared" si="4"/>
        <v>4</v>
      </c>
      <c r="W13" t="s">
        <v>877</v>
      </c>
      <c r="Y13" s="258">
        <f>(Z7-Z9)/(Z7+Y8*Z9+(Y8+1)*(Z8-Z9)/(Y7+1))</f>
        <v>0.72768878718535457</v>
      </c>
    </row>
    <row r="14" spans="1:33" x14ac:dyDescent="0.25">
      <c r="G14" s="16"/>
      <c r="H14" s="16"/>
      <c r="I14" s="16"/>
      <c r="J14" s="16"/>
      <c r="K14" s="16"/>
      <c r="P14">
        <f t="shared" si="1"/>
        <v>8</v>
      </c>
      <c r="Q14" s="351">
        <f t="shared" si="2"/>
        <v>1</v>
      </c>
      <c r="R14" s="352">
        <f t="shared" si="3"/>
        <v>1</v>
      </c>
      <c r="S14" s="352">
        <f t="shared" si="3"/>
        <v>1</v>
      </c>
      <c r="T14" s="353">
        <f t="shared" si="3"/>
        <v>1</v>
      </c>
      <c r="U14">
        <f t="shared" si="4"/>
        <v>4</v>
      </c>
    </row>
    <row r="15" spans="1:33" x14ac:dyDescent="0.25">
      <c r="G15" s="16" t="s">
        <v>109</v>
      </c>
      <c r="H15" s="16">
        <v>8</v>
      </c>
      <c r="I15" s="16">
        <v>41</v>
      </c>
      <c r="J15" s="16">
        <v>5.125</v>
      </c>
      <c r="K15" s="16">
        <v>9.5535714285714288</v>
      </c>
      <c r="Q15">
        <f>COUNT(B5:B12)</f>
        <v>8</v>
      </c>
      <c r="R15">
        <f>COUNT(C5:C12)</f>
        <v>8</v>
      </c>
      <c r="S15">
        <f>COUNT(D5:D12)</f>
        <v>8</v>
      </c>
      <c r="T15">
        <f>COUNT(E5:E12)</f>
        <v>8</v>
      </c>
      <c r="U15">
        <f>COUNT(B5:E12)</f>
        <v>32</v>
      </c>
      <c r="AA15" t="s">
        <v>70</v>
      </c>
      <c r="AB15" s="391">
        <v>0.05</v>
      </c>
    </row>
    <row r="16" spans="1:33" x14ac:dyDescent="0.25">
      <c r="G16" s="16" t="s">
        <v>95</v>
      </c>
      <c r="H16" s="16">
        <v>8</v>
      </c>
      <c r="I16" s="16">
        <v>43</v>
      </c>
      <c r="J16" s="16">
        <v>5.375</v>
      </c>
      <c r="K16" s="16">
        <v>5.9821428571428568</v>
      </c>
      <c r="W16" t="s">
        <v>952</v>
      </c>
      <c r="Y16" s="391">
        <f>Z7-Z9</f>
        <v>24.607142857142858</v>
      </c>
      <c r="AA16" s="39" t="s">
        <v>17</v>
      </c>
      <c r="AB16" s="185">
        <f>Y7+1</f>
        <v>8</v>
      </c>
      <c r="AD16" s="14" t="e">
        <f t="shared" ref="AD16:AD24" ca="1" si="5">FTEXT(AB16)</f>
        <v>#NAME?</v>
      </c>
    </row>
    <row r="17" spans="7:30" x14ac:dyDescent="0.25">
      <c r="G17" s="16" t="s">
        <v>96</v>
      </c>
      <c r="H17" s="16">
        <v>8</v>
      </c>
      <c r="I17" s="16">
        <v>34</v>
      </c>
      <c r="J17" s="16">
        <v>4.25</v>
      </c>
      <c r="K17" s="16">
        <v>9.3571428571428577</v>
      </c>
      <c r="P17" t="s">
        <v>179</v>
      </c>
      <c r="W17" t="s">
        <v>953</v>
      </c>
      <c r="Y17" s="185">
        <f>(Y8+1)*Z9</f>
        <v>9.125</v>
      </c>
      <c r="AA17" s="39" t="s">
        <v>38</v>
      </c>
      <c r="AB17" s="185">
        <f>Y8+1</f>
        <v>4</v>
      </c>
      <c r="AD17" s="14" t="e">
        <f t="shared" ca="1" si="5"/>
        <v>#NAME?</v>
      </c>
    </row>
    <row r="18" spans="7:30" ht="15.75" thickBot="1" x14ac:dyDescent="0.3">
      <c r="G18" s="17" t="s">
        <v>97</v>
      </c>
      <c r="H18" s="17">
        <v>8</v>
      </c>
      <c r="I18" s="17">
        <v>35</v>
      </c>
      <c r="J18" s="17">
        <v>4.375</v>
      </c>
      <c r="K18" s="17">
        <v>8.8392857142857135</v>
      </c>
      <c r="Q18" s="390" t="str">
        <f>B4</f>
        <v>A</v>
      </c>
      <c r="R18" s="390" t="str">
        <f>C4</f>
        <v>B</v>
      </c>
      <c r="S18" s="390" t="str">
        <f>D4</f>
        <v>C</v>
      </c>
      <c r="T18" s="390" t="str">
        <f>E4</f>
        <v>D</v>
      </c>
      <c r="W18" t="s">
        <v>954</v>
      </c>
      <c r="Y18" s="185">
        <f>(Y8+1)*(Z8-Z9)/(Y7+1)</f>
        <v>8.3333333333333259E-2</v>
      </c>
      <c r="AA18" t="s">
        <v>788</v>
      </c>
      <c r="AB18" s="185">
        <f>AB16*(1+(AB17-1)*Y13)-AB17*Y13</f>
        <v>22.553775743707089</v>
      </c>
      <c r="AD18" s="14" t="e">
        <f t="shared" ca="1" si="5"/>
        <v>#NAME?</v>
      </c>
    </row>
    <row r="19" spans="7:30" x14ac:dyDescent="0.25">
      <c r="P19">
        <f t="shared" ref="P19:P26" si="6">A5</f>
        <v>1</v>
      </c>
      <c r="Q19" s="357">
        <f t="shared" ref="Q19:Q26" si="7">AVERAGE(B5)</f>
        <v>1</v>
      </c>
      <c r="R19" s="358">
        <f t="shared" ref="R19:T26" si="8">AVERAGE(C5)</f>
        <v>2</v>
      </c>
      <c r="S19" s="358">
        <f t="shared" si="8"/>
        <v>0</v>
      </c>
      <c r="T19" s="359">
        <f t="shared" si="8"/>
        <v>1</v>
      </c>
      <c r="U19">
        <f t="shared" ref="U19:U26" si="9">AVERAGE(B5:E5)</f>
        <v>1</v>
      </c>
      <c r="W19" t="s">
        <v>934</v>
      </c>
      <c r="Y19" s="185">
        <f>SUM(Y16:Y18)</f>
        <v>33.815476190476197</v>
      </c>
      <c r="AA19" t="s">
        <v>955</v>
      </c>
      <c r="AB19" s="185">
        <f>AA8</f>
        <v>1.0730593607305936</v>
      </c>
      <c r="AD19" s="14" t="e">
        <f t="shared" ca="1" si="5"/>
        <v>#NAME?</v>
      </c>
    </row>
    <row r="20" spans="7:30" x14ac:dyDescent="0.25">
      <c r="P20">
        <f t="shared" si="6"/>
        <v>2</v>
      </c>
      <c r="Q20" s="183">
        <f t="shared" si="7"/>
        <v>1</v>
      </c>
      <c r="R20" s="7">
        <f t="shared" si="8"/>
        <v>3</v>
      </c>
      <c r="S20" s="7">
        <f t="shared" si="8"/>
        <v>3</v>
      </c>
      <c r="T20" s="43">
        <f t="shared" si="8"/>
        <v>2</v>
      </c>
      <c r="U20">
        <f t="shared" si="9"/>
        <v>2.25</v>
      </c>
      <c r="W20" t="s">
        <v>877</v>
      </c>
      <c r="Y20" s="123">
        <f>Y16/Y19</f>
        <v>0.72768878718535457</v>
      </c>
      <c r="AA20" t="s">
        <v>956</v>
      </c>
      <c r="AB20" s="185">
        <f>AB17*Z8+(AB16*AB17-AB17-AB16)*Z9</f>
        <v>55.416666666666664</v>
      </c>
      <c r="AD20" s="14" t="e">
        <f t="shared" ca="1" si="5"/>
        <v>#NAME?</v>
      </c>
    </row>
    <row r="21" spans="7:30" ht="15.75" thickBot="1" x14ac:dyDescent="0.3">
      <c r="G21" t="s">
        <v>125</v>
      </c>
      <c r="P21">
        <f t="shared" si="6"/>
        <v>3</v>
      </c>
      <c r="Q21" s="183">
        <f t="shared" si="7"/>
        <v>3</v>
      </c>
      <c r="R21" s="7">
        <f t="shared" si="8"/>
        <v>8</v>
      </c>
      <c r="S21" s="7">
        <f t="shared" si="8"/>
        <v>1</v>
      </c>
      <c r="T21" s="43">
        <f t="shared" si="8"/>
        <v>4</v>
      </c>
      <c r="U21">
        <f t="shared" si="9"/>
        <v>4</v>
      </c>
      <c r="AA21" t="s">
        <v>28</v>
      </c>
      <c r="AB21" s="185">
        <f>(AB17-1)*(AB16-1)*(AB17*Y13*AB19+AB18)^2/((AB16-1)*(AB17*Y13*AB19)^2+AB18^2)</f>
        <v>23.997525280220316</v>
      </c>
      <c r="AD21" s="14" t="e">
        <f t="shared" ca="1" si="5"/>
        <v>#NAME?</v>
      </c>
    </row>
    <row r="22" spans="7:30" x14ac:dyDescent="0.25">
      <c r="G22" s="129" t="s">
        <v>160</v>
      </c>
      <c r="H22" s="129" t="s">
        <v>111</v>
      </c>
      <c r="I22" s="129" t="s">
        <v>41</v>
      </c>
      <c r="J22" s="129" t="s">
        <v>115</v>
      </c>
      <c r="K22" s="129" t="s">
        <v>98</v>
      </c>
      <c r="L22" s="129" t="s">
        <v>83</v>
      </c>
      <c r="M22" s="129" t="s">
        <v>161</v>
      </c>
      <c r="P22">
        <f t="shared" si="6"/>
        <v>4</v>
      </c>
      <c r="Q22" s="183">
        <f t="shared" si="7"/>
        <v>6</v>
      </c>
      <c r="R22" s="7">
        <f t="shared" si="8"/>
        <v>4</v>
      </c>
      <c r="S22" s="7">
        <f t="shared" si="8"/>
        <v>3</v>
      </c>
      <c r="T22" s="43">
        <f t="shared" si="8"/>
        <v>3</v>
      </c>
      <c r="U22">
        <f t="shared" si="9"/>
        <v>4</v>
      </c>
      <c r="AA22" t="s">
        <v>959</v>
      </c>
      <c r="AB22" s="185">
        <f>MAX(1,ROUND(AB21,0))</f>
        <v>24</v>
      </c>
      <c r="AD22" s="14" t="e">
        <f t="shared" ca="1" si="5"/>
        <v>#NAME?</v>
      </c>
    </row>
    <row r="23" spans="7:30" x14ac:dyDescent="0.25">
      <c r="G23" s="16" t="s">
        <v>99</v>
      </c>
      <c r="H23" s="16">
        <v>188.21875</v>
      </c>
      <c r="I23" s="16">
        <v>7</v>
      </c>
      <c r="J23" s="16">
        <v>26.888392857142858</v>
      </c>
      <c r="K23" s="16">
        <v>11.7866927592955</v>
      </c>
      <c r="L23" s="16">
        <v>5.0257154640603623E-6</v>
      </c>
      <c r="M23" s="16">
        <v>2.487577703722041</v>
      </c>
      <c r="P23">
        <f t="shared" si="6"/>
        <v>5</v>
      </c>
      <c r="Q23" s="183">
        <f t="shared" si="7"/>
        <v>6</v>
      </c>
      <c r="R23" s="7">
        <f t="shared" si="8"/>
        <v>5</v>
      </c>
      <c r="S23" s="7">
        <f t="shared" si="8"/>
        <v>5</v>
      </c>
      <c r="T23" s="43">
        <f t="shared" si="8"/>
        <v>6</v>
      </c>
      <c r="U23">
        <f t="shared" si="9"/>
        <v>5.5</v>
      </c>
      <c r="AA23" t="s">
        <v>957</v>
      </c>
      <c r="AB23" s="185">
        <f>FINV(AB15/2,AB16-1,AB22)</f>
        <v>2.8738081880378892</v>
      </c>
      <c r="AD23" s="14" t="e">
        <f t="shared" ca="1" si="5"/>
        <v>#NAME?</v>
      </c>
    </row>
    <row r="24" spans="7:30" x14ac:dyDescent="0.25">
      <c r="G24" s="16" t="s">
        <v>177</v>
      </c>
      <c r="H24" s="16">
        <v>7.34375</v>
      </c>
      <c r="I24" s="16">
        <v>3</v>
      </c>
      <c r="J24" s="16">
        <v>2.4479166666666665</v>
      </c>
      <c r="K24" s="16">
        <v>1.0730593607305936</v>
      </c>
      <c r="L24" s="16">
        <v>0.3818394427683251</v>
      </c>
      <c r="M24" s="16">
        <v>3.0724669863968779</v>
      </c>
      <c r="P24">
        <f t="shared" si="6"/>
        <v>6</v>
      </c>
      <c r="Q24" s="183">
        <f t="shared" si="7"/>
        <v>7</v>
      </c>
      <c r="R24" s="7">
        <f t="shared" si="8"/>
        <v>5</v>
      </c>
      <c r="S24" s="7">
        <f t="shared" si="8"/>
        <v>6</v>
      </c>
      <c r="T24" s="43">
        <f t="shared" si="8"/>
        <v>2</v>
      </c>
      <c r="U24">
        <f t="shared" si="9"/>
        <v>5</v>
      </c>
      <c r="AA24" t="s">
        <v>958</v>
      </c>
      <c r="AB24" s="123">
        <f>FINV(AB15/2,AB22,AB16-1)</f>
        <v>4.4149990650854747</v>
      </c>
      <c r="AD24" s="14" t="e">
        <f t="shared" ca="1" si="5"/>
        <v>#NAME?</v>
      </c>
    </row>
    <row r="25" spans="7:30" x14ac:dyDescent="0.25">
      <c r="G25" s="16" t="s">
        <v>176</v>
      </c>
      <c r="H25" s="16">
        <v>47.90625</v>
      </c>
      <c r="I25" s="16">
        <v>21</v>
      </c>
      <c r="J25" s="16">
        <v>2.28125</v>
      </c>
      <c r="K25" s="16"/>
      <c r="L25" s="16"/>
      <c r="M25" s="16"/>
      <c r="P25">
        <f t="shared" si="6"/>
        <v>7</v>
      </c>
      <c r="Q25" s="183">
        <f t="shared" si="7"/>
        <v>8</v>
      </c>
      <c r="R25" s="7">
        <f t="shared" si="8"/>
        <v>7</v>
      </c>
      <c r="S25" s="7">
        <f t="shared" si="8"/>
        <v>7</v>
      </c>
      <c r="T25" s="43">
        <f t="shared" si="8"/>
        <v>9</v>
      </c>
      <c r="U25">
        <f t="shared" si="9"/>
        <v>7.75</v>
      </c>
      <c r="AD25" s="14"/>
    </row>
    <row r="26" spans="7:30" x14ac:dyDescent="0.25">
      <c r="G26" s="16"/>
      <c r="H26" s="16"/>
      <c r="I26" s="16"/>
      <c r="J26" s="16"/>
      <c r="K26" s="16"/>
      <c r="L26" s="16"/>
      <c r="M26" s="16"/>
      <c r="P26">
        <f t="shared" si="6"/>
        <v>8</v>
      </c>
      <c r="Q26" s="351">
        <f t="shared" si="7"/>
        <v>9</v>
      </c>
      <c r="R26" s="352">
        <f t="shared" si="8"/>
        <v>9</v>
      </c>
      <c r="S26" s="352">
        <f t="shared" si="8"/>
        <v>9</v>
      </c>
      <c r="T26" s="353">
        <f t="shared" si="8"/>
        <v>8</v>
      </c>
      <c r="U26">
        <f t="shared" si="9"/>
        <v>8.75</v>
      </c>
      <c r="AA26" t="s">
        <v>15</v>
      </c>
      <c r="AB26" s="391">
        <f>AB16*(Z7-AB23*Z9)/(AB23*AB20+AB16*Z7)</f>
        <v>0.43449727446116848</v>
      </c>
      <c r="AD26" s="14" t="e">
        <f ca="1">FTEXT(AB26)</f>
        <v>#NAME?</v>
      </c>
    </row>
    <row r="27" spans="7:30" ht="15.75" thickBot="1" x14ac:dyDescent="0.3">
      <c r="G27" s="17" t="s">
        <v>1</v>
      </c>
      <c r="H27" s="17">
        <v>243.46875</v>
      </c>
      <c r="I27" s="17">
        <v>31</v>
      </c>
      <c r="J27" s="17"/>
      <c r="K27" s="17"/>
      <c r="L27" s="17"/>
      <c r="M27" s="17"/>
      <c r="Q27">
        <f>AVERAGE(B5:B12)</f>
        <v>5.125</v>
      </c>
      <c r="R27">
        <f>AVERAGE(C5:C12)</f>
        <v>5.375</v>
      </c>
      <c r="S27">
        <f>AVERAGE(D5:D12)</f>
        <v>4.25</v>
      </c>
      <c r="T27">
        <f>AVERAGE(E5:E12)</f>
        <v>4.375</v>
      </c>
      <c r="U27">
        <f>AVERAGE(B5:E12)</f>
        <v>4.78125</v>
      </c>
      <c r="AA27" t="s">
        <v>16</v>
      </c>
      <c r="AB27" s="123">
        <f>AB16*(AB24*Z7-Z9)/(AB20+AB16*AB24*Z7)</f>
        <v>0.92670818441751546</v>
      </c>
      <c r="AD27" s="14" t="e">
        <f ca="1">FTEXT(AB27)</f>
        <v>#NAME?</v>
      </c>
    </row>
    <row r="28" spans="7:30" x14ac:dyDescent="0.25">
      <c r="AD28" s="14"/>
    </row>
    <row r="29" spans="7:30" x14ac:dyDescent="0.25">
      <c r="G29" t="s">
        <v>803</v>
      </c>
      <c r="I29" s="258">
        <f>(J23-J25)/(J23+I24*J25+(I24+1)*(J24-J25)/(I23+1))</f>
        <v>0.72768878718535457</v>
      </c>
      <c r="P29" t="s">
        <v>821</v>
      </c>
      <c r="AA29" t="s">
        <v>977</v>
      </c>
      <c r="AB29" s="408">
        <f>(Z7-Z9)/(Z7+(Z8-Z9)/(Y7+1))</f>
        <v>0.91445003594536312</v>
      </c>
      <c r="AD29" s="14" t="e">
        <f ca="1">FTEXT(AB29)</f>
        <v>#NAME?</v>
      </c>
    </row>
    <row r="30" spans="7:30" x14ac:dyDescent="0.25">
      <c r="Q30" s="390" t="str">
        <f>B4</f>
        <v>A</v>
      </c>
      <c r="R30" s="390" t="str">
        <f>C4</f>
        <v>B</v>
      </c>
      <c r="S30" s="390" t="str">
        <f>D4</f>
        <v>C</v>
      </c>
      <c r="T30" s="390" t="str">
        <f>E4</f>
        <v>D</v>
      </c>
      <c r="AA30" t="s">
        <v>15</v>
      </c>
      <c r="AB30" s="185">
        <f>AB17*AB26/(1+Y8*AB26)</f>
        <v>0.75450196098018374</v>
      </c>
      <c r="AD30" s="14" t="e">
        <f ca="1">FTEXT(AB30)</f>
        <v>#NAME?</v>
      </c>
    </row>
    <row r="31" spans="7:30" x14ac:dyDescent="0.25">
      <c r="G31" t="s">
        <v>1120</v>
      </c>
      <c r="I31" s="258" t="e">
        <f ca="1">ICC(B5:E12)</f>
        <v>#NAME?</v>
      </c>
      <c r="K31" t="s">
        <v>70</v>
      </c>
      <c r="L31" s="391">
        <v>0.05</v>
      </c>
      <c r="P31">
        <f t="shared" ref="P31:P38" si="10">A5</f>
        <v>1</v>
      </c>
      <c r="Q31" s="357" t="e">
        <f t="shared" ref="Q31:Q38" si="11">VAR(B5)</f>
        <v>#DIV/0!</v>
      </c>
      <c r="R31" s="358" t="e">
        <f t="shared" ref="R31:T38" si="12">VAR(C5)</f>
        <v>#DIV/0!</v>
      </c>
      <c r="S31" s="358" t="e">
        <f t="shared" si="12"/>
        <v>#DIV/0!</v>
      </c>
      <c r="T31" s="359" t="e">
        <f t="shared" si="12"/>
        <v>#DIV/0!</v>
      </c>
      <c r="U31">
        <f t="shared" ref="U31:U38" si="13">VAR(B5:E5)</f>
        <v>0.66666666666666663</v>
      </c>
      <c r="AA31" t="s">
        <v>16</v>
      </c>
      <c r="AB31" s="123">
        <f>AB17*AB27/(1+Y8*AB27)</f>
        <v>0.98061126966850298</v>
      </c>
      <c r="AD31" s="14" t="e">
        <f ca="1">FTEXT(AB31)</f>
        <v>#NAME?</v>
      </c>
    </row>
    <row r="32" spans="7:30" x14ac:dyDescent="0.25">
      <c r="K32" s="39" t="s">
        <v>17</v>
      </c>
      <c r="L32" s="185">
        <f>I23+1</f>
        <v>8</v>
      </c>
      <c r="N32" t="e">
        <f t="shared" ref="N32:N43" ca="1" si="14">FTEXT(L32)</f>
        <v>#NAME?</v>
      </c>
      <c r="P32">
        <f t="shared" si="10"/>
        <v>2</v>
      </c>
      <c r="Q32" s="183" t="e">
        <f t="shared" si="11"/>
        <v>#DIV/0!</v>
      </c>
      <c r="R32" s="7" t="e">
        <f t="shared" si="12"/>
        <v>#DIV/0!</v>
      </c>
      <c r="S32" s="7" t="e">
        <f t="shared" si="12"/>
        <v>#DIV/0!</v>
      </c>
      <c r="T32" s="43" t="e">
        <f t="shared" si="12"/>
        <v>#DIV/0!</v>
      </c>
      <c r="U32">
        <f t="shared" si="13"/>
        <v>0.91666666666666663</v>
      </c>
    </row>
    <row r="33" spans="11:30" x14ac:dyDescent="0.25">
      <c r="K33" s="39" t="s">
        <v>38</v>
      </c>
      <c r="L33" s="185">
        <f>I24+1</f>
        <v>4</v>
      </c>
      <c r="N33" t="e">
        <f t="shared" ca="1" si="14"/>
        <v>#NAME?</v>
      </c>
      <c r="P33">
        <f t="shared" si="10"/>
        <v>3</v>
      </c>
      <c r="Q33" s="183" t="e">
        <f t="shared" si="11"/>
        <v>#DIV/0!</v>
      </c>
      <c r="R33" s="7" t="e">
        <f t="shared" si="12"/>
        <v>#DIV/0!</v>
      </c>
      <c r="S33" s="7" t="e">
        <f t="shared" si="12"/>
        <v>#DIV/0!</v>
      </c>
      <c r="T33" s="43" t="e">
        <f t="shared" si="12"/>
        <v>#DIV/0!</v>
      </c>
      <c r="U33">
        <f t="shared" si="13"/>
        <v>8.6666666666666661</v>
      </c>
      <c r="AA33" t="s">
        <v>1117</v>
      </c>
    </row>
    <row r="34" spans="11:30" x14ac:dyDescent="0.25">
      <c r="K34" t="s">
        <v>788</v>
      </c>
      <c r="L34" s="185">
        <f>L32*(1+(L33-1)*I29)-L33*I29</f>
        <v>22.553775743707089</v>
      </c>
      <c r="N34" t="e">
        <f t="shared" ca="1" si="14"/>
        <v>#NAME?</v>
      </c>
      <c r="P34">
        <f t="shared" si="10"/>
        <v>4</v>
      </c>
      <c r="Q34" s="183" t="e">
        <f t="shared" si="11"/>
        <v>#DIV/0!</v>
      </c>
      <c r="R34" s="7" t="e">
        <f t="shared" si="12"/>
        <v>#DIV/0!</v>
      </c>
      <c r="S34" s="7" t="e">
        <f t="shared" si="12"/>
        <v>#DIV/0!</v>
      </c>
      <c r="T34" s="43" t="e">
        <f t="shared" si="12"/>
        <v>#DIV/0!</v>
      </c>
      <c r="U34">
        <f t="shared" si="13"/>
        <v>2</v>
      </c>
    </row>
    <row r="35" spans="11:30" x14ac:dyDescent="0.25">
      <c r="K35" t="s">
        <v>955</v>
      </c>
      <c r="L35" s="185">
        <f>K24</f>
        <v>1.0730593607305936</v>
      </c>
      <c r="N35" t="e">
        <f t="shared" ca="1" si="14"/>
        <v>#NAME?</v>
      </c>
      <c r="P35">
        <f t="shared" si="10"/>
        <v>5</v>
      </c>
      <c r="Q35" s="183" t="e">
        <f t="shared" si="11"/>
        <v>#DIV/0!</v>
      </c>
      <c r="R35" s="7" t="e">
        <f t="shared" si="12"/>
        <v>#DIV/0!</v>
      </c>
      <c r="S35" s="7" t="e">
        <f t="shared" si="12"/>
        <v>#DIV/0!</v>
      </c>
      <c r="T35" s="43" t="e">
        <f t="shared" si="12"/>
        <v>#DIV/0!</v>
      </c>
      <c r="U35">
        <f t="shared" si="13"/>
        <v>0.33333333333333331</v>
      </c>
      <c r="AA35" t="s">
        <v>987</v>
      </c>
      <c r="AB35" s="408" t="e">
        <f ca="1">ICC(B5:E12,2,1)</f>
        <v>#NAME?</v>
      </c>
      <c r="AD35" s="14" t="s">
        <v>988</v>
      </c>
    </row>
    <row r="36" spans="11:30" x14ac:dyDescent="0.25">
      <c r="K36" t="s">
        <v>956</v>
      </c>
      <c r="L36" s="185">
        <f>L33*J24+(L32*L33-L33-L32)*J25</f>
        <v>55.416666666666664</v>
      </c>
      <c r="N36" t="e">
        <f t="shared" ca="1" si="14"/>
        <v>#NAME?</v>
      </c>
      <c r="P36">
        <f t="shared" si="10"/>
        <v>6</v>
      </c>
      <c r="Q36" s="183" t="e">
        <f t="shared" si="11"/>
        <v>#DIV/0!</v>
      </c>
      <c r="R36" s="7" t="e">
        <f t="shared" si="12"/>
        <v>#DIV/0!</v>
      </c>
      <c r="S36" s="7" t="e">
        <f t="shared" si="12"/>
        <v>#DIV/0!</v>
      </c>
      <c r="T36" s="43" t="e">
        <f t="shared" si="12"/>
        <v>#DIV/0!</v>
      </c>
      <c r="U36">
        <f t="shared" si="13"/>
        <v>4.666666666666667</v>
      </c>
      <c r="AA36" t="s">
        <v>977</v>
      </c>
      <c r="AB36" s="123" t="e">
        <f ca="1">ICC(B5:E12,2,4)</f>
        <v>#NAME?</v>
      </c>
      <c r="AD36" s="14" t="s">
        <v>989</v>
      </c>
    </row>
    <row r="37" spans="11:30" x14ac:dyDescent="0.25">
      <c r="K37" t="s">
        <v>28</v>
      </c>
      <c r="L37" s="185">
        <f>(L33-1)*(L32-1)*(L33*I29*L35+L34)^2/((L32-1)*(L33*I29*L35)^2+L34^2)</f>
        <v>23.997525280220316</v>
      </c>
      <c r="N37" t="e">
        <f t="shared" ca="1" si="14"/>
        <v>#NAME?</v>
      </c>
      <c r="P37">
        <f t="shared" si="10"/>
        <v>7</v>
      </c>
      <c r="Q37" s="183" t="e">
        <f t="shared" si="11"/>
        <v>#DIV/0!</v>
      </c>
      <c r="R37" s="7" t="e">
        <f t="shared" si="12"/>
        <v>#DIV/0!</v>
      </c>
      <c r="S37" s="7" t="e">
        <f t="shared" si="12"/>
        <v>#DIV/0!</v>
      </c>
      <c r="T37" s="43" t="e">
        <f t="shared" si="12"/>
        <v>#DIV/0!</v>
      </c>
      <c r="U37">
        <f t="shared" si="13"/>
        <v>0.91666666666666663</v>
      </c>
    </row>
    <row r="38" spans="11:30" x14ac:dyDescent="0.25">
      <c r="K38" t="s">
        <v>959</v>
      </c>
      <c r="L38" s="185">
        <f>MAX(1,ROUND(L37,0))</f>
        <v>24</v>
      </c>
      <c r="N38" t="e">
        <f t="shared" ca="1" si="14"/>
        <v>#NAME?</v>
      </c>
      <c r="P38">
        <f t="shared" si="10"/>
        <v>8</v>
      </c>
      <c r="Q38" s="351" t="e">
        <f t="shared" si="11"/>
        <v>#DIV/0!</v>
      </c>
      <c r="R38" s="352" t="e">
        <f t="shared" si="12"/>
        <v>#DIV/0!</v>
      </c>
      <c r="S38" s="352" t="e">
        <f t="shared" si="12"/>
        <v>#DIV/0!</v>
      </c>
      <c r="T38" s="353" t="e">
        <f t="shared" si="12"/>
        <v>#DIV/0!</v>
      </c>
      <c r="U38">
        <f t="shared" si="13"/>
        <v>0.25</v>
      </c>
      <c r="AA38" t="e">
        <f t="array" aca="1" ref="AA38:AB40" ca="1">ICC(B5:E12,2,1,TRUE)</f>
        <v>#NAME?</v>
      </c>
      <c r="AB38" s="417" t="e">
        <f ca="1"/>
        <v>#NAME?</v>
      </c>
      <c r="AD38" t="e">
        <f ca="1">FTEXT(AB38)</f>
        <v>#NAME?</v>
      </c>
    </row>
    <row r="39" spans="11:30" x14ac:dyDescent="0.25">
      <c r="K39" t="s">
        <v>957</v>
      </c>
      <c r="L39" s="185">
        <f>FINV(L31/2,L32-1,L38)</f>
        <v>2.8738081880378892</v>
      </c>
      <c r="N39" t="e">
        <f t="shared" ca="1" si="14"/>
        <v>#NAME?</v>
      </c>
      <c r="Q39">
        <f>VAR(B5:B12)</f>
        <v>9.5535714285714288</v>
      </c>
      <c r="R39">
        <f>VAR(C5:C12)</f>
        <v>5.9821428571428568</v>
      </c>
      <c r="S39">
        <f>VAR(D5:D12)</f>
        <v>9.3571428571428577</v>
      </c>
      <c r="T39">
        <f>VAR(E5:E12)</f>
        <v>8.8392857142857135</v>
      </c>
      <c r="U39">
        <f>VAR(B5:E12)</f>
        <v>7.85383064516129</v>
      </c>
      <c r="AA39" t="e">
        <f ca="1"/>
        <v>#NAME?</v>
      </c>
      <c r="AB39" s="185" t="e">
        <f ca="1"/>
        <v>#NAME?</v>
      </c>
    </row>
    <row r="40" spans="11:30" x14ac:dyDescent="0.25">
      <c r="K40" t="s">
        <v>958</v>
      </c>
      <c r="L40" s="123">
        <f>FINV(L31/2,L38,L32-1)</f>
        <v>4.4149990650854747</v>
      </c>
      <c r="N40" t="e">
        <f t="shared" ca="1" si="14"/>
        <v>#NAME?</v>
      </c>
      <c r="AA40" t="e">
        <f ca="1"/>
        <v>#NAME?</v>
      </c>
      <c r="AB40" s="123" t="e">
        <f ca="1"/>
        <v>#NAME?</v>
      </c>
    </row>
    <row r="41" spans="11:30" x14ac:dyDescent="0.25">
      <c r="N41" t="e">
        <f t="shared" ca="1" si="14"/>
        <v>#NAME?</v>
      </c>
    </row>
    <row r="42" spans="11:30" x14ac:dyDescent="0.25">
      <c r="K42" t="s">
        <v>15</v>
      </c>
      <c r="L42" s="391">
        <f>L32*(J23-L39*J25)/(L39*L36+L32*J23)</f>
        <v>0.43449727446116848</v>
      </c>
      <c r="N42" t="e">
        <f t="shared" ca="1" si="14"/>
        <v>#NAME?</v>
      </c>
      <c r="AA42" t="e">
        <f t="array" aca="1" ref="AA42:AB44" ca="1">ICC(B5:E12,2,4,TRUE)</f>
        <v>#NAME?</v>
      </c>
      <c r="AB42" s="417" t="e">
        <f ca="1"/>
        <v>#NAME?</v>
      </c>
      <c r="AD42" t="e">
        <f ca="1">FTEXT(AB42)</f>
        <v>#NAME?</v>
      </c>
    </row>
    <row r="43" spans="11:30" x14ac:dyDescent="0.25">
      <c r="K43" t="s">
        <v>16</v>
      </c>
      <c r="L43" s="123">
        <f>L32*(L40*J23-J25)/(L36+L32*L40*J23)</f>
        <v>0.92670818441751546</v>
      </c>
      <c r="N43" t="e">
        <f t="shared" ca="1" si="14"/>
        <v>#NAME?</v>
      </c>
      <c r="AA43" t="e">
        <f ca="1"/>
        <v>#NAME?</v>
      </c>
      <c r="AB43" s="185" t="e">
        <f ca="1"/>
        <v>#NAME?</v>
      </c>
    </row>
    <row r="44" spans="11:30" x14ac:dyDescent="0.25">
      <c r="AA44" t="e">
        <f ca="1"/>
        <v>#NAME?</v>
      </c>
      <c r="AB44" s="123" t="e">
        <f ca="1"/>
        <v>#NAME?</v>
      </c>
    </row>
    <row r="49" spans="30:30" x14ac:dyDescent="0.25">
      <c r="AD49" s="14" t="e">
        <f t="shared" ref="AD49:AD57" ca="1" si="15">FTEXT(AB49)</f>
        <v>#NAME?</v>
      </c>
    </row>
    <row r="50" spans="30:30" x14ac:dyDescent="0.25">
      <c r="AD50" s="14" t="e">
        <f t="shared" ca="1" si="15"/>
        <v>#NAME?</v>
      </c>
    </row>
    <row r="51" spans="30:30" x14ac:dyDescent="0.25">
      <c r="AD51" s="14" t="e">
        <f t="shared" ca="1" si="15"/>
        <v>#NAME?</v>
      </c>
    </row>
    <row r="52" spans="30:30" x14ac:dyDescent="0.25">
      <c r="AD52" s="14" t="e">
        <f t="shared" ca="1" si="15"/>
        <v>#NAME?</v>
      </c>
    </row>
    <row r="53" spans="30:30" x14ac:dyDescent="0.25">
      <c r="AD53" s="14" t="e">
        <f t="shared" ca="1" si="15"/>
        <v>#NAME?</v>
      </c>
    </row>
    <row r="54" spans="30:30" x14ac:dyDescent="0.25">
      <c r="AD54" s="14" t="e">
        <f t="shared" ca="1" si="15"/>
        <v>#NAME?</v>
      </c>
    </row>
    <row r="55" spans="30:30" x14ac:dyDescent="0.25">
      <c r="AD55" s="14" t="e">
        <f t="shared" ca="1" si="15"/>
        <v>#NAME?</v>
      </c>
    </row>
    <row r="56" spans="30:30" x14ac:dyDescent="0.25">
      <c r="AD56" s="14" t="e">
        <f t="shared" ca="1" si="15"/>
        <v>#NAME?</v>
      </c>
    </row>
    <row r="57" spans="30:30" x14ac:dyDescent="0.25">
      <c r="AD57" s="14" t="e">
        <f t="shared" ca="1" si="15"/>
        <v>#NAME?</v>
      </c>
    </row>
    <row r="58" spans="30:30" x14ac:dyDescent="0.25">
      <c r="AD58" s="14"/>
    </row>
    <row r="59" spans="30:30" x14ac:dyDescent="0.25">
      <c r="AD59" s="14" t="e">
        <f ca="1">FTEXT(AB59)</f>
        <v>#NAME?</v>
      </c>
    </row>
    <row r="60" spans="30:30" x14ac:dyDescent="0.25">
      <c r="AD60" s="14" t="e">
        <f ca="1">FTEXT(AB60)</f>
        <v>#NAME?</v>
      </c>
    </row>
  </sheetData>
  <mergeCells count="1">
    <mergeCell ref="B3:E3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AD58"/>
  <sheetViews>
    <sheetView workbookViewId="0"/>
  </sheetViews>
  <sheetFormatPr defaultRowHeight="15" x14ac:dyDescent="0.25"/>
  <cols>
    <col min="1" max="1" width="7.85546875" customWidth="1"/>
    <col min="2" max="6" width="5.85546875" customWidth="1"/>
    <col min="7" max="7" width="18.28515625" customWidth="1"/>
    <col min="29" max="29" width="4.28515625" customWidth="1"/>
    <col min="30" max="30" width="76.7109375" customWidth="1"/>
  </cols>
  <sheetData>
    <row r="1" spans="1:30" x14ac:dyDescent="0.25">
      <c r="A1" s="1" t="s">
        <v>974</v>
      </c>
      <c r="P1" t="s">
        <v>796</v>
      </c>
    </row>
    <row r="3" spans="1:30" x14ac:dyDescent="0.25">
      <c r="B3" s="773" t="s">
        <v>369</v>
      </c>
      <c r="C3" s="773"/>
      <c r="D3" s="773"/>
      <c r="E3" s="773"/>
      <c r="G3" t="s">
        <v>175</v>
      </c>
      <c r="P3" t="s">
        <v>13</v>
      </c>
      <c r="W3" t="s">
        <v>823</v>
      </c>
    </row>
    <row r="4" spans="1:30" ht="15.75" thickBot="1" x14ac:dyDescent="0.3">
      <c r="A4" s="404" t="s">
        <v>370</v>
      </c>
      <c r="B4" s="49" t="s">
        <v>109</v>
      </c>
      <c r="C4" s="404" t="s">
        <v>95</v>
      </c>
      <c r="D4" s="404" t="s">
        <v>96</v>
      </c>
      <c r="E4" s="404" t="s">
        <v>97</v>
      </c>
    </row>
    <row r="5" spans="1:30" ht="15.75" thickBot="1" x14ac:dyDescent="0.3">
      <c r="A5" s="404">
        <v>1</v>
      </c>
      <c r="B5" s="168">
        <v>1</v>
      </c>
      <c r="C5" s="174">
        <v>2</v>
      </c>
      <c r="D5" s="174">
        <v>0</v>
      </c>
      <c r="E5" s="175">
        <v>1</v>
      </c>
      <c r="G5" s="407" t="s">
        <v>43</v>
      </c>
      <c r="H5" s="407" t="s">
        <v>12</v>
      </c>
      <c r="I5" s="407" t="s">
        <v>11</v>
      </c>
      <c r="J5" s="407" t="s">
        <v>159</v>
      </c>
      <c r="K5" s="407" t="s">
        <v>54</v>
      </c>
      <c r="P5" t="s">
        <v>820</v>
      </c>
      <c r="W5" t="s">
        <v>125</v>
      </c>
      <c r="AA5" s="404" t="s">
        <v>18</v>
      </c>
      <c r="AB5" s="404">
        <v>0.05</v>
      </c>
    </row>
    <row r="6" spans="1:30" ht="15.75" thickTop="1" x14ac:dyDescent="0.25">
      <c r="A6" s="404">
        <f>A5+1</f>
        <v>2</v>
      </c>
      <c r="B6" s="57">
        <v>1</v>
      </c>
      <c r="C6" s="406">
        <v>3</v>
      </c>
      <c r="D6" s="406">
        <v>3</v>
      </c>
      <c r="E6" s="176">
        <v>2</v>
      </c>
      <c r="G6" s="16">
        <v>1</v>
      </c>
      <c r="H6" s="16">
        <v>4</v>
      </c>
      <c r="I6" s="16">
        <v>4</v>
      </c>
      <c r="J6" s="16">
        <v>1</v>
      </c>
      <c r="K6" s="16">
        <v>0.66666666666666663</v>
      </c>
      <c r="Q6" s="404" t="str">
        <f>B4</f>
        <v>A</v>
      </c>
      <c r="R6" s="404" t="str">
        <f>C4</f>
        <v>B</v>
      </c>
      <c r="S6" s="404" t="str">
        <f>D4</f>
        <v>C</v>
      </c>
      <c r="T6" s="404" t="str">
        <f>E4</f>
        <v>D</v>
      </c>
      <c r="W6" s="386"/>
      <c r="X6" s="386" t="s">
        <v>111</v>
      </c>
      <c r="Y6" s="386" t="s">
        <v>41</v>
      </c>
      <c r="Z6" s="386" t="s">
        <v>115</v>
      </c>
      <c r="AA6" s="386" t="s">
        <v>98</v>
      </c>
      <c r="AB6" s="386" t="s">
        <v>48</v>
      </c>
      <c r="AC6" s="386" t="s">
        <v>164</v>
      </c>
    </row>
    <row r="7" spans="1:30" x14ac:dyDescent="0.25">
      <c r="A7" s="404">
        <f t="shared" ref="A7:A12" si="0">A6+1</f>
        <v>3</v>
      </c>
      <c r="B7" s="29">
        <v>3</v>
      </c>
      <c r="C7" s="406">
        <v>8</v>
      </c>
      <c r="D7" s="406">
        <v>1</v>
      </c>
      <c r="E7" s="176">
        <v>4</v>
      </c>
      <c r="G7" s="16">
        <v>2</v>
      </c>
      <c r="H7" s="16">
        <v>4</v>
      </c>
      <c r="I7" s="16">
        <v>9</v>
      </c>
      <c r="J7" s="16">
        <v>2.25</v>
      </c>
      <c r="K7" s="16">
        <v>0.91666666666666663</v>
      </c>
      <c r="P7">
        <f t="shared" ref="P7:P14" si="1">A5</f>
        <v>1</v>
      </c>
      <c r="Q7" s="357">
        <f t="shared" ref="Q7:T14" si="2">COUNT(B5)</f>
        <v>1</v>
      </c>
      <c r="R7" s="358">
        <f t="shared" si="2"/>
        <v>1</v>
      </c>
      <c r="S7" s="358">
        <f t="shared" si="2"/>
        <v>1</v>
      </c>
      <c r="T7" s="359">
        <f t="shared" si="2"/>
        <v>1</v>
      </c>
      <c r="U7">
        <f t="shared" ref="U7:U14" si="3">COUNT(B5:E5)</f>
        <v>4</v>
      </c>
      <c r="W7" t="s">
        <v>99</v>
      </c>
      <c r="X7">
        <f>DEVSQ(U19:U26)*U7</f>
        <v>188.21875</v>
      </c>
      <c r="Y7">
        <f>COUNT(U19:U26)-1</f>
        <v>7</v>
      </c>
      <c r="Z7">
        <f>X7/Y7</f>
        <v>26.888392857142858</v>
      </c>
      <c r="AA7">
        <f>Z7/Z9</f>
        <v>11.7866927592955</v>
      </c>
      <c r="AB7">
        <f>FDIST(AA7,Y7,Y9)</f>
        <v>5.0257154640603623E-6</v>
      </c>
      <c r="AC7" s="404" t="str">
        <f>IF(AB7&lt;AB5,"yes","no")</f>
        <v>yes</v>
      </c>
    </row>
    <row r="8" spans="1:30" x14ac:dyDescent="0.25">
      <c r="A8" s="404">
        <f t="shared" si="0"/>
        <v>4</v>
      </c>
      <c r="B8" s="29">
        <v>6</v>
      </c>
      <c r="C8" s="406">
        <v>4</v>
      </c>
      <c r="D8" s="406">
        <v>3</v>
      </c>
      <c r="E8" s="176">
        <v>3</v>
      </c>
      <c r="G8" s="16">
        <v>3</v>
      </c>
      <c r="H8" s="16">
        <v>4</v>
      </c>
      <c r="I8" s="16">
        <v>16</v>
      </c>
      <c r="J8" s="16">
        <v>4</v>
      </c>
      <c r="K8" s="16">
        <v>8.6666666666666661</v>
      </c>
      <c r="P8">
        <f t="shared" si="1"/>
        <v>2</v>
      </c>
      <c r="Q8" s="183">
        <f t="shared" si="2"/>
        <v>1</v>
      </c>
      <c r="R8" s="7">
        <f t="shared" si="2"/>
        <v>1</v>
      </c>
      <c r="S8" s="7">
        <f t="shared" si="2"/>
        <v>1</v>
      </c>
      <c r="T8" s="43">
        <f t="shared" si="2"/>
        <v>1</v>
      </c>
      <c r="U8">
        <f t="shared" si="3"/>
        <v>4</v>
      </c>
      <c r="W8" t="s">
        <v>177</v>
      </c>
      <c r="X8">
        <f>DEVSQ(Q27:T27)*Q15</f>
        <v>7.34375</v>
      </c>
      <c r="Y8">
        <f>COUNT(Q27:T27)-1</f>
        <v>3</v>
      </c>
      <c r="Z8">
        <f>X8/Y8</f>
        <v>2.4479166666666665</v>
      </c>
      <c r="AA8">
        <f>Z8/Z9</f>
        <v>1.0730593607305936</v>
      </c>
      <c r="AB8">
        <f>FDIST(AA8,Y8,Y9)</f>
        <v>0.3818394427683251</v>
      </c>
      <c r="AC8" s="404" t="str">
        <f>IF(AB8&lt;AB5,"yes","no")</f>
        <v>no</v>
      </c>
    </row>
    <row r="9" spans="1:30" x14ac:dyDescent="0.25">
      <c r="A9" s="404">
        <f t="shared" si="0"/>
        <v>5</v>
      </c>
      <c r="B9" s="29">
        <v>6</v>
      </c>
      <c r="C9" s="406">
        <v>5</v>
      </c>
      <c r="D9" s="406">
        <v>5</v>
      </c>
      <c r="E9" s="176">
        <v>6</v>
      </c>
      <c r="G9" s="16">
        <v>4</v>
      </c>
      <c r="H9" s="16">
        <v>4</v>
      </c>
      <c r="I9" s="16">
        <v>16</v>
      </c>
      <c r="J9" s="16">
        <v>4</v>
      </c>
      <c r="K9" s="16">
        <v>2</v>
      </c>
      <c r="P9">
        <f t="shared" si="1"/>
        <v>3</v>
      </c>
      <c r="Q9" s="183">
        <f t="shared" si="2"/>
        <v>1</v>
      </c>
      <c r="R9" s="7">
        <f t="shared" si="2"/>
        <v>1</v>
      </c>
      <c r="S9" s="7">
        <f t="shared" si="2"/>
        <v>1</v>
      </c>
      <c r="T9" s="43">
        <f t="shared" si="2"/>
        <v>1</v>
      </c>
      <c r="U9">
        <f t="shared" si="3"/>
        <v>4</v>
      </c>
      <c r="W9" t="s">
        <v>176</v>
      </c>
      <c r="X9">
        <f>X11-X7-X8</f>
        <v>47.90625</v>
      </c>
      <c r="Y9">
        <f>Y8*Y7</f>
        <v>21</v>
      </c>
      <c r="Z9">
        <f>X9/Y9</f>
        <v>2.28125</v>
      </c>
    </row>
    <row r="10" spans="1:30" x14ac:dyDescent="0.25">
      <c r="A10" s="404">
        <f t="shared" si="0"/>
        <v>6</v>
      </c>
      <c r="B10" s="29">
        <v>7</v>
      </c>
      <c r="C10" s="406">
        <v>5</v>
      </c>
      <c r="D10" s="406">
        <v>6</v>
      </c>
      <c r="E10" s="176">
        <v>2</v>
      </c>
      <c r="G10" s="16">
        <v>5</v>
      </c>
      <c r="H10" s="16">
        <v>4</v>
      </c>
      <c r="I10" s="16">
        <v>22</v>
      </c>
      <c r="J10" s="16">
        <v>5.5</v>
      </c>
      <c r="K10" s="16">
        <v>0.33333333333333331</v>
      </c>
      <c r="P10">
        <f t="shared" si="1"/>
        <v>4</v>
      </c>
      <c r="Q10" s="183">
        <f t="shared" si="2"/>
        <v>1</v>
      </c>
      <c r="R10" s="7">
        <f t="shared" si="2"/>
        <v>1</v>
      </c>
      <c r="S10" s="7">
        <f t="shared" si="2"/>
        <v>1</v>
      </c>
      <c r="T10" s="43">
        <f t="shared" si="2"/>
        <v>1</v>
      </c>
      <c r="U10">
        <f t="shared" si="3"/>
        <v>4</v>
      </c>
    </row>
    <row r="11" spans="1:30" x14ac:dyDescent="0.25">
      <c r="A11" s="404">
        <f t="shared" si="0"/>
        <v>7</v>
      </c>
      <c r="B11" s="29">
        <v>8</v>
      </c>
      <c r="C11" s="406">
        <v>7</v>
      </c>
      <c r="D11" s="406">
        <v>7</v>
      </c>
      <c r="E11" s="176">
        <v>9</v>
      </c>
      <c r="G11" s="16">
        <v>6</v>
      </c>
      <c r="H11" s="16">
        <v>4</v>
      </c>
      <c r="I11" s="16">
        <v>20</v>
      </c>
      <c r="J11" s="16">
        <v>5</v>
      </c>
      <c r="K11" s="16">
        <v>4.666666666666667</v>
      </c>
      <c r="P11">
        <f t="shared" si="1"/>
        <v>5</v>
      </c>
      <c r="Q11" s="183">
        <f t="shared" si="2"/>
        <v>1</v>
      </c>
      <c r="R11" s="7">
        <f t="shared" si="2"/>
        <v>1</v>
      </c>
      <c r="S11" s="7">
        <f t="shared" si="2"/>
        <v>1</v>
      </c>
      <c r="T11" s="43">
        <f t="shared" si="2"/>
        <v>1</v>
      </c>
      <c r="U11">
        <f t="shared" si="3"/>
        <v>4</v>
      </c>
      <c r="W11" s="354" t="s">
        <v>1</v>
      </c>
      <c r="X11" s="354">
        <f>Z11*Y11</f>
        <v>243.46875</v>
      </c>
      <c r="Y11" s="354">
        <f>U15-1</f>
        <v>31</v>
      </c>
      <c r="Z11" s="354">
        <f>U39</f>
        <v>7.85383064516129</v>
      </c>
      <c r="AA11" s="354"/>
      <c r="AB11" s="354"/>
      <c r="AC11" s="354"/>
    </row>
    <row r="12" spans="1:30" x14ac:dyDescent="0.25">
      <c r="A12" s="404">
        <f t="shared" si="0"/>
        <v>8</v>
      </c>
      <c r="B12" s="139">
        <v>9</v>
      </c>
      <c r="C12" s="405">
        <v>9</v>
      </c>
      <c r="D12" s="405">
        <v>9</v>
      </c>
      <c r="E12" s="115">
        <v>8</v>
      </c>
      <c r="G12" s="16">
        <v>7</v>
      </c>
      <c r="H12" s="16">
        <v>4</v>
      </c>
      <c r="I12" s="16">
        <v>31</v>
      </c>
      <c r="J12" s="16">
        <v>7.75</v>
      </c>
      <c r="K12" s="16">
        <v>0.91666666666666663</v>
      </c>
      <c r="P12">
        <f t="shared" si="1"/>
        <v>6</v>
      </c>
      <c r="Q12" s="183">
        <f t="shared" si="2"/>
        <v>1</v>
      </c>
      <c r="R12" s="7">
        <f t="shared" si="2"/>
        <v>1</v>
      </c>
      <c r="S12" s="7">
        <f t="shared" si="2"/>
        <v>1</v>
      </c>
      <c r="T12" s="43">
        <f t="shared" si="2"/>
        <v>1</v>
      </c>
      <c r="U12">
        <f t="shared" si="3"/>
        <v>4</v>
      </c>
    </row>
    <row r="13" spans="1:30" x14ac:dyDescent="0.25">
      <c r="G13" s="16">
        <v>8</v>
      </c>
      <c r="H13" s="16">
        <v>4</v>
      </c>
      <c r="I13" s="16">
        <v>35</v>
      </c>
      <c r="J13" s="16">
        <v>8.75</v>
      </c>
      <c r="K13" s="16">
        <v>0.25</v>
      </c>
      <c r="P13">
        <f t="shared" si="1"/>
        <v>7</v>
      </c>
      <c r="Q13" s="183">
        <f t="shared" si="2"/>
        <v>1</v>
      </c>
      <c r="R13" s="7">
        <f t="shared" si="2"/>
        <v>1</v>
      </c>
      <c r="S13" s="7">
        <f t="shared" si="2"/>
        <v>1</v>
      </c>
      <c r="T13" s="43">
        <f t="shared" si="2"/>
        <v>1</v>
      </c>
      <c r="U13">
        <f t="shared" si="3"/>
        <v>4</v>
      </c>
      <c r="W13" t="s">
        <v>877</v>
      </c>
      <c r="Y13" s="258">
        <f>(Z7-Z9)/(Z7+Y8*Z9+(Y8+1)*(Z8-Z9)/(Y7+1))</f>
        <v>0.72768878718535457</v>
      </c>
    </row>
    <row r="14" spans="1:30" x14ac:dyDescent="0.25">
      <c r="G14" s="16"/>
      <c r="H14" s="16"/>
      <c r="I14" s="16"/>
      <c r="J14" s="16"/>
      <c r="K14" s="16"/>
      <c r="P14">
        <f t="shared" si="1"/>
        <v>8</v>
      </c>
      <c r="Q14" s="351">
        <f t="shared" si="2"/>
        <v>1</v>
      </c>
      <c r="R14" s="352">
        <f t="shared" si="2"/>
        <v>1</v>
      </c>
      <c r="S14" s="352">
        <f t="shared" si="2"/>
        <v>1</v>
      </c>
      <c r="T14" s="353">
        <f t="shared" si="2"/>
        <v>1</v>
      </c>
      <c r="U14">
        <f t="shared" si="3"/>
        <v>4</v>
      </c>
    </row>
    <row r="15" spans="1:30" x14ac:dyDescent="0.25">
      <c r="G15" s="16" t="s">
        <v>109</v>
      </c>
      <c r="H15" s="16">
        <v>8</v>
      </c>
      <c r="I15" s="16">
        <v>41</v>
      </c>
      <c r="J15" s="16">
        <v>5.125</v>
      </c>
      <c r="K15" s="16">
        <v>9.5535714285714288</v>
      </c>
      <c r="Q15">
        <f>COUNT(B5:B12)</f>
        <v>8</v>
      </c>
      <c r="R15">
        <f>COUNT(C5:C12)</f>
        <v>8</v>
      </c>
      <c r="S15">
        <f>COUNT(D5:D12)</f>
        <v>8</v>
      </c>
      <c r="T15">
        <f>COUNT(E5:E12)</f>
        <v>8</v>
      </c>
      <c r="U15">
        <f>COUNT(B5:E12)</f>
        <v>32</v>
      </c>
      <c r="AA15" t="s">
        <v>70</v>
      </c>
      <c r="AB15" s="391">
        <v>0.05</v>
      </c>
    </row>
    <row r="16" spans="1:30" x14ac:dyDescent="0.25">
      <c r="G16" s="16" t="s">
        <v>95</v>
      </c>
      <c r="H16" s="16">
        <v>8</v>
      </c>
      <c r="I16" s="16">
        <v>43</v>
      </c>
      <c r="J16" s="16">
        <v>5.375</v>
      </c>
      <c r="K16" s="16">
        <v>5.9821428571428568</v>
      </c>
      <c r="W16" t="s">
        <v>952</v>
      </c>
      <c r="Y16" s="391">
        <f>Z7-Z9</f>
        <v>24.607142857142858</v>
      </c>
      <c r="AA16" s="39" t="s">
        <v>17</v>
      </c>
      <c r="AB16" s="185">
        <f>Y7+1</f>
        <v>8</v>
      </c>
      <c r="AD16" s="14" t="s">
        <v>964</v>
      </c>
    </row>
    <row r="17" spans="7:30" x14ac:dyDescent="0.25">
      <c r="G17" s="16" t="s">
        <v>96</v>
      </c>
      <c r="H17" s="16">
        <v>8</v>
      </c>
      <c r="I17" s="16">
        <v>34</v>
      </c>
      <c r="J17" s="16">
        <v>4.25</v>
      </c>
      <c r="K17" s="16">
        <v>9.3571428571428577</v>
      </c>
      <c r="P17" t="s">
        <v>179</v>
      </c>
      <c r="W17" t="s">
        <v>953</v>
      </c>
      <c r="Y17" s="185">
        <f>(Y8+1)*Z9</f>
        <v>9.125</v>
      </c>
      <c r="AA17" s="39" t="s">
        <v>38</v>
      </c>
      <c r="AB17" s="185">
        <f>Y8+1</f>
        <v>4</v>
      </c>
      <c r="AD17" s="14" t="s">
        <v>965</v>
      </c>
    </row>
    <row r="18" spans="7:30" ht="15.75" thickBot="1" x14ac:dyDescent="0.3">
      <c r="G18" s="17" t="s">
        <v>97</v>
      </c>
      <c r="H18" s="17">
        <v>8</v>
      </c>
      <c r="I18" s="17">
        <v>35</v>
      </c>
      <c r="J18" s="17">
        <v>4.375</v>
      </c>
      <c r="K18" s="17">
        <v>8.8392857142857135</v>
      </c>
      <c r="Q18" s="404" t="str">
        <f>B4</f>
        <v>A</v>
      </c>
      <c r="R18" s="404" t="str">
        <f>C4</f>
        <v>B</v>
      </c>
      <c r="S18" s="404" t="str">
        <f>D4</f>
        <v>C</v>
      </c>
      <c r="T18" s="404" t="str">
        <f>E4</f>
        <v>D</v>
      </c>
      <c r="W18" t="s">
        <v>954</v>
      </c>
      <c r="Y18" s="185">
        <f>(Y8+1)*(Z8-Z9)/(Y7+1)</f>
        <v>8.3333333333333259E-2</v>
      </c>
      <c r="AA18" t="s">
        <v>788</v>
      </c>
      <c r="AB18" s="185">
        <f>AB16*(1+(AB17-1)*Y13)-AB17*Y13</f>
        <v>22.553775743707089</v>
      </c>
      <c r="AD18" s="14" t="s">
        <v>967</v>
      </c>
    </row>
    <row r="19" spans="7:30" x14ac:dyDescent="0.25">
      <c r="P19">
        <f t="shared" ref="P19:P26" si="4">A5</f>
        <v>1</v>
      </c>
      <c r="Q19" s="357">
        <f t="shared" ref="Q19:T26" si="5">AVERAGE(B5)</f>
        <v>1</v>
      </c>
      <c r="R19" s="358">
        <f t="shared" si="5"/>
        <v>2</v>
      </c>
      <c r="S19" s="358">
        <f t="shared" si="5"/>
        <v>0</v>
      </c>
      <c r="T19" s="359">
        <f t="shared" si="5"/>
        <v>1</v>
      </c>
      <c r="U19">
        <f t="shared" ref="U19:U26" si="6">AVERAGE(B5:E5)</f>
        <v>1</v>
      </c>
      <c r="W19" t="s">
        <v>934</v>
      </c>
      <c r="Y19" s="185">
        <f>SUM(Y16:Y18)</f>
        <v>33.815476190476197</v>
      </c>
      <c r="AA19" t="s">
        <v>955</v>
      </c>
      <c r="AB19" s="185">
        <f>AA8</f>
        <v>1.0730593607305936</v>
      </c>
      <c r="AD19" s="14" t="s">
        <v>960</v>
      </c>
    </row>
    <row r="20" spans="7:30" x14ac:dyDescent="0.25">
      <c r="P20">
        <f t="shared" si="4"/>
        <v>2</v>
      </c>
      <c r="Q20" s="183">
        <f t="shared" si="5"/>
        <v>1</v>
      </c>
      <c r="R20" s="7">
        <f t="shared" si="5"/>
        <v>3</v>
      </c>
      <c r="S20" s="7">
        <f t="shared" si="5"/>
        <v>3</v>
      </c>
      <c r="T20" s="43">
        <f t="shared" si="5"/>
        <v>2</v>
      </c>
      <c r="U20">
        <f t="shared" si="6"/>
        <v>2.25</v>
      </c>
      <c r="W20" t="s">
        <v>877</v>
      </c>
      <c r="Y20" s="123">
        <f>Y16/Y19</f>
        <v>0.72768878718535457</v>
      </c>
      <c r="AA20" t="s">
        <v>956</v>
      </c>
      <c r="AB20" s="185">
        <f>AB17*Z8+(AB16*AB17-AB17-AB16)*Z9</f>
        <v>55.416666666666664</v>
      </c>
      <c r="AD20" s="14" t="s">
        <v>968</v>
      </c>
    </row>
    <row r="21" spans="7:30" ht="15.75" thickBot="1" x14ac:dyDescent="0.3">
      <c r="G21" t="s">
        <v>125</v>
      </c>
      <c r="P21">
        <f t="shared" si="4"/>
        <v>3</v>
      </c>
      <c r="Q21" s="183">
        <f t="shared" si="5"/>
        <v>3</v>
      </c>
      <c r="R21" s="7">
        <f t="shared" si="5"/>
        <v>8</v>
      </c>
      <c r="S21" s="7">
        <f t="shared" si="5"/>
        <v>1</v>
      </c>
      <c r="T21" s="43">
        <f t="shared" si="5"/>
        <v>4</v>
      </c>
      <c r="U21">
        <f t="shared" si="6"/>
        <v>4</v>
      </c>
      <c r="AA21" t="s">
        <v>28</v>
      </c>
      <c r="AB21" s="185">
        <f>(AB17-1)*(AB16-1)*(AB17*Y13*AB19+AB18)^2/((AB16-1)*(AB17*Y13*AB19)^2+AB18^2)</f>
        <v>23.997525280220316</v>
      </c>
      <c r="AD21" s="14" t="s">
        <v>966</v>
      </c>
    </row>
    <row r="22" spans="7:30" x14ac:dyDescent="0.25">
      <c r="G22" s="407" t="s">
        <v>160</v>
      </c>
      <c r="H22" s="407" t="s">
        <v>111</v>
      </c>
      <c r="I22" s="407" t="s">
        <v>41</v>
      </c>
      <c r="J22" s="407" t="s">
        <v>115</v>
      </c>
      <c r="K22" s="407" t="s">
        <v>98</v>
      </c>
      <c r="L22" s="407" t="s">
        <v>83</v>
      </c>
      <c r="M22" s="407" t="s">
        <v>161</v>
      </c>
      <c r="P22">
        <f t="shared" si="4"/>
        <v>4</v>
      </c>
      <c r="Q22" s="183">
        <f t="shared" si="5"/>
        <v>6</v>
      </c>
      <c r="R22" s="7">
        <f t="shared" si="5"/>
        <v>4</v>
      </c>
      <c r="S22" s="7">
        <f t="shared" si="5"/>
        <v>3</v>
      </c>
      <c r="T22" s="43">
        <f t="shared" si="5"/>
        <v>3</v>
      </c>
      <c r="U22">
        <f t="shared" si="6"/>
        <v>4</v>
      </c>
      <c r="AA22" t="s">
        <v>959</v>
      </c>
      <c r="AB22" s="185">
        <f>MAX(1,ROUND(AB21,0))</f>
        <v>24</v>
      </c>
      <c r="AD22" s="14" t="s">
        <v>961</v>
      </c>
    </row>
    <row r="23" spans="7:30" x14ac:dyDescent="0.25">
      <c r="G23" s="16" t="s">
        <v>99</v>
      </c>
      <c r="H23" s="16">
        <v>188.21875</v>
      </c>
      <c r="I23" s="16">
        <v>7</v>
      </c>
      <c r="J23" s="16">
        <v>26.888392857142858</v>
      </c>
      <c r="K23" s="16">
        <v>11.7866927592955</v>
      </c>
      <c r="L23" s="16">
        <v>5.0257154640603623E-6</v>
      </c>
      <c r="M23" s="16">
        <v>2.487577703722041</v>
      </c>
      <c r="P23">
        <f t="shared" si="4"/>
        <v>5</v>
      </c>
      <c r="Q23" s="183">
        <f t="shared" si="5"/>
        <v>6</v>
      </c>
      <c r="R23" s="7">
        <f t="shared" si="5"/>
        <v>5</v>
      </c>
      <c r="S23" s="7">
        <f t="shared" si="5"/>
        <v>5</v>
      </c>
      <c r="T23" s="43">
        <f t="shared" si="5"/>
        <v>6</v>
      </c>
      <c r="U23">
        <f t="shared" si="6"/>
        <v>5.5</v>
      </c>
      <c r="AA23" t="s">
        <v>957</v>
      </c>
      <c r="AB23" s="185">
        <f>FINV(AB15/2,AB16-1,AB22)</f>
        <v>2.8738081880378892</v>
      </c>
      <c r="AD23" s="14" t="s">
        <v>962</v>
      </c>
    </row>
    <row r="24" spans="7:30" x14ac:dyDescent="0.25">
      <c r="G24" s="16" t="s">
        <v>177</v>
      </c>
      <c r="H24" s="16">
        <v>7.34375</v>
      </c>
      <c r="I24" s="16">
        <v>3</v>
      </c>
      <c r="J24" s="16">
        <v>2.4479166666666665</v>
      </c>
      <c r="K24" s="16">
        <v>1.0730593607305936</v>
      </c>
      <c r="L24" s="16">
        <v>0.3818394427683251</v>
      </c>
      <c r="M24" s="16">
        <v>3.0724669863968779</v>
      </c>
      <c r="P24">
        <f t="shared" si="4"/>
        <v>6</v>
      </c>
      <c r="Q24" s="183">
        <f t="shared" si="5"/>
        <v>7</v>
      </c>
      <c r="R24" s="7">
        <f t="shared" si="5"/>
        <v>5</v>
      </c>
      <c r="S24" s="7">
        <f t="shared" si="5"/>
        <v>6</v>
      </c>
      <c r="T24" s="43">
        <f t="shared" si="5"/>
        <v>2</v>
      </c>
      <c r="U24">
        <f t="shared" si="6"/>
        <v>5</v>
      </c>
      <c r="AA24" t="s">
        <v>958</v>
      </c>
      <c r="AB24" s="123">
        <f>FINV(AB15/2,AB23,AB16-1)</f>
        <v>6.5415202970956496</v>
      </c>
      <c r="AD24" s="14" t="s">
        <v>963</v>
      </c>
    </row>
    <row r="25" spans="7:30" x14ac:dyDescent="0.25">
      <c r="G25" s="16" t="s">
        <v>176</v>
      </c>
      <c r="H25" s="16">
        <v>47.90625</v>
      </c>
      <c r="I25" s="16">
        <v>21</v>
      </c>
      <c r="J25" s="16">
        <v>2.28125</v>
      </c>
      <c r="K25" s="16"/>
      <c r="L25" s="16"/>
      <c r="M25" s="16"/>
      <c r="P25">
        <f t="shared" si="4"/>
        <v>7</v>
      </c>
      <c r="Q25" s="183">
        <f t="shared" si="5"/>
        <v>8</v>
      </c>
      <c r="R25" s="7">
        <f t="shared" si="5"/>
        <v>7</v>
      </c>
      <c r="S25" s="7">
        <f t="shared" si="5"/>
        <v>7</v>
      </c>
      <c r="T25" s="43">
        <f t="shared" si="5"/>
        <v>9</v>
      </c>
      <c r="U25">
        <f t="shared" si="6"/>
        <v>7.75</v>
      </c>
    </row>
    <row r="26" spans="7:30" x14ac:dyDescent="0.25">
      <c r="G26" s="16"/>
      <c r="H26" s="16"/>
      <c r="I26" s="16"/>
      <c r="J26" s="16"/>
      <c r="K26" s="16"/>
      <c r="L26" s="16"/>
      <c r="M26" s="16"/>
      <c r="P26">
        <f t="shared" si="4"/>
        <v>8</v>
      </c>
      <c r="Q26" s="351">
        <f t="shared" si="5"/>
        <v>9</v>
      </c>
      <c r="R26" s="352">
        <f t="shared" si="5"/>
        <v>9</v>
      </c>
      <c r="S26" s="352">
        <f t="shared" si="5"/>
        <v>9</v>
      </c>
      <c r="T26" s="353">
        <f t="shared" si="5"/>
        <v>8</v>
      </c>
      <c r="U26">
        <f t="shared" si="6"/>
        <v>8.75</v>
      </c>
      <c r="AA26" t="s">
        <v>15</v>
      </c>
      <c r="AB26" s="391">
        <f>AB16*(Z7-AB23*Z9)/(AB21+AB23*AB20+AB16*Z7)</f>
        <v>0.40832291193154907</v>
      </c>
      <c r="AD26" s="14" t="s">
        <v>969</v>
      </c>
    </row>
    <row r="27" spans="7:30" ht="15.75" thickBot="1" x14ac:dyDescent="0.3">
      <c r="G27" s="17" t="s">
        <v>1</v>
      </c>
      <c r="H27" s="17">
        <v>243.46875</v>
      </c>
      <c r="I27" s="17">
        <v>31</v>
      </c>
      <c r="J27" s="17"/>
      <c r="K27" s="17"/>
      <c r="L27" s="17"/>
      <c r="M27" s="17"/>
      <c r="Q27">
        <f>AVERAGE(B5:B12)</f>
        <v>5.125</v>
      </c>
      <c r="R27">
        <f>AVERAGE(C5:C12)</f>
        <v>5.375</v>
      </c>
      <c r="S27">
        <f>AVERAGE(D5:D12)</f>
        <v>4.25</v>
      </c>
      <c r="T27">
        <f>AVERAGE(E5:E12)</f>
        <v>4.375</v>
      </c>
      <c r="U27">
        <f>AVERAGE(B5:E12)</f>
        <v>4.78125</v>
      </c>
      <c r="AA27" t="s">
        <v>16</v>
      </c>
      <c r="AB27" s="123">
        <f>AB16*(AB24*Z7-Z9)/(AB20+AB16*AB24*Z7)</f>
        <v>0.94963115904175321</v>
      </c>
      <c r="AD27" s="14" t="s">
        <v>970</v>
      </c>
    </row>
    <row r="29" spans="7:30" x14ac:dyDescent="0.25">
      <c r="H29" t="s">
        <v>975</v>
      </c>
      <c r="I29" s="258">
        <f>(J23-J25)/(J23+(I24*J25))</f>
        <v>0.72948650079407085</v>
      </c>
      <c r="K29" s="14" t="e">
        <f ca="1">FTEXT(I29)</f>
        <v>#NAME?</v>
      </c>
      <c r="P29" t="s">
        <v>821</v>
      </c>
    </row>
    <row r="30" spans="7:30" x14ac:dyDescent="0.25">
      <c r="Q30" s="404" t="str">
        <f>B4</f>
        <v>A</v>
      </c>
      <c r="R30" s="404" t="str">
        <f>C4</f>
        <v>B</v>
      </c>
      <c r="S30" s="404" t="str">
        <f>D4</f>
        <v>C</v>
      </c>
      <c r="T30" s="404" t="str">
        <f>E4</f>
        <v>D</v>
      </c>
    </row>
    <row r="31" spans="7:30" x14ac:dyDescent="0.25">
      <c r="H31" t="s">
        <v>70</v>
      </c>
      <c r="I31" s="391">
        <v>0.05</v>
      </c>
      <c r="P31">
        <f t="shared" ref="P31:P38" si="7">A5</f>
        <v>1</v>
      </c>
      <c r="Q31" s="357" t="e">
        <f t="shared" ref="Q31:T38" si="8">VAR(B5)</f>
        <v>#DIV/0!</v>
      </c>
      <c r="R31" s="358" t="e">
        <f t="shared" si="8"/>
        <v>#DIV/0!</v>
      </c>
      <c r="S31" s="358" t="e">
        <f t="shared" si="8"/>
        <v>#DIV/0!</v>
      </c>
      <c r="T31" s="359" t="e">
        <f t="shared" si="8"/>
        <v>#DIV/0!</v>
      </c>
      <c r="U31">
        <f t="shared" ref="U31:U38" si="9">VAR(B5:E5)</f>
        <v>0.66666666666666663</v>
      </c>
    </row>
    <row r="32" spans="7:30" x14ac:dyDescent="0.25">
      <c r="H32" t="s">
        <v>38</v>
      </c>
      <c r="I32" s="185">
        <f>I24+1</f>
        <v>4</v>
      </c>
      <c r="K32" s="14" t="e">
        <f t="shared" ref="K32:K39" ca="1" si="10">FTEXT(I32)</f>
        <v>#NAME?</v>
      </c>
      <c r="P32">
        <f t="shared" si="7"/>
        <v>2</v>
      </c>
      <c r="Q32" s="183" t="e">
        <f t="shared" si="8"/>
        <v>#DIV/0!</v>
      </c>
      <c r="R32" s="7" t="e">
        <f t="shared" si="8"/>
        <v>#DIV/0!</v>
      </c>
      <c r="S32" s="7" t="e">
        <f t="shared" si="8"/>
        <v>#DIV/0!</v>
      </c>
      <c r="T32" s="43" t="e">
        <f t="shared" si="8"/>
        <v>#DIV/0!</v>
      </c>
      <c r="U32">
        <f t="shared" si="9"/>
        <v>0.91666666666666663</v>
      </c>
    </row>
    <row r="33" spans="8:21" x14ac:dyDescent="0.25">
      <c r="H33" t="s">
        <v>976</v>
      </c>
      <c r="I33" s="185">
        <f>I23</f>
        <v>7</v>
      </c>
      <c r="K33" s="14" t="e">
        <f t="shared" ca="1" si="10"/>
        <v>#NAME?</v>
      </c>
      <c r="P33">
        <f t="shared" si="7"/>
        <v>3</v>
      </c>
      <c r="Q33" s="183" t="e">
        <f t="shared" si="8"/>
        <v>#DIV/0!</v>
      </c>
      <c r="R33" s="7" t="e">
        <f t="shared" si="8"/>
        <v>#DIV/0!</v>
      </c>
      <c r="S33" s="7" t="e">
        <f t="shared" si="8"/>
        <v>#DIV/0!</v>
      </c>
      <c r="T33" s="43" t="e">
        <f t="shared" si="8"/>
        <v>#DIV/0!</v>
      </c>
      <c r="U33">
        <f t="shared" si="9"/>
        <v>8.6666666666666661</v>
      </c>
    </row>
    <row r="34" spans="8:21" x14ac:dyDescent="0.25">
      <c r="H34" t="s">
        <v>194</v>
      </c>
      <c r="I34" s="185">
        <f>I25</f>
        <v>21</v>
      </c>
      <c r="K34" s="14" t="e">
        <f t="shared" ca="1" si="10"/>
        <v>#NAME?</v>
      </c>
      <c r="P34">
        <f t="shared" si="7"/>
        <v>4</v>
      </c>
      <c r="Q34" s="183" t="e">
        <f t="shared" si="8"/>
        <v>#DIV/0!</v>
      </c>
      <c r="R34" s="7" t="e">
        <f t="shared" si="8"/>
        <v>#DIV/0!</v>
      </c>
      <c r="S34" s="7" t="e">
        <f t="shared" si="8"/>
        <v>#DIV/0!</v>
      </c>
      <c r="T34" s="43" t="e">
        <f t="shared" si="8"/>
        <v>#DIV/0!</v>
      </c>
      <c r="U34">
        <f t="shared" si="9"/>
        <v>2</v>
      </c>
    </row>
    <row r="35" spans="8:21" x14ac:dyDescent="0.25">
      <c r="H35" t="s">
        <v>98</v>
      </c>
      <c r="I35" s="185">
        <f>K23</f>
        <v>11.7866927592955</v>
      </c>
      <c r="K35" s="14" t="e">
        <f t="shared" ca="1" si="10"/>
        <v>#NAME?</v>
      </c>
      <c r="P35">
        <f t="shared" si="7"/>
        <v>5</v>
      </c>
      <c r="Q35" s="183" t="e">
        <f t="shared" si="8"/>
        <v>#DIV/0!</v>
      </c>
      <c r="R35" s="7" t="e">
        <f t="shared" si="8"/>
        <v>#DIV/0!</v>
      </c>
      <c r="S35" s="7" t="e">
        <f t="shared" si="8"/>
        <v>#DIV/0!</v>
      </c>
      <c r="T35" s="43" t="e">
        <f t="shared" si="8"/>
        <v>#DIV/0!</v>
      </c>
      <c r="U35">
        <f t="shared" si="9"/>
        <v>0.33333333333333331</v>
      </c>
    </row>
    <row r="36" spans="8:21" x14ac:dyDescent="0.25">
      <c r="H36" t="s">
        <v>972</v>
      </c>
      <c r="I36" s="185">
        <f>I35/FINV(I31/2,I33,I34)</f>
        <v>3.9704144434180857</v>
      </c>
      <c r="K36" s="14" t="e">
        <f t="shared" ca="1" si="10"/>
        <v>#NAME?</v>
      </c>
      <c r="P36">
        <f t="shared" si="7"/>
        <v>6</v>
      </c>
      <c r="Q36" s="183" t="e">
        <f t="shared" si="8"/>
        <v>#DIV/0!</v>
      </c>
      <c r="R36" s="7" t="e">
        <f t="shared" si="8"/>
        <v>#DIV/0!</v>
      </c>
      <c r="S36" s="7" t="e">
        <f t="shared" si="8"/>
        <v>#DIV/0!</v>
      </c>
      <c r="T36" s="43" t="e">
        <f t="shared" si="8"/>
        <v>#DIV/0!</v>
      </c>
      <c r="U36">
        <f t="shared" si="9"/>
        <v>4.666666666666667</v>
      </c>
    </row>
    <row r="37" spans="8:21" x14ac:dyDescent="0.25">
      <c r="H37" t="s">
        <v>973</v>
      </c>
      <c r="I37" s="185">
        <f>I35*FINV(I31/2,I34,I33)</f>
        <v>52.47485618420589</v>
      </c>
      <c r="K37" s="14" t="e">
        <f t="shared" ca="1" si="10"/>
        <v>#NAME?</v>
      </c>
      <c r="P37">
        <f t="shared" si="7"/>
        <v>7</v>
      </c>
      <c r="Q37" s="183" t="e">
        <f t="shared" si="8"/>
        <v>#DIV/0!</v>
      </c>
      <c r="R37" s="7" t="e">
        <f t="shared" si="8"/>
        <v>#DIV/0!</v>
      </c>
      <c r="S37" s="7" t="e">
        <f t="shared" si="8"/>
        <v>#DIV/0!</v>
      </c>
      <c r="T37" s="43" t="e">
        <f t="shared" si="8"/>
        <v>#DIV/0!</v>
      </c>
      <c r="U37">
        <f t="shared" si="9"/>
        <v>0.91666666666666663</v>
      </c>
    </row>
    <row r="38" spans="8:21" x14ac:dyDescent="0.25">
      <c r="H38" t="s">
        <v>15</v>
      </c>
      <c r="I38" s="185">
        <f>(I36-1)/(I36+I32-1)</f>
        <v>0.42614603012923313</v>
      </c>
      <c r="K38" s="14" t="e">
        <f t="shared" ca="1" si="10"/>
        <v>#NAME?</v>
      </c>
      <c r="P38">
        <f t="shared" si="7"/>
        <v>8</v>
      </c>
      <c r="Q38" s="351" t="e">
        <f t="shared" si="8"/>
        <v>#DIV/0!</v>
      </c>
      <c r="R38" s="352" t="e">
        <f t="shared" si="8"/>
        <v>#DIV/0!</v>
      </c>
      <c r="S38" s="352" t="e">
        <f t="shared" si="8"/>
        <v>#DIV/0!</v>
      </c>
      <c r="T38" s="353" t="e">
        <f t="shared" si="8"/>
        <v>#DIV/0!</v>
      </c>
      <c r="U38">
        <f t="shared" si="9"/>
        <v>0.25</v>
      </c>
    </row>
    <row r="39" spans="8:21" x14ac:dyDescent="0.25">
      <c r="H39" t="s">
        <v>16</v>
      </c>
      <c r="I39" s="123">
        <f>(I37-1)/(I37+I32-1)</f>
        <v>0.92789526147273127</v>
      </c>
      <c r="K39" s="14" t="e">
        <f t="shared" ca="1" si="10"/>
        <v>#NAME?</v>
      </c>
      <c r="Q39">
        <f>VAR(B5:B12)</f>
        <v>9.5535714285714288</v>
      </c>
      <c r="R39">
        <f>VAR(C5:C12)</f>
        <v>5.9821428571428568</v>
      </c>
      <c r="S39">
        <f>VAR(D5:D12)</f>
        <v>9.3571428571428577</v>
      </c>
      <c r="T39">
        <f>VAR(E5:E12)</f>
        <v>8.8392857142857135</v>
      </c>
      <c r="U39">
        <f>VAR(B5:E12)</f>
        <v>7.85383064516129</v>
      </c>
    </row>
    <row r="41" spans="8:21" x14ac:dyDescent="0.25">
      <c r="H41" t="s">
        <v>981</v>
      </c>
      <c r="I41" s="408">
        <f>(J23-J25)/J23</f>
        <v>0.91515855885771213</v>
      </c>
      <c r="K41" s="14" t="s">
        <v>978</v>
      </c>
    </row>
    <row r="42" spans="8:21" x14ac:dyDescent="0.25">
      <c r="H42" t="s">
        <v>15</v>
      </c>
      <c r="I42" s="185">
        <f>1-1/I36</f>
        <v>0.74813712415898048</v>
      </c>
      <c r="K42" s="14" t="s">
        <v>979</v>
      </c>
    </row>
    <row r="43" spans="8:21" x14ac:dyDescent="0.25">
      <c r="H43" t="s">
        <v>16</v>
      </c>
      <c r="I43" s="123">
        <f>1-1/I37</f>
        <v>0.98094325410841265</v>
      </c>
      <c r="K43" s="14" t="s">
        <v>980</v>
      </c>
    </row>
    <row r="45" spans="8:21" x14ac:dyDescent="0.25">
      <c r="H45" t="s">
        <v>982</v>
      </c>
      <c r="I45" s="258" t="e">
        <f ca="1">CRONALPHA(B5:E12)</f>
        <v>#NAME?</v>
      </c>
      <c r="K45" s="14" t="s">
        <v>983</v>
      </c>
    </row>
    <row r="47" spans="8:21" x14ac:dyDescent="0.25">
      <c r="H47" t="s">
        <v>1117</v>
      </c>
    </row>
    <row r="49" spans="8:11" x14ac:dyDescent="0.25">
      <c r="H49" t="s">
        <v>975</v>
      </c>
      <c r="I49" s="408" t="e">
        <f ca="1">ICC(B5:E12,3,1)</f>
        <v>#NAME?</v>
      </c>
      <c r="K49" s="14" t="s">
        <v>990</v>
      </c>
    </row>
    <row r="50" spans="8:11" x14ac:dyDescent="0.25">
      <c r="H50" t="s">
        <v>981</v>
      </c>
      <c r="I50" s="123" t="e">
        <f ca="1">ICC(B5:E12,3,4)</f>
        <v>#NAME?</v>
      </c>
      <c r="K50" s="14" t="s">
        <v>991</v>
      </c>
    </row>
    <row r="52" spans="8:11" x14ac:dyDescent="0.25">
      <c r="H52" t="e">
        <f t="array" aca="1" ref="H52:I54" ca="1">ICC(B5:E12,3,1,TRUE)</f>
        <v>#NAME?</v>
      </c>
      <c r="I52" s="417" t="e">
        <f ca="1"/>
        <v>#NAME?</v>
      </c>
      <c r="K52" t="e">
        <f ca="1">FTEXT(I52)</f>
        <v>#NAME?</v>
      </c>
    </row>
    <row r="53" spans="8:11" x14ac:dyDescent="0.25">
      <c r="H53" t="e">
        <f ca="1"/>
        <v>#NAME?</v>
      </c>
      <c r="I53" s="185" t="e">
        <f ca="1"/>
        <v>#NAME?</v>
      </c>
    </row>
    <row r="54" spans="8:11" x14ac:dyDescent="0.25">
      <c r="H54" t="e">
        <f ca="1"/>
        <v>#NAME?</v>
      </c>
      <c r="I54" s="123" t="e">
        <f ca="1"/>
        <v>#NAME?</v>
      </c>
    </row>
    <row r="56" spans="8:11" x14ac:dyDescent="0.25">
      <c r="H56" t="e">
        <f t="array" aca="1" ref="H56:I58" ca="1">ICC(B5:E12,3,4,TRUE)</f>
        <v>#NAME?</v>
      </c>
      <c r="I56" s="417" t="e">
        <f ca="1"/>
        <v>#NAME?</v>
      </c>
      <c r="K56" t="e">
        <f ca="1">FTEXT(I56)</f>
        <v>#NAME?</v>
      </c>
    </row>
    <row r="57" spans="8:11" x14ac:dyDescent="0.25">
      <c r="H57" t="e">
        <f ca="1"/>
        <v>#NAME?</v>
      </c>
      <c r="I57" s="185" t="e">
        <f ca="1"/>
        <v>#NAME?</v>
      </c>
    </row>
    <row r="58" spans="8:11" x14ac:dyDescent="0.25">
      <c r="H58" t="e">
        <f ca="1"/>
        <v>#NAME?</v>
      </c>
      <c r="I58" s="123" t="e">
        <f ca="1"/>
        <v>#NAME?</v>
      </c>
    </row>
  </sheetData>
  <mergeCells count="1">
    <mergeCell ref="B3:E3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K50"/>
  <sheetViews>
    <sheetView workbookViewId="0"/>
  </sheetViews>
  <sheetFormatPr defaultRowHeight="15" x14ac:dyDescent="0.25"/>
  <sheetData>
    <row r="1" spans="1:11" x14ac:dyDescent="0.25">
      <c r="A1" s="1" t="s">
        <v>335</v>
      </c>
    </row>
    <row r="3" spans="1:11" x14ac:dyDescent="0.25">
      <c r="A3" t="s">
        <v>336</v>
      </c>
      <c r="G3" t="s">
        <v>294</v>
      </c>
    </row>
    <row r="5" spans="1:11" x14ac:dyDescent="0.25">
      <c r="A5" s="132">
        <v>8</v>
      </c>
      <c r="B5" s="136">
        <v>4</v>
      </c>
      <c r="C5" s="136">
        <v>6</v>
      </c>
      <c r="D5" s="131">
        <v>7</v>
      </c>
      <c r="E5" s="25">
        <v>20</v>
      </c>
      <c r="G5" s="132">
        <f t="shared" ref="G5:J7" si="0">A5</f>
        <v>8</v>
      </c>
      <c r="H5" s="136">
        <f t="shared" si="0"/>
        <v>4</v>
      </c>
      <c r="I5" s="136">
        <f t="shared" si="0"/>
        <v>6</v>
      </c>
      <c r="J5" s="131">
        <f t="shared" si="0"/>
        <v>7</v>
      </c>
      <c r="K5" s="25">
        <f>SUM(G5:J5)</f>
        <v>25</v>
      </c>
    </row>
    <row r="6" spans="1:11" x14ac:dyDescent="0.25">
      <c r="A6" s="6">
        <v>3</v>
      </c>
      <c r="B6" s="7">
        <v>6</v>
      </c>
      <c r="C6" s="7">
        <v>5</v>
      </c>
      <c r="D6" s="8">
        <v>2</v>
      </c>
      <c r="E6" s="25">
        <v>18</v>
      </c>
      <c r="G6" s="6">
        <f t="shared" si="0"/>
        <v>3</v>
      </c>
      <c r="H6" s="7">
        <f t="shared" si="0"/>
        <v>6</v>
      </c>
      <c r="I6" s="7">
        <f t="shared" si="0"/>
        <v>5</v>
      </c>
      <c r="J6" s="8">
        <f t="shared" si="0"/>
        <v>2</v>
      </c>
      <c r="K6" s="25">
        <f>SUM(G6:J6)</f>
        <v>16</v>
      </c>
    </row>
    <row r="7" spans="1:11" x14ac:dyDescent="0.25">
      <c r="A7" s="112">
        <v>9</v>
      </c>
      <c r="B7" s="10">
        <v>11</v>
      </c>
      <c r="C7" s="10">
        <v>3</v>
      </c>
      <c r="D7" s="11">
        <v>1</v>
      </c>
      <c r="E7" s="25">
        <v>22</v>
      </c>
      <c r="G7" s="112">
        <f t="shared" si="0"/>
        <v>9</v>
      </c>
      <c r="H7" s="10">
        <f t="shared" si="0"/>
        <v>11</v>
      </c>
      <c r="I7" s="10">
        <f t="shared" si="0"/>
        <v>3</v>
      </c>
      <c r="J7" s="11">
        <f t="shared" si="0"/>
        <v>1</v>
      </c>
      <c r="K7" s="25">
        <f>SUM(G7:J7)</f>
        <v>24</v>
      </c>
    </row>
    <row r="8" spans="1:11" x14ac:dyDescent="0.25">
      <c r="A8" s="25">
        <v>18</v>
      </c>
      <c r="B8" s="25">
        <v>16</v>
      </c>
      <c r="C8" s="25">
        <v>12</v>
      </c>
      <c r="D8" s="25">
        <v>14</v>
      </c>
      <c r="E8">
        <f>SUM(A8:D8)</f>
        <v>60</v>
      </c>
      <c r="G8" s="25">
        <f>SUM(G5:G7)</f>
        <v>20</v>
      </c>
      <c r="H8" s="25">
        <f>SUM(H5:H7)</f>
        <v>21</v>
      </c>
      <c r="I8" s="25">
        <f>SUM(I5:I7)</f>
        <v>14</v>
      </c>
      <c r="J8" s="25">
        <f>SUM(J5:J7)</f>
        <v>10</v>
      </c>
      <c r="K8" s="25">
        <f>SUM(G8:J8)</f>
        <v>65</v>
      </c>
    </row>
    <row r="10" spans="1:11" x14ac:dyDescent="0.25">
      <c r="A10" t="s">
        <v>337</v>
      </c>
      <c r="G10" t="s">
        <v>338</v>
      </c>
    </row>
    <row r="12" spans="1:11" x14ac:dyDescent="0.25">
      <c r="A12" s="132">
        <f t="shared" ref="A12:D14" si="1">G5*$E5/$K5</f>
        <v>6.4</v>
      </c>
      <c r="B12" s="136">
        <f t="shared" si="1"/>
        <v>3.2</v>
      </c>
      <c r="C12" s="136">
        <f t="shared" si="1"/>
        <v>4.8</v>
      </c>
      <c r="D12" s="131">
        <f t="shared" si="1"/>
        <v>5.6</v>
      </c>
      <c r="E12" s="25">
        <f>SUM(A12:D12)</f>
        <v>20</v>
      </c>
      <c r="G12" s="132">
        <f>A12*A$8/A15</f>
        <v>6.3911234396671297</v>
      </c>
      <c r="H12" s="136">
        <f>B12*B$8/B15</f>
        <v>2.5557404326123132</v>
      </c>
      <c r="I12" s="136">
        <f>C12*C$8/C15</f>
        <v>4.3719165085388987</v>
      </c>
      <c r="J12" s="131">
        <f>D12*D$8/D15</f>
        <v>8.9429657794676807</v>
      </c>
      <c r="K12" s="25">
        <f>SUM(G12:J12)</f>
        <v>22.261746160286023</v>
      </c>
    </row>
    <row r="13" spans="1:11" x14ac:dyDescent="0.25">
      <c r="A13" s="6">
        <f t="shared" si="1"/>
        <v>3.375</v>
      </c>
      <c r="B13" s="7">
        <f t="shared" si="1"/>
        <v>6.75</v>
      </c>
      <c r="C13" s="7">
        <f t="shared" si="1"/>
        <v>5.625</v>
      </c>
      <c r="D13" s="8">
        <f t="shared" si="1"/>
        <v>2.25</v>
      </c>
      <c r="E13" s="25">
        <f>SUM(A13:D13)</f>
        <v>18</v>
      </c>
      <c r="G13" s="6">
        <f>A13*A$8/A15</f>
        <v>3.3703190013869628</v>
      </c>
      <c r="H13" s="7">
        <f>B13*B$8/B15</f>
        <v>5.3910149750415979</v>
      </c>
      <c r="I13" s="7">
        <f>C13*C$8/C15</f>
        <v>5.1233396584440225</v>
      </c>
      <c r="J13" s="8">
        <f>D13*D$8/D15</f>
        <v>3.5931558935361219</v>
      </c>
      <c r="K13" s="25">
        <f>SUM(G13:J13)</f>
        <v>17.477829528408705</v>
      </c>
    </row>
    <row r="14" spans="1:11" x14ac:dyDescent="0.25">
      <c r="A14" s="112">
        <f t="shared" si="1"/>
        <v>8.25</v>
      </c>
      <c r="B14" s="10">
        <f t="shared" si="1"/>
        <v>10.083333333333334</v>
      </c>
      <c r="C14" s="10">
        <f t="shared" si="1"/>
        <v>2.75</v>
      </c>
      <c r="D14" s="11">
        <f t="shared" si="1"/>
        <v>0.91666666666666663</v>
      </c>
      <c r="E14" s="25">
        <f>SUM(A14:D14)</f>
        <v>22.000000000000004</v>
      </c>
      <c r="G14" s="112">
        <f>A14*A$8/A15</f>
        <v>8.2385575589459084</v>
      </c>
      <c r="H14" s="10">
        <f>B14*B$8/B15</f>
        <v>8.0532445923460916</v>
      </c>
      <c r="I14" s="10">
        <f>C14*C$8/C15</f>
        <v>2.5047438330170775</v>
      </c>
      <c r="J14" s="11">
        <f>D14*D$8/D15</f>
        <v>1.4638783269961977</v>
      </c>
      <c r="K14" s="25">
        <f>SUM(G14:J14)</f>
        <v>20.260424311305275</v>
      </c>
    </row>
    <row r="15" spans="1:11" x14ac:dyDescent="0.25">
      <c r="A15" s="25">
        <f>SUM(A12:A14)</f>
        <v>18.024999999999999</v>
      </c>
      <c r="B15" s="25">
        <f>SUM(B12:B14)</f>
        <v>20.033333333333331</v>
      </c>
      <c r="C15" s="25">
        <f>SUM(C12:C14)</f>
        <v>13.175000000000001</v>
      </c>
      <c r="D15" s="25">
        <f>SUM(D12:D14)</f>
        <v>8.7666666666666657</v>
      </c>
      <c r="E15" s="25">
        <f>SUM(A15:D15)</f>
        <v>60</v>
      </c>
      <c r="G15" s="25">
        <f>SUM(G12:G14)</f>
        <v>18</v>
      </c>
      <c r="H15" s="25">
        <f>SUM(H12:H14)</f>
        <v>16.000000000000004</v>
      </c>
      <c r="I15" s="25">
        <f>SUM(I12:I14)</f>
        <v>11.999999999999998</v>
      </c>
      <c r="J15" s="25">
        <f>SUM(J12:J14)</f>
        <v>14</v>
      </c>
      <c r="K15" s="25">
        <f>SUM(G15:J15)</f>
        <v>60</v>
      </c>
    </row>
    <row r="17" spans="1:11" x14ac:dyDescent="0.25">
      <c r="A17" s="132">
        <f t="shared" ref="A17:D19" si="2">G12*$E12/$K12</f>
        <v>5.7417988630816508</v>
      </c>
      <c r="B17" s="136">
        <f t="shared" si="2"/>
        <v>2.2960826291080814</v>
      </c>
      <c r="C17" s="136">
        <f t="shared" si="2"/>
        <v>3.9277390704761568</v>
      </c>
      <c r="D17" s="131">
        <f t="shared" si="2"/>
        <v>8.0343794373341115</v>
      </c>
      <c r="E17" s="25">
        <f>SUM(A17:D17)</f>
        <v>20</v>
      </c>
      <c r="G17" s="132">
        <f>A17*A$8/A20</f>
        <v>5.6916063135544244</v>
      </c>
      <c r="H17" s="136">
        <f>B17*B$8/B20</f>
        <v>2.2140436175448652</v>
      </c>
      <c r="I17" s="136">
        <f>C17*C$8/C20</f>
        <v>3.9527906950385421</v>
      </c>
      <c r="J17" s="131">
        <f>D17*D$8/D20</f>
        <v>8.4417207486815666</v>
      </c>
      <c r="K17" s="25">
        <f>SUM(G17:J17)</f>
        <v>20.300161374819396</v>
      </c>
    </row>
    <row r="18" spans="1:11" x14ac:dyDescent="0.25">
      <c r="A18" s="6">
        <f t="shared" si="2"/>
        <v>3.4710111988653054</v>
      </c>
      <c r="B18" s="7">
        <f t="shared" si="2"/>
        <v>5.552077813381886</v>
      </c>
      <c r="C18" s="7">
        <f t="shared" si="2"/>
        <v>5.2764053855827218</v>
      </c>
      <c r="D18" s="8">
        <f t="shared" si="2"/>
        <v>3.7005056021700877</v>
      </c>
      <c r="E18" s="25">
        <f>SUM(A18:D18)</f>
        <v>18</v>
      </c>
      <c r="G18" s="6">
        <f>A18*A$8/A20</f>
        <v>3.4406689828345787</v>
      </c>
      <c r="H18" s="7">
        <f>B18*B$8/B20</f>
        <v>5.3537021233446129</v>
      </c>
      <c r="I18" s="7">
        <f>C18*C$8/C20</f>
        <v>5.3100589772258502</v>
      </c>
      <c r="J18" s="8">
        <f>D18*D$8/D20</f>
        <v>3.8881204411745953</v>
      </c>
      <c r="K18" s="25">
        <f>SUM(G18:J18)</f>
        <v>17.992550524579638</v>
      </c>
    </row>
    <row r="19" spans="1:11" x14ac:dyDescent="0.25">
      <c r="A19" s="112">
        <f t="shared" si="2"/>
        <v>8.9459264777428107</v>
      </c>
      <c r="B19" s="10">
        <f t="shared" si="2"/>
        <v>8.7447023966202302</v>
      </c>
      <c r="C19" s="10">
        <f t="shared" si="2"/>
        <v>2.7198030741946306</v>
      </c>
      <c r="D19" s="11">
        <f t="shared" si="2"/>
        <v>1.5895680514423309</v>
      </c>
      <c r="E19" s="25">
        <f>SUM(A19:D19)</f>
        <v>22.000000000000004</v>
      </c>
      <c r="G19" s="112">
        <f>A19*A$8/A20</f>
        <v>8.8677247036109943</v>
      </c>
      <c r="H19" s="10">
        <f>B19*B$8/B20</f>
        <v>8.4322542591105236</v>
      </c>
      <c r="I19" s="10">
        <f>C19*C$8/C20</f>
        <v>2.7371503277356064</v>
      </c>
      <c r="J19" s="11">
        <f>D19*D$8/D20</f>
        <v>1.6701588101438374</v>
      </c>
      <c r="K19" s="25">
        <f>SUM(G19:J19)</f>
        <v>21.707288100600962</v>
      </c>
    </row>
    <row r="20" spans="1:11" x14ac:dyDescent="0.25">
      <c r="A20" s="25">
        <f>SUM(A17:A19)</f>
        <v>18.15873653968977</v>
      </c>
      <c r="B20" s="25">
        <f>SUM(B17:B19)</f>
        <v>16.592862839110197</v>
      </c>
      <c r="C20" s="25">
        <f>SUM(C17:C19)</f>
        <v>11.923947530253511</v>
      </c>
      <c r="D20" s="25">
        <f>SUM(D17:D19)</f>
        <v>13.32445309094653</v>
      </c>
      <c r="E20" s="25">
        <f>SUM(A20:D20)</f>
        <v>60.000000000000014</v>
      </c>
      <c r="G20" s="25">
        <f>SUM(G17:G19)</f>
        <v>18</v>
      </c>
      <c r="H20" s="25">
        <f>SUM(H17:H19)</f>
        <v>16</v>
      </c>
      <c r="I20" s="25">
        <f>SUM(I17:I19)</f>
        <v>12</v>
      </c>
      <c r="J20" s="25">
        <f>SUM(J17:J19)</f>
        <v>13.999999999999998</v>
      </c>
      <c r="K20" s="25">
        <f>SUM(G20:J20)</f>
        <v>60</v>
      </c>
    </row>
    <row r="22" spans="1:11" x14ac:dyDescent="0.25">
      <c r="A22" s="132">
        <f t="shared" ref="A22:D24" si="3">G17*$E17/$K17</f>
        <v>5.6074493285697447</v>
      </c>
      <c r="B22" s="136">
        <f t="shared" si="3"/>
        <v>2.1813064208358419</v>
      </c>
      <c r="C22" s="136">
        <f t="shared" si="3"/>
        <v>3.894344110920851</v>
      </c>
      <c r="D22" s="131">
        <f t="shared" si="3"/>
        <v>8.3169001396735656</v>
      </c>
      <c r="E22" s="25">
        <f>SUM(A22:D22)</f>
        <v>20.000000000000004</v>
      </c>
      <c r="G22" s="132">
        <f>A22*A$8/A25</f>
        <v>5.5959948302616116</v>
      </c>
      <c r="H22" s="136">
        <f>B22*B$8/B25</f>
        <v>2.1700244468481822</v>
      </c>
      <c r="I22" s="136">
        <f>C22*C$8/C25</f>
        <v>3.9006302868539762</v>
      </c>
      <c r="J22" s="131">
        <f>D22*D$8/D25</f>
        <v>8.3771495276477612</v>
      </c>
      <c r="K22" s="25">
        <f>SUM(G22:J22)</f>
        <v>20.043799091611533</v>
      </c>
    </row>
    <row r="23" spans="1:11" x14ac:dyDescent="0.25">
      <c r="A23" s="6">
        <f t="shared" si="3"/>
        <v>3.4420935267858219</v>
      </c>
      <c r="B23" s="7">
        <f t="shared" si="3"/>
        <v>5.3559187225044322</v>
      </c>
      <c r="C23" s="7">
        <f t="shared" si="3"/>
        <v>5.3122575067660325</v>
      </c>
      <c r="D23" s="8">
        <f t="shared" si="3"/>
        <v>3.8897302439437116</v>
      </c>
      <c r="E23" s="25">
        <f>SUM(A23:D23)</f>
        <v>18</v>
      </c>
      <c r="G23" s="6">
        <f>A23*A$8/A25</f>
        <v>3.4350622631633185</v>
      </c>
      <c r="H23" s="7">
        <f>B23*B$8/B25</f>
        <v>5.3282172794012848</v>
      </c>
      <c r="I23" s="7">
        <f>C23*C$8/C25</f>
        <v>5.3208324514392444</v>
      </c>
      <c r="J23" s="8">
        <f>D23*D$8/D25</f>
        <v>3.9179082745376346</v>
      </c>
      <c r="K23" s="25">
        <f>SUM(G23:J23)</f>
        <v>18.002020268541482</v>
      </c>
    </row>
    <row r="24" spans="1:11" x14ac:dyDescent="0.25">
      <c r="A24" s="112">
        <f t="shared" si="3"/>
        <v>8.9873015263496168</v>
      </c>
      <c r="B24" s="10">
        <f t="shared" si="3"/>
        <v>8.545958981181796</v>
      </c>
      <c r="C24" s="10">
        <f t="shared" si="3"/>
        <v>2.7740594279262476</v>
      </c>
      <c r="D24" s="11">
        <f t="shared" si="3"/>
        <v>1.692680064542341</v>
      </c>
      <c r="E24" s="25">
        <f>SUM(A24:D24)</f>
        <v>22</v>
      </c>
      <c r="G24" s="112">
        <f>A24*A$8/A25</f>
        <v>8.9689429065750694</v>
      </c>
      <c r="H24" s="10">
        <f>B24*B$8/B25</f>
        <v>8.5017582737505339</v>
      </c>
      <c r="I24" s="10">
        <f>C24*C$8/C25</f>
        <v>2.7785372617067781</v>
      </c>
      <c r="J24" s="11">
        <f>D24*D$8/D25</f>
        <v>1.704942197814606</v>
      </c>
      <c r="K24" s="25">
        <f>SUM(G24:J24)</f>
        <v>21.954180639846989</v>
      </c>
    </row>
    <row r="25" spans="1:11" x14ac:dyDescent="0.25">
      <c r="A25" s="25">
        <f>SUM(A22:A24)</f>
        <v>18.036844381705183</v>
      </c>
      <c r="B25" s="25">
        <f>SUM(B22:B24)</f>
        <v>16.08318412452207</v>
      </c>
      <c r="C25" s="25">
        <f>SUM(C22:C24)</f>
        <v>11.980661045613132</v>
      </c>
      <c r="D25" s="25">
        <f>SUM(D22:D24)</f>
        <v>13.899310448159618</v>
      </c>
      <c r="E25" s="25">
        <f>SUM(A25:D25)</f>
        <v>60.000000000000007</v>
      </c>
      <c r="G25" s="25">
        <f>SUM(G22:G24)</f>
        <v>18</v>
      </c>
      <c r="H25" s="25">
        <f>SUM(H22:H24)</f>
        <v>16</v>
      </c>
      <c r="I25" s="25">
        <f>SUM(I22:I24)</f>
        <v>12</v>
      </c>
      <c r="J25" s="25">
        <f>SUM(J22:J24)</f>
        <v>14.000000000000002</v>
      </c>
      <c r="K25" s="25">
        <f>SUM(G25:J25)</f>
        <v>60</v>
      </c>
    </row>
    <row r="27" spans="1:11" x14ac:dyDescent="0.25">
      <c r="A27" s="132">
        <f t="shared" ref="A27:D29" si="4">G22*$E22/$K22</f>
        <v>5.583766634942549</v>
      </c>
      <c r="B27" s="136">
        <f t="shared" si="4"/>
        <v>2.1652825763518582</v>
      </c>
      <c r="C27" s="136">
        <f t="shared" si="4"/>
        <v>3.8921067498490518</v>
      </c>
      <c r="D27" s="131">
        <f t="shared" si="4"/>
        <v>8.3588440388565424</v>
      </c>
      <c r="E27" s="25">
        <f>SUM(A27:D27)</f>
        <v>20</v>
      </c>
      <c r="G27" s="132">
        <f>A27*A$8/A30</f>
        <v>5.5818734827961372</v>
      </c>
      <c r="H27" s="136">
        <f>B27*B$8/B30</f>
        <v>2.1636052787140132</v>
      </c>
      <c r="I27" s="136">
        <f>C27*C$8/C30</f>
        <v>3.8931844264674336</v>
      </c>
      <c r="J27" s="131">
        <f>D27*D$8/D30</f>
        <v>8.3679213707207865</v>
      </c>
      <c r="K27" s="25">
        <f>SUM(G27:J27)</f>
        <v>20.006584558698371</v>
      </c>
    </row>
    <row r="28" spans="1:11" x14ac:dyDescent="0.25">
      <c r="A28" s="6">
        <f t="shared" si="4"/>
        <v>3.4346767648623064</v>
      </c>
      <c r="B28" s="7">
        <f t="shared" si="4"/>
        <v>5.3276193226391451</v>
      </c>
      <c r="C28" s="7">
        <f t="shared" si="4"/>
        <v>5.3202353234360658</v>
      </c>
      <c r="D28" s="8">
        <f t="shared" si="4"/>
        <v>3.9174685890624832</v>
      </c>
      <c r="E28" s="25">
        <f>SUM(A28:D28)</f>
        <v>18</v>
      </c>
      <c r="G28" s="6">
        <f>A28*A$8/A30</f>
        <v>3.4335122524256767</v>
      </c>
      <c r="H28" s="7">
        <f>B28*B$8/B30</f>
        <v>5.3234923770834959</v>
      </c>
      <c r="I28" s="7">
        <f>C28*C$8/C30</f>
        <v>5.3217084313390233</v>
      </c>
      <c r="J28" s="8">
        <f>D28*D$8/D30</f>
        <v>3.9217227852510197</v>
      </c>
      <c r="K28" s="25">
        <f>SUM(G28:J28)</f>
        <v>18.000435846099215</v>
      </c>
    </row>
    <row r="29" spans="1:11" x14ac:dyDescent="0.25">
      <c r="A29" s="112">
        <f t="shared" si="4"/>
        <v>8.9876614928876144</v>
      </c>
      <c r="B29" s="10">
        <f t="shared" si="4"/>
        <v>8.5195018247702325</v>
      </c>
      <c r="C29" s="10">
        <f t="shared" si="4"/>
        <v>2.7843361936542377</v>
      </c>
      <c r="D29" s="11">
        <f t="shared" si="4"/>
        <v>1.7085004886879147</v>
      </c>
      <c r="E29" s="25">
        <f>SUM(A29:D29)</f>
        <v>22</v>
      </c>
      <c r="G29" s="112">
        <f>A29*A$8/A30</f>
        <v>8.9846142647781857</v>
      </c>
      <c r="H29" s="10">
        <f>B29*B$8/B30</f>
        <v>8.5129023442024909</v>
      </c>
      <c r="I29" s="10">
        <f>C29*C$8/C30</f>
        <v>2.7851071421935432</v>
      </c>
      <c r="J29" s="11">
        <f>D29*D$8/D30</f>
        <v>1.710355844028193</v>
      </c>
      <c r="K29" s="25">
        <f>SUM(G29:J29)</f>
        <v>21.99297959520241</v>
      </c>
    </row>
    <row r="30" spans="1:11" x14ac:dyDescent="0.25">
      <c r="A30" s="25">
        <f>SUM(A27:A29)</f>
        <v>18.00610489269247</v>
      </c>
      <c r="B30" s="25">
        <f>SUM(B27:B29)</f>
        <v>16.012403723761235</v>
      </c>
      <c r="C30" s="25">
        <f>SUM(C27:C29)</f>
        <v>11.996678266939355</v>
      </c>
      <c r="D30" s="25">
        <f>SUM(D27:D29)</f>
        <v>13.98481311660694</v>
      </c>
      <c r="E30" s="25">
        <f>SUM(A30:D30)</f>
        <v>60</v>
      </c>
      <c r="G30" s="25">
        <f>SUM(G27:G29)</f>
        <v>18</v>
      </c>
      <c r="H30" s="25">
        <f>SUM(H27:H29)</f>
        <v>16</v>
      </c>
      <c r="I30" s="25">
        <f>SUM(I27:I29)</f>
        <v>12</v>
      </c>
      <c r="J30" s="25">
        <f>SUM(J27:J29)</f>
        <v>14</v>
      </c>
      <c r="K30" s="25">
        <f>SUM(G30:J30)</f>
        <v>60</v>
      </c>
    </row>
    <row r="32" spans="1:11" x14ac:dyDescent="0.25">
      <c r="A32" s="132">
        <f t="shared" ref="A32:D34" si="5">G27*$E27/$K27</f>
        <v>5.5800363789423271</v>
      </c>
      <c r="B32" s="136">
        <f t="shared" si="5"/>
        <v>2.1628931938543507</v>
      </c>
      <c r="C32" s="136">
        <f t="shared" si="5"/>
        <v>3.8919031032458493</v>
      </c>
      <c r="D32" s="131">
        <f t="shared" si="5"/>
        <v>8.365167323957472</v>
      </c>
      <c r="E32" s="25">
        <f>SUM(A32:D32)</f>
        <v>20</v>
      </c>
      <c r="G32" s="132">
        <f>A32*A$8/A35</f>
        <v>5.5797425901597508</v>
      </c>
      <c r="H32" s="136">
        <f>B32*B$8/B35</f>
        <v>2.1626395661768831</v>
      </c>
      <c r="I32" s="136">
        <f>C32*C$8/C35</f>
        <v>3.8920721297400767</v>
      </c>
      <c r="J32" s="131">
        <f>D32*D$8/D35</f>
        <v>8.3665436437414993</v>
      </c>
      <c r="K32" s="25">
        <f>SUM(G32:J32)</f>
        <v>20.000997929818212</v>
      </c>
    </row>
    <row r="33" spans="1:11" x14ac:dyDescent="0.25">
      <c r="A33" s="6">
        <f t="shared" si="5"/>
        <v>3.4334291164986013</v>
      </c>
      <c r="B33" s="7">
        <f t="shared" si="5"/>
        <v>5.3233634789053301</v>
      </c>
      <c r="C33" s="7">
        <f t="shared" si="5"/>
        <v>5.3215795763556892</v>
      </c>
      <c r="D33" s="8">
        <f t="shared" si="5"/>
        <v>3.9216278282403803</v>
      </c>
      <c r="E33" s="25">
        <f>SUM(A33:D33)</f>
        <v>18</v>
      </c>
      <c r="G33" s="6">
        <f>A33*A$8/A35</f>
        <v>3.4332483465373151</v>
      </c>
      <c r="H33" s="7">
        <f>B33*B$8/B35</f>
        <v>5.3227392445144197</v>
      </c>
      <c r="I33" s="7">
        <f>C33*C$8/C35</f>
        <v>5.3218106941188195</v>
      </c>
      <c r="J33" s="8">
        <f>D33*D$8/D35</f>
        <v>3.9222730531063719</v>
      </c>
      <c r="K33" s="25">
        <f>SUM(G33:J33)</f>
        <v>18.000071338276928</v>
      </c>
    </row>
    <row r="34" spans="1:11" x14ac:dyDescent="0.25">
      <c r="A34" s="112">
        <f t="shared" si="5"/>
        <v>8.9874822540297519</v>
      </c>
      <c r="B34" s="10">
        <f t="shared" si="5"/>
        <v>8.5156197577389321</v>
      </c>
      <c r="C34" s="10">
        <f t="shared" si="5"/>
        <v>2.785996179509211</v>
      </c>
      <c r="D34" s="11">
        <f t="shared" si="5"/>
        <v>1.7109018087221093</v>
      </c>
      <c r="E34" s="25">
        <f>SUM(A34:D34)</f>
        <v>22.000000000000004</v>
      </c>
      <c r="G34" s="112">
        <f>A34*A$8/A35</f>
        <v>8.9870090633029314</v>
      </c>
      <c r="H34" s="10">
        <f>B34*B$8/B35</f>
        <v>8.5146211893086985</v>
      </c>
      <c r="I34" s="10">
        <f>C34*C$8/C35</f>
        <v>2.7861171761411052</v>
      </c>
      <c r="J34" s="11">
        <f>D34*D$8/D35</f>
        <v>1.7111833031521284</v>
      </c>
      <c r="K34" s="25">
        <f>SUM(G34:J34)</f>
        <v>21.998930731904863</v>
      </c>
    </row>
    <row r="35" spans="1:11" x14ac:dyDescent="0.25">
      <c r="A35" s="25">
        <f>SUM(A32:A34)</f>
        <v>18.000947749470683</v>
      </c>
      <c r="B35" s="25">
        <f>SUM(B32:B34)</f>
        <v>16.001876430498612</v>
      </c>
      <c r="C35" s="25">
        <f>SUM(C32:C34)</f>
        <v>11.999478859110749</v>
      </c>
      <c r="D35" s="25">
        <f>SUM(D32:D34)</f>
        <v>13.997696960919962</v>
      </c>
      <c r="E35" s="25">
        <f>SUM(A35:D35)</f>
        <v>60.000000000000007</v>
      </c>
      <c r="G35" s="25">
        <f>SUM(G32:G34)</f>
        <v>17.999999999999996</v>
      </c>
      <c r="H35" s="25">
        <f>SUM(H32:H34)</f>
        <v>16</v>
      </c>
      <c r="I35" s="25">
        <f>SUM(I32:I34)</f>
        <v>12</v>
      </c>
      <c r="J35" s="25">
        <f>SUM(J32:J34)</f>
        <v>14</v>
      </c>
      <c r="K35" s="25">
        <f>SUM(G35:J35)</f>
        <v>60</v>
      </c>
    </row>
    <row r="37" spans="1:11" x14ac:dyDescent="0.25">
      <c r="A37" s="132">
        <f t="shared" ref="A37:D39" si="6">G32*$E32/$K32</f>
        <v>5.5794641944752854</v>
      </c>
      <c r="B37" s="136">
        <f t="shared" si="6"/>
        <v>2.1625316634353946</v>
      </c>
      <c r="C37" s="136">
        <f t="shared" si="6"/>
        <v>3.8918779386878839</v>
      </c>
      <c r="D37" s="131">
        <f t="shared" si="6"/>
        <v>8.3661262034014356</v>
      </c>
      <c r="E37" s="25">
        <f>SUM(A37:D37)</f>
        <v>20</v>
      </c>
      <c r="G37" s="132">
        <f>A37*A$8/A40</f>
        <v>5.5794193064107835</v>
      </c>
      <c r="H37" s="136">
        <f>B37*B$8/B40</f>
        <v>2.162493163066538</v>
      </c>
      <c r="I37" s="136">
        <f>C37*C$8/C40</f>
        <v>3.8919038399788324</v>
      </c>
      <c r="J37" s="131">
        <f>D37*D$8/D40</f>
        <v>8.3663352496325647</v>
      </c>
      <c r="K37" s="25">
        <f>SUM(G37:J37)</f>
        <v>20.000151559088721</v>
      </c>
    </row>
    <row r="38" spans="1:11" x14ac:dyDescent="0.25">
      <c r="A38" s="6">
        <f t="shared" si="6"/>
        <v>3.43323473981228</v>
      </c>
      <c r="B38" s="7">
        <f t="shared" si="6"/>
        <v>5.3227181493176783</v>
      </c>
      <c r="C38" s="7">
        <f t="shared" si="6"/>
        <v>5.321789602602129</v>
      </c>
      <c r="D38" s="8">
        <f t="shared" si="6"/>
        <v>3.9222575082679101</v>
      </c>
      <c r="E38" s="25">
        <f>SUM(A38:D38)</f>
        <v>17.999999999999996</v>
      </c>
      <c r="G38" s="6">
        <f>A38*A$8/A40</f>
        <v>3.4332071186542117</v>
      </c>
      <c r="H38" s="7">
        <f>B38*B$8/B40</f>
        <v>5.3226233869539481</v>
      </c>
      <c r="I38" s="7">
        <f>C38*C$8/C40</f>
        <v>5.3218250202650248</v>
      </c>
      <c r="J38" s="8">
        <f>D38*D$8/D40</f>
        <v>3.9223555145768856</v>
      </c>
      <c r="K38" s="25">
        <f>SUM(G38:J38)</f>
        <v>18.000011040450069</v>
      </c>
    </row>
    <row r="39" spans="1:11" x14ac:dyDescent="0.25">
      <c r="A39" s="112">
        <f t="shared" si="6"/>
        <v>8.9874458809909914</v>
      </c>
      <c r="B39" s="10">
        <f t="shared" si="6"/>
        <v>8.5150350463679754</v>
      </c>
      <c r="C39" s="10">
        <f t="shared" si="6"/>
        <v>2.7862525966414049</v>
      </c>
      <c r="D39" s="11">
        <f t="shared" si="6"/>
        <v>1.7112664759996314</v>
      </c>
      <c r="E39" s="25">
        <f>SUM(A39:D39)</f>
        <v>22.000000000000004</v>
      </c>
      <c r="G39" s="112">
        <f>A39*A$8/A40</f>
        <v>8.9873735749350061</v>
      </c>
      <c r="H39" s="10">
        <f>B39*B$8/B40</f>
        <v>8.5148834499795125</v>
      </c>
      <c r="I39" s="10">
        <f>C39*C$8/C40</f>
        <v>2.7862711397561428</v>
      </c>
      <c r="J39" s="11">
        <f>D39*D$8/D40</f>
        <v>1.7113092357905511</v>
      </c>
      <c r="K39" s="25">
        <f>SUM(G39:J39)</f>
        <v>21.999837400461214</v>
      </c>
    </row>
    <row r="40" spans="1:11" x14ac:dyDescent="0.25">
      <c r="A40" s="25">
        <f>SUM(A37:A39)</f>
        <v>18.000144815278556</v>
      </c>
      <c r="B40" s="25">
        <f>SUM(B37:B39)</f>
        <v>16.000284859121049</v>
      </c>
      <c r="C40" s="25">
        <f>SUM(C37:C39)</f>
        <v>11.999920137931419</v>
      </c>
      <c r="D40" s="25">
        <f>SUM(D37:D39)</f>
        <v>13.999650187668976</v>
      </c>
      <c r="E40" s="25">
        <f>SUM(A40:D40)</f>
        <v>60</v>
      </c>
      <c r="G40" s="25">
        <f>SUM(G37:G39)</f>
        <v>18</v>
      </c>
      <c r="H40" s="25">
        <f>SUM(H37:H39)</f>
        <v>15.999999999999998</v>
      </c>
      <c r="I40" s="25">
        <f>SUM(I37:I39)</f>
        <v>12</v>
      </c>
      <c r="J40" s="25">
        <f>SUM(J37:J39)</f>
        <v>14.000000000000002</v>
      </c>
      <c r="K40" s="25">
        <f>SUM(G40:J40)</f>
        <v>60</v>
      </c>
    </row>
    <row r="42" spans="1:11" x14ac:dyDescent="0.25">
      <c r="A42" s="132">
        <f t="shared" ref="A42:D44" si="7">G37*$E37/$K37</f>
        <v>5.5793770261458979</v>
      </c>
      <c r="B42" s="136">
        <f t="shared" si="7"/>
        <v>2.162476775916061</v>
      </c>
      <c r="C42" s="136">
        <f t="shared" si="7"/>
        <v>3.8918743475323554</v>
      </c>
      <c r="D42" s="131">
        <f t="shared" si="7"/>
        <v>8.366271850405683</v>
      </c>
      <c r="E42" s="25">
        <f>SUM(A42:D42)</f>
        <v>20</v>
      </c>
      <c r="G42" s="132">
        <f>A42*A$8/A45</f>
        <v>5.5793701947917551</v>
      </c>
      <c r="H42" s="136">
        <f>B42*B$8/B45</f>
        <v>2.1624709262710722</v>
      </c>
      <c r="I42" s="136">
        <f>C42*C$8/C45</f>
        <v>3.8918782924244306</v>
      </c>
      <c r="J42" s="131">
        <f>D42*D$8/D45</f>
        <v>8.366303616571054</v>
      </c>
      <c r="K42" s="25">
        <f>SUM(G42:J42)</f>
        <v>20.000023030058312</v>
      </c>
    </row>
    <row r="43" spans="1:11" x14ac:dyDescent="0.25">
      <c r="A43" s="6">
        <f t="shared" si="7"/>
        <v>3.4332050128692932</v>
      </c>
      <c r="B43" s="7">
        <f t="shared" si="7"/>
        <v>5.3226201222805196</v>
      </c>
      <c r="C43" s="7">
        <f t="shared" si="7"/>
        <v>5.3218217560812811</v>
      </c>
      <c r="D43" s="8">
        <f t="shared" si="7"/>
        <v>3.9223531087689043</v>
      </c>
      <c r="E43" s="25">
        <f>SUM(A43:D43)</f>
        <v>18</v>
      </c>
      <c r="G43" s="6">
        <f>A43*A$8/A45</f>
        <v>3.4332008092746666</v>
      </c>
      <c r="H43" s="7">
        <f>B43*B$8/B45</f>
        <v>5.3226057242354292</v>
      </c>
      <c r="I43" s="7">
        <f>C43*C$8/C45</f>
        <v>5.3218271504004688</v>
      </c>
      <c r="J43" s="8">
        <f>D43*D$8/D45</f>
        <v>3.9223680016769671</v>
      </c>
      <c r="K43" s="25">
        <f>SUM(G43:J43)</f>
        <v>18.000001685587534</v>
      </c>
    </row>
    <row r="44" spans="1:11" x14ac:dyDescent="0.25">
      <c r="A44" s="112">
        <f t="shared" si="7"/>
        <v>8.9874400000985926</v>
      </c>
      <c r="B44" s="10">
        <f t="shared" si="7"/>
        <v>8.5149463829956353</v>
      </c>
      <c r="C44" s="10">
        <f t="shared" si="7"/>
        <v>2.7862917329266295</v>
      </c>
      <c r="D44" s="11">
        <f t="shared" si="7"/>
        <v>1.7113218839791444</v>
      </c>
      <c r="E44" s="25">
        <f>SUM(A44:D44)</f>
        <v>22</v>
      </c>
      <c r="G44" s="112">
        <f>A44*A$8/A45</f>
        <v>8.9874289959335769</v>
      </c>
      <c r="H44" s="10">
        <f>B44*B$8/B45</f>
        <v>8.5149233494934986</v>
      </c>
      <c r="I44" s="10">
        <f>C44*C$8/C45</f>
        <v>2.7862945571751006</v>
      </c>
      <c r="J44" s="11">
        <f>D44*D$8/D45</f>
        <v>1.7113283817519804</v>
      </c>
      <c r="K44" s="25">
        <f>SUM(G44:J44)</f>
        <v>21.999975284354157</v>
      </c>
    </row>
    <row r="45" spans="1:11" x14ac:dyDescent="0.25">
      <c r="A45" s="25">
        <f>SUM(A42:A44)</f>
        <v>18.000022039113784</v>
      </c>
      <c r="B45" s="25">
        <f>SUM(B42:B44)</f>
        <v>16.000043281192216</v>
      </c>
      <c r="C45" s="25">
        <f>SUM(C42:C44)</f>
        <v>11.999987836540265</v>
      </c>
      <c r="D45" s="25">
        <f>SUM(D42:D44)</f>
        <v>13.999946843153731</v>
      </c>
      <c r="E45" s="25">
        <f>SUM(A45:D45)</f>
        <v>59.999999999999993</v>
      </c>
      <c r="G45" s="25">
        <f>SUM(G42:G44)</f>
        <v>18</v>
      </c>
      <c r="H45" s="25">
        <f>SUM(H42:H44)</f>
        <v>16</v>
      </c>
      <c r="I45" s="25">
        <f>SUM(I42:I44)</f>
        <v>12</v>
      </c>
      <c r="J45" s="25">
        <f>SUM(J42:J44)</f>
        <v>14.000000000000002</v>
      </c>
      <c r="K45" s="25">
        <f>SUM(G45:J45)</f>
        <v>60</v>
      </c>
    </row>
    <row r="47" spans="1:11" x14ac:dyDescent="0.25">
      <c r="A47" s="132">
        <f t="shared" ref="A47:D49" si="8">G42*$E42/$K42</f>
        <v>5.5793637701381069</v>
      </c>
      <c r="B47" s="136">
        <f t="shared" si="8"/>
        <v>2.1624684361823632</v>
      </c>
      <c r="C47" s="136">
        <f t="shared" si="8"/>
        <v>3.8918738109203899</v>
      </c>
      <c r="D47" s="131">
        <f t="shared" si="8"/>
        <v>8.3662939827591405</v>
      </c>
      <c r="E47" s="25">
        <f>SUM(A47:D47)</f>
        <v>20</v>
      </c>
      <c r="G47" s="132">
        <f>A47*A$8/A50</f>
        <v>5.5793627315449443</v>
      </c>
      <c r="H47" s="136">
        <f>B47*B$8/B50</f>
        <v>2.162467547207418</v>
      </c>
      <c r="I47" s="136">
        <f>C47*C$8/C50</f>
        <v>3.8918744107963681</v>
      </c>
      <c r="J47" s="131">
        <f>D47*D$8/D50</f>
        <v>8.3662988104379714</v>
      </c>
      <c r="K47" s="25">
        <f>SUM(G47:J47)</f>
        <v>20.0000034999867</v>
      </c>
    </row>
    <row r="48" spans="1:11" x14ac:dyDescent="0.25">
      <c r="A48" s="6">
        <f t="shared" si="8"/>
        <v>3.433200487776892</v>
      </c>
      <c r="B48" s="7">
        <f t="shared" si="8"/>
        <v>5.322605225806706</v>
      </c>
      <c r="C48" s="7">
        <f t="shared" si="8"/>
        <v>5.3218266520446535</v>
      </c>
      <c r="D48" s="8">
        <f t="shared" si="8"/>
        <v>3.9223676343717457</v>
      </c>
      <c r="E48" s="25">
        <f>SUM(A48:D48)</f>
        <v>17.999999999999996</v>
      </c>
      <c r="G48" s="6">
        <f>A48*A$8/A50</f>
        <v>3.433199848689946</v>
      </c>
      <c r="H48" s="7">
        <f>B48*B$8/B50</f>
        <v>5.3226030377226587</v>
      </c>
      <c r="I48" s="7">
        <f>C48*C$8/C50</f>
        <v>5.3218274723271515</v>
      </c>
      <c r="J48" s="8">
        <f>D48*D$8/D50</f>
        <v>3.9223698977312731</v>
      </c>
      <c r="K48" s="25">
        <f>SUM(G48:J48)</f>
        <v>18.000000256471029</v>
      </c>
    </row>
    <row r="49" spans="1:11" x14ac:dyDescent="0.25">
      <c r="A49" s="112">
        <f t="shared" si="8"/>
        <v>8.9874390927681969</v>
      </c>
      <c r="B49" s="10">
        <f t="shared" si="8"/>
        <v>8.5149329154965141</v>
      </c>
      <c r="C49" s="10">
        <f t="shared" si="8"/>
        <v>2.7862976874090486</v>
      </c>
      <c r="D49" s="11">
        <f t="shared" si="8"/>
        <v>1.7113303043262404</v>
      </c>
      <c r="E49" s="25">
        <f>SUM(A49:D49)</f>
        <v>22</v>
      </c>
      <c r="G49" s="112">
        <f>A49*A$8/A50</f>
        <v>8.9874374197651132</v>
      </c>
      <c r="H49" s="10">
        <f>B49*B$8/B50</f>
        <v>8.5149294150699202</v>
      </c>
      <c r="I49" s="10">
        <f>C49*C$8/C50</f>
        <v>2.7862981168764809</v>
      </c>
      <c r="J49" s="11">
        <f>D49*D$8/D50</f>
        <v>1.7113312918307555</v>
      </c>
      <c r="K49" s="25">
        <f>SUM(G49:J49)</f>
        <v>21.99999624354227</v>
      </c>
    </row>
    <row r="50" spans="1:11" x14ac:dyDescent="0.25">
      <c r="A50" s="25">
        <f>SUM(A47:A49)</f>
        <v>18.000003350683194</v>
      </c>
      <c r="B50" s="25">
        <f>SUM(B47:B49)</f>
        <v>16.000006577485586</v>
      </c>
      <c r="C50" s="25">
        <f>SUM(C47:C49)</f>
        <v>11.999998150374092</v>
      </c>
      <c r="D50" s="25">
        <f>SUM(D47:D49)</f>
        <v>13.999991921457127</v>
      </c>
      <c r="E50" s="25">
        <f>SUM(A50:D50)</f>
        <v>60</v>
      </c>
      <c r="G50" s="25">
        <f>SUM(G47:G49)</f>
        <v>18.000000000000004</v>
      </c>
      <c r="H50" s="25">
        <f>SUM(H47:H49)</f>
        <v>15.999999999999996</v>
      </c>
      <c r="I50" s="25">
        <f>SUM(I47:I49)</f>
        <v>12</v>
      </c>
      <c r="J50" s="25">
        <f>SUM(J47:J49)</f>
        <v>14</v>
      </c>
      <c r="K50" s="25">
        <f>SUM(G50:J50)</f>
        <v>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B1:L8"/>
  <sheetViews>
    <sheetView workbookViewId="0">
      <selection activeCell="B1" sqref="B1"/>
    </sheetView>
  </sheetViews>
  <sheetFormatPr defaultRowHeight="15" x14ac:dyDescent="0.25"/>
  <cols>
    <col min="1" max="1" width="1.5703125" customWidth="1"/>
  </cols>
  <sheetData>
    <row r="1" spans="2:12" x14ac:dyDescent="0.25">
      <c r="B1" s="1" t="s">
        <v>335</v>
      </c>
    </row>
    <row r="3" spans="2:12" x14ac:dyDescent="0.25">
      <c r="B3" t="s">
        <v>1237</v>
      </c>
    </row>
    <row r="5" spans="2:12" x14ac:dyDescent="0.25">
      <c r="B5" s="132">
        <v>8</v>
      </c>
      <c r="C5" s="136">
        <v>4</v>
      </c>
      <c r="D5" s="136">
        <v>6</v>
      </c>
      <c r="E5" s="131">
        <v>7</v>
      </c>
      <c r="F5" s="25">
        <v>20</v>
      </c>
      <c r="H5" s="418" t="e">
        <f t="array" aca="1" ref="H5:K7" ca="1">IPFP2(B5:F8)</f>
        <v>#NAME?</v>
      </c>
      <c r="I5" s="416" t="e">
        <f ca="1"/>
        <v>#NAME?</v>
      </c>
      <c r="J5" s="416" t="e">
        <f ca="1"/>
        <v>#NAME?</v>
      </c>
      <c r="K5" s="419" t="e">
        <f ca="1"/>
        <v>#NAME?</v>
      </c>
      <c r="L5" t="e">
        <f ca="1">SUM(H5:K5)</f>
        <v>#NAME?</v>
      </c>
    </row>
    <row r="6" spans="2:12" x14ac:dyDescent="0.25">
      <c r="B6" s="6">
        <v>3</v>
      </c>
      <c r="C6" s="7">
        <v>6</v>
      </c>
      <c r="D6" s="7">
        <v>5</v>
      </c>
      <c r="E6" s="8">
        <v>2</v>
      </c>
      <c r="F6" s="25">
        <v>18</v>
      </c>
      <c r="H6" s="214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L6" t="e">
        <f ca="1">SUM(H6:K6)</f>
        <v>#NAME?</v>
      </c>
    </row>
    <row r="7" spans="2:12" x14ac:dyDescent="0.25">
      <c r="B7" s="112">
        <v>9</v>
      </c>
      <c r="C7" s="10">
        <v>11</v>
      </c>
      <c r="D7" s="10">
        <v>3</v>
      </c>
      <c r="E7" s="11">
        <v>1</v>
      </c>
      <c r="F7" s="25">
        <v>22</v>
      </c>
      <c r="H7" s="112" t="e">
        <f ca="1"/>
        <v>#NAME?</v>
      </c>
      <c r="I7" s="354" t="e">
        <f ca="1"/>
        <v>#NAME?</v>
      </c>
      <c r="J7" s="354" t="e">
        <f ca="1"/>
        <v>#NAME?</v>
      </c>
      <c r="K7" s="120" t="e">
        <f ca="1"/>
        <v>#NAME?</v>
      </c>
      <c r="L7" t="e">
        <f ca="1">SUM(H7:K7)</f>
        <v>#NAME?</v>
      </c>
    </row>
    <row r="8" spans="2:12" x14ac:dyDescent="0.25">
      <c r="B8" s="25">
        <v>18</v>
      </c>
      <c r="C8" s="25">
        <v>16</v>
      </c>
      <c r="D8" s="25">
        <v>12</v>
      </c>
      <c r="E8" s="25">
        <v>14</v>
      </c>
      <c r="F8">
        <f>SUM(B8:E8)</f>
        <v>60</v>
      </c>
      <c r="H8" t="e">
        <f ca="1">SUM(H5:H7)</f>
        <v>#NAME?</v>
      </c>
      <c r="I8" t="e">
        <f ca="1">SUM(I5:I7)</f>
        <v>#NAME?</v>
      </c>
      <c r="J8" t="e">
        <f ca="1">SUM(J5:J7)</f>
        <v>#NAME?</v>
      </c>
      <c r="K8" t="e">
        <f ca="1">SUM(K5:K7)</f>
        <v>#NAME?</v>
      </c>
      <c r="L8" t="e">
        <f ca="1">SUM(H8:K8)</f>
        <v>#NAME?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K17"/>
  <sheetViews>
    <sheetView workbookViewId="0"/>
  </sheetViews>
  <sheetFormatPr defaultRowHeight="15" x14ac:dyDescent="0.25"/>
  <cols>
    <col min="1" max="1" width="12.5703125" customWidth="1"/>
    <col min="6" max="6" width="6.85546875" customWidth="1"/>
    <col min="7" max="7" width="12.85546875" customWidth="1"/>
  </cols>
  <sheetData>
    <row r="1" spans="1:11" x14ac:dyDescent="0.25">
      <c r="A1" s="1" t="s">
        <v>339</v>
      </c>
    </row>
    <row r="3" spans="1:11" x14ac:dyDescent="0.25">
      <c r="B3" t="s">
        <v>55</v>
      </c>
      <c r="H3" t="s">
        <v>294</v>
      </c>
    </row>
    <row r="5" spans="1:11" x14ac:dyDescent="0.25">
      <c r="B5" s="118" t="s">
        <v>89</v>
      </c>
      <c r="C5" s="118" t="s">
        <v>88</v>
      </c>
      <c r="D5" s="118" t="s">
        <v>90</v>
      </c>
      <c r="E5" s="118" t="s">
        <v>1</v>
      </c>
      <c r="F5" s="118"/>
      <c r="H5" s="118" t="s">
        <v>89</v>
      </c>
      <c r="I5" s="118" t="s">
        <v>88</v>
      </c>
      <c r="J5" s="118" t="s">
        <v>90</v>
      </c>
      <c r="K5" s="118" t="s">
        <v>1</v>
      </c>
    </row>
    <row r="6" spans="1:11" x14ac:dyDescent="0.25">
      <c r="A6" t="s">
        <v>85</v>
      </c>
      <c r="B6" s="27">
        <v>20</v>
      </c>
      <c r="C6" s="37">
        <v>15</v>
      </c>
      <c r="D6" s="28">
        <v>10</v>
      </c>
      <c r="E6" s="118">
        <f>SUM(B6:D6)</f>
        <v>45</v>
      </c>
      <c r="F6" s="118"/>
      <c r="G6" t="s">
        <v>85</v>
      </c>
      <c r="H6" s="132">
        <v>1</v>
      </c>
      <c r="I6" s="136">
        <v>1</v>
      </c>
      <c r="J6" s="131">
        <v>1</v>
      </c>
      <c r="K6" s="25">
        <f>SUM(H6:J6)</f>
        <v>3</v>
      </c>
    </row>
    <row r="7" spans="1:11" x14ac:dyDescent="0.25">
      <c r="A7" t="s">
        <v>86</v>
      </c>
      <c r="B7" s="29">
        <v>40</v>
      </c>
      <c r="C7" s="38">
        <v>25</v>
      </c>
      <c r="D7" s="30">
        <v>20</v>
      </c>
      <c r="E7" s="118">
        <f>SUM(B7:D7)</f>
        <v>85</v>
      </c>
      <c r="F7" s="118"/>
      <c r="G7" t="s">
        <v>86</v>
      </c>
      <c r="H7" s="6">
        <v>1</v>
      </c>
      <c r="I7" s="7">
        <v>1</v>
      </c>
      <c r="J7" s="8">
        <v>1</v>
      </c>
      <c r="K7" s="25">
        <f>SUM(H7:J7)</f>
        <v>3</v>
      </c>
    </row>
    <row r="8" spans="1:11" x14ac:dyDescent="0.25">
      <c r="A8" t="s">
        <v>87</v>
      </c>
      <c r="B8" s="31">
        <v>8</v>
      </c>
      <c r="C8" s="119">
        <v>14</v>
      </c>
      <c r="D8" s="32">
        <v>23</v>
      </c>
      <c r="E8" s="118">
        <f>SUM(B8:D8)</f>
        <v>45</v>
      </c>
      <c r="F8" s="118"/>
      <c r="G8" t="s">
        <v>87</v>
      </c>
      <c r="H8" s="112">
        <v>1</v>
      </c>
      <c r="I8" s="10">
        <v>1</v>
      </c>
      <c r="J8" s="11">
        <v>1</v>
      </c>
      <c r="K8" s="25">
        <f>SUM(H8:J8)</f>
        <v>3</v>
      </c>
    </row>
    <row r="9" spans="1:11" x14ac:dyDescent="0.25">
      <c r="A9" t="s">
        <v>1</v>
      </c>
      <c r="B9" s="118">
        <f>SUM(B6:B8)</f>
        <v>68</v>
      </c>
      <c r="C9" s="118">
        <f>SUM(C6:C8)</f>
        <v>54</v>
      </c>
      <c r="D9" s="118">
        <f>SUM(D6:D8)</f>
        <v>53</v>
      </c>
      <c r="E9" s="118">
        <f>SUM(B9:D9)</f>
        <v>175</v>
      </c>
      <c r="F9" s="118"/>
      <c r="G9" t="s">
        <v>1</v>
      </c>
      <c r="H9" s="25">
        <f>SUM(H6:H8)</f>
        <v>3</v>
      </c>
      <c r="I9" s="25">
        <f>SUM(I6:I8)</f>
        <v>3</v>
      </c>
      <c r="J9" s="25">
        <f>SUM(J6:J8)</f>
        <v>3</v>
      </c>
      <c r="K9" s="25">
        <f>SUM(H9:J9)</f>
        <v>9</v>
      </c>
    </row>
    <row r="11" spans="1:11" x14ac:dyDescent="0.25">
      <c r="B11" t="s">
        <v>337</v>
      </c>
      <c r="H11" t="s">
        <v>338</v>
      </c>
    </row>
    <row r="13" spans="1:11" x14ac:dyDescent="0.25">
      <c r="B13" s="118" t="s">
        <v>89</v>
      </c>
      <c r="C13" s="118" t="s">
        <v>88</v>
      </c>
      <c r="D13" s="118" t="s">
        <v>90</v>
      </c>
      <c r="E13" s="118" t="s">
        <v>1</v>
      </c>
      <c r="H13" s="118" t="s">
        <v>89</v>
      </c>
      <c r="I13" s="118" t="s">
        <v>88</v>
      </c>
      <c r="J13" s="118" t="s">
        <v>90</v>
      </c>
      <c r="K13" s="118" t="s">
        <v>1</v>
      </c>
    </row>
    <row r="14" spans="1:11" x14ac:dyDescent="0.25">
      <c r="A14" t="s">
        <v>85</v>
      </c>
      <c r="B14" s="132">
        <f t="shared" ref="B14:D16" si="0">H6*$E6/$K6</f>
        <v>15</v>
      </c>
      <c r="C14" s="136">
        <f t="shared" si="0"/>
        <v>15</v>
      </c>
      <c r="D14" s="131">
        <f t="shared" si="0"/>
        <v>15</v>
      </c>
      <c r="E14" s="25">
        <f>SUM(B14:D14)</f>
        <v>45</v>
      </c>
      <c r="F14" s="25"/>
      <c r="G14" t="s">
        <v>85</v>
      </c>
      <c r="H14" s="132">
        <f>B14*B$9/B17</f>
        <v>17.485714285714288</v>
      </c>
      <c r="I14" s="136">
        <f>C14*C$9/C17</f>
        <v>13.885714285714286</v>
      </c>
      <c r="J14" s="131">
        <f>D14*D$9/D17</f>
        <v>13.62857142857143</v>
      </c>
      <c r="K14" s="25">
        <f>SUM(H14:J14)</f>
        <v>45</v>
      </c>
    </row>
    <row r="15" spans="1:11" x14ac:dyDescent="0.25">
      <c r="A15" t="s">
        <v>86</v>
      </c>
      <c r="B15" s="6">
        <f t="shared" si="0"/>
        <v>28.333333333333332</v>
      </c>
      <c r="C15" s="7">
        <f t="shared" si="0"/>
        <v>28.333333333333332</v>
      </c>
      <c r="D15" s="8">
        <f t="shared" si="0"/>
        <v>28.333333333333332</v>
      </c>
      <c r="E15" s="25">
        <f>SUM(B15:D15)</f>
        <v>85</v>
      </c>
      <c r="F15" s="25"/>
      <c r="G15" t="s">
        <v>86</v>
      </c>
      <c r="H15" s="6">
        <f>B15*B$9/B17</f>
        <v>33.028571428571432</v>
      </c>
      <c r="I15" s="7">
        <f>C15*C$9/C17</f>
        <v>26.228571428571431</v>
      </c>
      <c r="J15" s="8">
        <f>D15*D$9/D17</f>
        <v>25.742857142857144</v>
      </c>
      <c r="K15" s="25">
        <f>SUM(H15:J15)</f>
        <v>85.000000000000014</v>
      </c>
    </row>
    <row r="16" spans="1:11" x14ac:dyDescent="0.25">
      <c r="A16" t="s">
        <v>87</v>
      </c>
      <c r="B16" s="112">
        <f t="shared" si="0"/>
        <v>15</v>
      </c>
      <c r="C16" s="10">
        <f t="shared" si="0"/>
        <v>15</v>
      </c>
      <c r="D16" s="11">
        <f t="shared" si="0"/>
        <v>15</v>
      </c>
      <c r="E16" s="25">
        <f>SUM(B16:D16)</f>
        <v>45</v>
      </c>
      <c r="F16" s="25"/>
      <c r="G16" t="s">
        <v>87</v>
      </c>
      <c r="H16" s="112">
        <f>B16*B$9/B17</f>
        <v>17.485714285714288</v>
      </c>
      <c r="I16" s="10">
        <f>C16*C$9/C17</f>
        <v>13.885714285714286</v>
      </c>
      <c r="J16" s="11">
        <f>D16*D$9/D17</f>
        <v>13.62857142857143</v>
      </c>
      <c r="K16" s="25">
        <f>SUM(H16:J16)</f>
        <v>45</v>
      </c>
    </row>
    <row r="17" spans="1:11" x14ac:dyDescent="0.25">
      <c r="A17" t="s">
        <v>1</v>
      </c>
      <c r="B17" s="25">
        <f>SUM(B14:B16)</f>
        <v>58.333333333333329</v>
      </c>
      <c r="C17" s="25">
        <f>SUM(C14:C16)</f>
        <v>58.333333333333329</v>
      </c>
      <c r="D17" s="25">
        <f>SUM(D14:D16)</f>
        <v>58.333333333333329</v>
      </c>
      <c r="E17" s="25">
        <f>SUM(B17:D17)</f>
        <v>175</v>
      </c>
      <c r="F17" s="25"/>
      <c r="G17" t="s">
        <v>1</v>
      </c>
      <c r="H17" s="25">
        <f>SUM(H14:H16)</f>
        <v>68</v>
      </c>
      <c r="I17" s="25">
        <f>SUM(I14:I16)</f>
        <v>54</v>
      </c>
      <c r="J17" s="25">
        <f>SUM(J14:J16)</f>
        <v>53</v>
      </c>
      <c r="K17" s="25">
        <f>SUM(H17:J17)</f>
        <v>175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O25"/>
  <sheetViews>
    <sheetView workbookViewId="0"/>
  </sheetViews>
  <sheetFormatPr defaultRowHeight="15" x14ac:dyDescent="0.25"/>
  <cols>
    <col min="1" max="15" width="7.7109375" customWidth="1"/>
    <col min="16" max="16" width="7.42578125" customWidth="1"/>
  </cols>
  <sheetData>
    <row r="1" spans="1:15" x14ac:dyDescent="0.25">
      <c r="A1" s="1" t="s">
        <v>344</v>
      </c>
      <c r="C1" s="1"/>
      <c r="I1" s="1"/>
      <c r="K1" s="1" t="s">
        <v>342</v>
      </c>
    </row>
    <row r="3" spans="1:15" x14ac:dyDescent="0.25">
      <c r="C3" s="773" t="s">
        <v>341</v>
      </c>
      <c r="D3" s="773"/>
      <c r="E3" s="773"/>
      <c r="F3" s="773"/>
      <c r="K3" s="773" t="s">
        <v>341</v>
      </c>
      <c r="L3" s="773"/>
      <c r="M3" s="773"/>
      <c r="N3" s="773"/>
    </row>
    <row r="4" spans="1:15" x14ac:dyDescent="0.25">
      <c r="A4" s="118" t="s">
        <v>21</v>
      </c>
      <c r="B4" s="118" t="s">
        <v>340</v>
      </c>
      <c r="C4">
        <v>1</v>
      </c>
      <c r="D4">
        <f>C4+1</f>
        <v>2</v>
      </c>
      <c r="E4">
        <f>D4+1</f>
        <v>3</v>
      </c>
      <c r="F4">
        <f>E4+1</f>
        <v>4</v>
      </c>
      <c r="I4" s="118" t="s">
        <v>21</v>
      </c>
      <c r="J4" s="118" t="s">
        <v>340</v>
      </c>
      <c r="K4">
        <v>1</v>
      </c>
      <c r="L4">
        <f>K4+1</f>
        <v>2</v>
      </c>
      <c r="M4">
        <f>L4+1</f>
        <v>3</v>
      </c>
      <c r="N4">
        <f>M4+1</f>
        <v>4</v>
      </c>
    </row>
    <row r="5" spans="1:15" x14ac:dyDescent="0.25">
      <c r="A5" s="118">
        <v>1</v>
      </c>
      <c r="B5" s="118">
        <v>1</v>
      </c>
      <c r="C5" s="155">
        <v>5</v>
      </c>
      <c r="D5" s="156">
        <v>4</v>
      </c>
      <c r="E5" s="156">
        <v>6</v>
      </c>
      <c r="F5" s="157">
        <v>7</v>
      </c>
      <c r="G5" s="73">
        <f t="shared" ref="G5:G10" si="0">SUM(C5:F5)</f>
        <v>22</v>
      </c>
      <c r="I5" s="118">
        <v>1</v>
      </c>
      <c r="J5" s="118">
        <v>1</v>
      </c>
      <c r="K5" s="155">
        <v>7</v>
      </c>
      <c r="L5" s="156">
        <v>8</v>
      </c>
      <c r="M5" s="156">
        <v>5</v>
      </c>
      <c r="N5" s="157">
        <v>8</v>
      </c>
      <c r="O5" s="73">
        <f t="shared" ref="O5:O10" si="1">SUM(K5:N5)</f>
        <v>28</v>
      </c>
    </row>
    <row r="6" spans="1:15" x14ac:dyDescent="0.25">
      <c r="A6" s="118">
        <v>1</v>
      </c>
      <c r="B6" s="118">
        <v>2</v>
      </c>
      <c r="C6" s="158">
        <v>3</v>
      </c>
      <c r="D6" s="159">
        <v>6</v>
      </c>
      <c r="E6" s="159">
        <v>5</v>
      </c>
      <c r="F6" s="160">
        <v>2</v>
      </c>
      <c r="G6" s="73">
        <f t="shared" si="0"/>
        <v>16</v>
      </c>
      <c r="I6" s="118">
        <v>1</v>
      </c>
      <c r="J6" s="118">
        <v>2</v>
      </c>
      <c r="K6" s="158">
        <v>5</v>
      </c>
      <c r="L6" s="159">
        <v>6</v>
      </c>
      <c r="M6" s="159">
        <v>7</v>
      </c>
      <c r="N6" s="160">
        <v>4</v>
      </c>
      <c r="O6" s="73">
        <f t="shared" si="1"/>
        <v>22</v>
      </c>
    </row>
    <row r="7" spans="1:15" x14ac:dyDescent="0.25">
      <c r="A7" s="118">
        <v>2</v>
      </c>
      <c r="B7" s="118">
        <v>1</v>
      </c>
      <c r="C7" s="158">
        <v>9</v>
      </c>
      <c r="D7" s="159">
        <v>11</v>
      </c>
      <c r="E7" s="159">
        <v>3</v>
      </c>
      <c r="F7" s="160">
        <v>1</v>
      </c>
      <c r="G7" s="73">
        <f t="shared" si="0"/>
        <v>24</v>
      </c>
      <c r="I7" s="118">
        <v>2</v>
      </c>
      <c r="J7" s="118">
        <v>1</v>
      </c>
      <c r="K7" s="158">
        <v>12</v>
      </c>
      <c r="L7" s="159">
        <v>10</v>
      </c>
      <c r="M7" s="159">
        <v>5</v>
      </c>
      <c r="N7" s="160">
        <v>2</v>
      </c>
      <c r="O7" s="73">
        <f t="shared" si="1"/>
        <v>29</v>
      </c>
    </row>
    <row r="8" spans="1:15" x14ac:dyDescent="0.25">
      <c r="A8" s="118">
        <v>2</v>
      </c>
      <c r="B8" s="118">
        <v>2</v>
      </c>
      <c r="C8" s="158">
        <v>2</v>
      </c>
      <c r="D8" s="159">
        <v>5</v>
      </c>
      <c r="E8" s="159">
        <v>7</v>
      </c>
      <c r="F8" s="160">
        <v>3</v>
      </c>
      <c r="G8" s="73">
        <f t="shared" si="0"/>
        <v>17</v>
      </c>
      <c r="I8" s="118">
        <v>2</v>
      </c>
      <c r="J8" s="118">
        <v>2</v>
      </c>
      <c r="K8" s="158">
        <v>3</v>
      </c>
      <c r="L8" s="159">
        <v>4</v>
      </c>
      <c r="M8" s="159">
        <v>8</v>
      </c>
      <c r="N8" s="160">
        <v>5</v>
      </c>
      <c r="O8" s="73">
        <f t="shared" si="1"/>
        <v>20</v>
      </c>
    </row>
    <row r="9" spans="1:15" x14ac:dyDescent="0.25">
      <c r="A9" s="118">
        <v>3</v>
      </c>
      <c r="B9" s="118">
        <v>1</v>
      </c>
      <c r="C9" s="158">
        <v>8</v>
      </c>
      <c r="D9" s="159">
        <v>4</v>
      </c>
      <c r="E9" s="159">
        <v>12</v>
      </c>
      <c r="F9" s="160">
        <v>6</v>
      </c>
      <c r="G9" s="73">
        <f t="shared" si="0"/>
        <v>30</v>
      </c>
      <c r="I9" s="118">
        <v>3</v>
      </c>
      <c r="J9" s="118">
        <v>1</v>
      </c>
      <c r="K9" s="158">
        <v>9</v>
      </c>
      <c r="L9" s="159">
        <v>6</v>
      </c>
      <c r="M9" s="159">
        <v>11</v>
      </c>
      <c r="N9" s="160">
        <v>7</v>
      </c>
      <c r="O9" s="73">
        <f t="shared" si="1"/>
        <v>33</v>
      </c>
    </row>
    <row r="10" spans="1:15" x14ac:dyDescent="0.25">
      <c r="A10" s="118">
        <v>3</v>
      </c>
      <c r="B10" s="118">
        <v>2</v>
      </c>
      <c r="C10" s="161">
        <v>13</v>
      </c>
      <c r="D10" s="162">
        <v>8</v>
      </c>
      <c r="E10" s="162">
        <v>2</v>
      </c>
      <c r="F10" s="163">
        <v>11</v>
      </c>
      <c r="G10" s="73">
        <f t="shared" si="0"/>
        <v>34</v>
      </c>
      <c r="I10" s="118">
        <v>3</v>
      </c>
      <c r="J10" s="118">
        <v>2</v>
      </c>
      <c r="K10" s="161">
        <v>15</v>
      </c>
      <c r="L10" s="162">
        <v>10</v>
      </c>
      <c r="M10" s="162">
        <v>5</v>
      </c>
      <c r="N10" s="163">
        <v>13</v>
      </c>
      <c r="O10" s="73">
        <f t="shared" si="1"/>
        <v>43</v>
      </c>
    </row>
    <row r="11" spans="1:15" x14ac:dyDescent="0.25">
      <c r="C11" s="164">
        <f>SUM(C5:C10)</f>
        <v>40</v>
      </c>
      <c r="D11" s="164">
        <f>SUM(D5:D10)</f>
        <v>38</v>
      </c>
      <c r="E11" s="164">
        <f>SUM(E5:E10)</f>
        <v>35</v>
      </c>
      <c r="F11" s="164">
        <f>SUM(F5:F10)</f>
        <v>30</v>
      </c>
      <c r="G11" s="166">
        <f>SUM(G5:G10)</f>
        <v>143</v>
      </c>
      <c r="K11" s="164">
        <f>SUM(K5:K10)</f>
        <v>51</v>
      </c>
      <c r="L11" s="164">
        <f>SUM(L5:L10)</f>
        <v>44</v>
      </c>
      <c r="M11" s="164">
        <f>SUM(M5:M10)</f>
        <v>41</v>
      </c>
      <c r="N11" s="164">
        <f>SUM(N5:N10)</f>
        <v>39</v>
      </c>
      <c r="O11" s="166">
        <f>SUM(O5:O10)</f>
        <v>175</v>
      </c>
    </row>
    <row r="12" spans="1:15" x14ac:dyDescent="0.25">
      <c r="O12" s="147"/>
    </row>
    <row r="13" spans="1:15" x14ac:dyDescent="0.25">
      <c r="A13" s="118">
        <v>1</v>
      </c>
      <c r="C13" s="148">
        <f>SUMIF(A5:A10,A13,C5:C10)</f>
        <v>8</v>
      </c>
      <c r="D13" s="149">
        <f>SUMIF(A5:A10,A13,D5:D10)</f>
        <v>10</v>
      </c>
      <c r="E13" s="149">
        <f>SUMIF(A5:A10,A13,E5:E10)</f>
        <v>11</v>
      </c>
      <c r="F13" s="150">
        <f>SUMIF(A5:A10,A13,F5:F10)</f>
        <v>9</v>
      </c>
      <c r="G13" s="165">
        <f>SUM(C13:F13)</f>
        <v>38</v>
      </c>
      <c r="I13" s="118">
        <v>1</v>
      </c>
      <c r="K13" s="148">
        <f>SUMIF(I5:I10,I13,K5:K10)</f>
        <v>12</v>
      </c>
      <c r="L13" s="149">
        <f>SUMIF(I5:I10,I13,L5:L10)</f>
        <v>14</v>
      </c>
      <c r="M13" s="149">
        <f>SUMIF(I5:I10,I13,M5:M10)</f>
        <v>12</v>
      </c>
      <c r="N13" s="150">
        <f>SUMIF(I5:I10,I13,N5:N10)</f>
        <v>12</v>
      </c>
      <c r="O13" s="165">
        <f>SUM(K13:N13)</f>
        <v>50</v>
      </c>
    </row>
    <row r="14" spans="1:15" x14ac:dyDescent="0.25">
      <c r="A14" s="118">
        <v>2</v>
      </c>
      <c r="C14" s="151">
        <f>SUMIF(A5:A10,A14,C5:C10)</f>
        <v>11</v>
      </c>
      <c r="D14" s="73">
        <f>SUMIF(A5:A10,A14,D5:D10)</f>
        <v>16</v>
      </c>
      <c r="E14" s="73">
        <f>SUMIF(A5:A10,A14,E5:E10)</f>
        <v>10</v>
      </c>
      <c r="F14" s="70">
        <f>SUMIF(A5:A10,A14,F5:F10)</f>
        <v>4</v>
      </c>
      <c r="G14" s="165">
        <f>SUM(C14:F14)</f>
        <v>41</v>
      </c>
      <c r="I14" s="118">
        <v>2</v>
      </c>
      <c r="K14" s="151">
        <f>SUMIF(I5:I10,I14,K5:K10)</f>
        <v>15</v>
      </c>
      <c r="L14" s="73">
        <f>SUMIF(I5:I10,I14,L5:L10)</f>
        <v>14</v>
      </c>
      <c r="M14" s="73">
        <f>SUMIF(I5:I10,I14,M5:M10)</f>
        <v>13</v>
      </c>
      <c r="N14" s="70">
        <f>SUMIF(I5:I10,I14,N5:N10)</f>
        <v>7</v>
      </c>
      <c r="O14" s="165">
        <f>SUM(K14:N14)</f>
        <v>49</v>
      </c>
    </row>
    <row r="15" spans="1:15" x14ac:dyDescent="0.25">
      <c r="A15" s="118">
        <v>3</v>
      </c>
      <c r="C15" s="152">
        <f>SUMIF(A5:A10,A15,C5:C10)</f>
        <v>21</v>
      </c>
      <c r="D15" s="153">
        <f>SUMIF(A5:A10,A15,D5:D10)</f>
        <v>12</v>
      </c>
      <c r="E15" s="153">
        <f>SUMIF(A5:A10,A15,E5:E10)</f>
        <v>14</v>
      </c>
      <c r="F15" s="154">
        <f>SUMIF(A5:A10,A15,F5:F10)</f>
        <v>17</v>
      </c>
      <c r="G15" s="165">
        <f>SUM(C15:F15)</f>
        <v>64</v>
      </c>
      <c r="I15" s="118">
        <v>3</v>
      </c>
      <c r="K15" s="152">
        <f>SUMIF(I5:I10,I15,K5:K10)</f>
        <v>24</v>
      </c>
      <c r="L15" s="153">
        <f>SUMIF(I5:I10,I15,L5:L10)</f>
        <v>16</v>
      </c>
      <c r="M15" s="153">
        <f>SUMIF(I5:I10,I15,M5:M10)</f>
        <v>16</v>
      </c>
      <c r="N15" s="154">
        <f>SUMIF(I5:I10,I15,N5:N10)</f>
        <v>20</v>
      </c>
      <c r="O15" s="165">
        <f>SUM(K15:N15)</f>
        <v>76</v>
      </c>
    </row>
    <row r="17" spans="2:15" x14ac:dyDescent="0.25">
      <c r="B17" s="118">
        <v>1</v>
      </c>
      <c r="C17" s="148">
        <f>SUMIF(B5:B10,B17,C5:C10)</f>
        <v>22</v>
      </c>
      <c r="D17" s="149">
        <f>SUMIF(B5:B10,B17,D5:D10)</f>
        <v>19</v>
      </c>
      <c r="E17" s="149">
        <f>SUMIF(B5:B10,B17,E5:E10)</f>
        <v>21</v>
      </c>
      <c r="F17" s="150">
        <f>SUMIF(B5:B10,B17,F5:F10)</f>
        <v>14</v>
      </c>
      <c r="G17" s="165">
        <f>SUM(C17:F17)</f>
        <v>76</v>
      </c>
      <c r="J17" s="118">
        <v>1</v>
      </c>
      <c r="K17" s="148">
        <f>SUMIF(J5:J10,J17,K5:K10)</f>
        <v>28</v>
      </c>
      <c r="L17" s="149">
        <f>SUMIF(J5:J10,J17,L5:L10)</f>
        <v>24</v>
      </c>
      <c r="M17" s="149">
        <f>SUMIF(J5:J10,J17,M5:M10)</f>
        <v>21</v>
      </c>
      <c r="N17" s="150">
        <f>SUMIF(J5:J10,J17,N5:N10)</f>
        <v>17</v>
      </c>
      <c r="O17" s="165">
        <f>SUM(K17:N17)</f>
        <v>90</v>
      </c>
    </row>
    <row r="18" spans="2:15" x14ac:dyDescent="0.25">
      <c r="B18" s="118">
        <v>2</v>
      </c>
      <c r="C18" s="152">
        <f>SUMIF(B5:B10,B18,C5:C10)</f>
        <v>18</v>
      </c>
      <c r="D18" s="153">
        <f>SUMIF(B5:B10,B18,D5:D10)</f>
        <v>19</v>
      </c>
      <c r="E18" s="153">
        <f>SUMIF(B5:B10,B18,E5:E10)</f>
        <v>14</v>
      </c>
      <c r="F18" s="154">
        <f>SUMIF(B5:B10,B18,F5:F10)</f>
        <v>16</v>
      </c>
      <c r="G18" s="165">
        <f>SUM(C18:F18)</f>
        <v>67</v>
      </c>
      <c r="J18" s="118">
        <v>2</v>
      </c>
      <c r="K18" s="152">
        <f>SUMIF(J5:J10,J18,K5:K10)</f>
        <v>23</v>
      </c>
      <c r="L18" s="153">
        <f>SUMIF(J5:J10,J18,L5:L10)</f>
        <v>20</v>
      </c>
      <c r="M18" s="153">
        <f>SUMIF(J5:J10,J18,M5:M10)</f>
        <v>20</v>
      </c>
      <c r="N18" s="154">
        <f>SUMIF(J5:J10,J18,N5:N10)</f>
        <v>22</v>
      </c>
      <c r="O18" s="165">
        <f>SUM(K18:N18)</f>
        <v>85</v>
      </c>
    </row>
    <row r="19" spans="2:15" x14ac:dyDescent="0.25">
      <c r="O19" s="147"/>
    </row>
    <row r="20" spans="2:15" x14ac:dyDescent="0.25">
      <c r="O20" s="147"/>
    </row>
    <row r="21" spans="2:15" x14ac:dyDescent="0.25">
      <c r="O21" s="147"/>
    </row>
    <row r="22" spans="2:15" x14ac:dyDescent="0.25">
      <c r="O22" s="147"/>
    </row>
    <row r="23" spans="2:15" x14ac:dyDescent="0.25">
      <c r="O23" s="147"/>
    </row>
    <row r="24" spans="2:15" x14ac:dyDescent="0.25">
      <c r="O24" s="147"/>
    </row>
    <row r="25" spans="2:15" x14ac:dyDescent="0.25">
      <c r="O25" s="147"/>
    </row>
  </sheetData>
  <mergeCells count="2">
    <mergeCell ref="K3:N3"/>
    <mergeCell ref="C3:F3"/>
  </mergeCells>
  <pageMargins left="0.7" right="0.7" top="0.75" bottom="0.75" header="0.3" footer="0.3"/>
  <ignoredErrors>
    <ignoredError sqref="G5:G10 C11 O5:O10 K1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W325"/>
  <sheetViews>
    <sheetView zoomScaleNormal="100" workbookViewId="0"/>
  </sheetViews>
  <sheetFormatPr defaultRowHeight="15" x14ac:dyDescent="0.25"/>
  <cols>
    <col min="1" max="23" width="7.7109375" customWidth="1"/>
  </cols>
  <sheetData>
    <row r="1" spans="1:23" x14ac:dyDescent="0.25">
      <c r="A1" s="1" t="s">
        <v>335</v>
      </c>
    </row>
    <row r="2" spans="1:23" x14ac:dyDescent="0.25">
      <c r="C2" s="1"/>
      <c r="Q2" s="1"/>
      <c r="S2" s="1"/>
    </row>
    <row r="3" spans="1:23" x14ac:dyDescent="0.25">
      <c r="B3" t="s">
        <v>343</v>
      </c>
      <c r="R3" t="s">
        <v>294</v>
      </c>
    </row>
    <row r="4" spans="1:23" x14ac:dyDescent="0.25">
      <c r="C4" s="773" t="s">
        <v>341</v>
      </c>
      <c r="D4" s="773"/>
      <c r="E4" s="773"/>
      <c r="F4" s="773"/>
      <c r="S4" s="773" t="s">
        <v>341</v>
      </c>
      <c r="T4" s="773"/>
      <c r="U4" s="773"/>
      <c r="V4" s="773"/>
    </row>
    <row r="5" spans="1:23" x14ac:dyDescent="0.25">
      <c r="A5" s="118" t="s">
        <v>21</v>
      </c>
      <c r="B5" s="118" t="s">
        <v>340</v>
      </c>
      <c r="C5">
        <v>1</v>
      </c>
      <c r="D5">
        <f>C5+1</f>
        <v>2</v>
      </c>
      <c r="E5">
        <f>D5+1</f>
        <v>3</v>
      </c>
      <c r="F5">
        <f>E5+1</f>
        <v>4</v>
      </c>
      <c r="Q5" s="118" t="s">
        <v>21</v>
      </c>
      <c r="R5" s="118" t="s">
        <v>340</v>
      </c>
      <c r="S5">
        <v>1</v>
      </c>
      <c r="T5">
        <f>S5+1</f>
        <v>2</v>
      </c>
      <c r="U5">
        <f>T5+1</f>
        <v>3</v>
      </c>
      <c r="V5">
        <f>U5+1</f>
        <v>4</v>
      </c>
    </row>
    <row r="6" spans="1:23" x14ac:dyDescent="0.25">
      <c r="A6" s="118">
        <v>1</v>
      </c>
      <c r="B6" s="118">
        <v>1</v>
      </c>
      <c r="C6" s="155">
        <v>5</v>
      </c>
      <c r="D6" s="156">
        <v>4</v>
      </c>
      <c r="E6" s="156">
        <v>6</v>
      </c>
      <c r="F6" s="157">
        <v>7</v>
      </c>
      <c r="G6" s="73">
        <f>'IPFP 3.1'!O5</f>
        <v>28</v>
      </c>
      <c r="Q6" s="118">
        <v>1</v>
      </c>
      <c r="R6" s="118">
        <v>1</v>
      </c>
      <c r="S6" s="155">
        <f t="shared" ref="S6:V11" si="0">C6</f>
        <v>5</v>
      </c>
      <c r="T6" s="156">
        <f t="shared" si="0"/>
        <v>4</v>
      </c>
      <c r="U6" s="156">
        <f t="shared" si="0"/>
        <v>6</v>
      </c>
      <c r="V6" s="157">
        <f t="shared" si="0"/>
        <v>7</v>
      </c>
      <c r="W6" s="73">
        <f t="shared" ref="W6:W11" si="1">SUM(S6:V6)</f>
        <v>22</v>
      </c>
    </row>
    <row r="7" spans="1:23" x14ac:dyDescent="0.25">
      <c r="A7" s="118">
        <v>1</v>
      </c>
      <c r="B7" s="118">
        <v>2</v>
      </c>
      <c r="C7" s="158">
        <v>3</v>
      </c>
      <c r="D7" s="159">
        <v>6</v>
      </c>
      <c r="E7" s="159">
        <v>5</v>
      </c>
      <c r="F7" s="160">
        <v>2</v>
      </c>
      <c r="G7" s="73">
        <f>'IPFP 3.1'!O6</f>
        <v>22</v>
      </c>
      <c r="Q7" s="118">
        <v>1</v>
      </c>
      <c r="R7" s="118">
        <v>2</v>
      </c>
      <c r="S7" s="158">
        <f t="shared" si="0"/>
        <v>3</v>
      </c>
      <c r="T7" s="159">
        <f t="shared" si="0"/>
        <v>6</v>
      </c>
      <c r="U7" s="159">
        <f t="shared" si="0"/>
        <v>5</v>
      </c>
      <c r="V7" s="160">
        <f t="shared" si="0"/>
        <v>2</v>
      </c>
      <c r="W7" s="73">
        <f t="shared" si="1"/>
        <v>16</v>
      </c>
    </row>
    <row r="8" spans="1:23" x14ac:dyDescent="0.25">
      <c r="A8" s="118">
        <v>2</v>
      </c>
      <c r="B8" s="118">
        <v>1</v>
      </c>
      <c r="C8" s="158">
        <v>9</v>
      </c>
      <c r="D8" s="159">
        <v>11</v>
      </c>
      <c r="E8" s="159">
        <v>3</v>
      </c>
      <c r="F8" s="160">
        <v>1</v>
      </c>
      <c r="G8" s="73">
        <f>'IPFP 3.1'!O7</f>
        <v>29</v>
      </c>
      <c r="Q8" s="118">
        <v>2</v>
      </c>
      <c r="R8" s="118">
        <v>1</v>
      </c>
      <c r="S8" s="158">
        <f t="shared" si="0"/>
        <v>9</v>
      </c>
      <c r="T8" s="159">
        <f t="shared" si="0"/>
        <v>11</v>
      </c>
      <c r="U8" s="159">
        <f t="shared" si="0"/>
        <v>3</v>
      </c>
      <c r="V8" s="160">
        <f t="shared" si="0"/>
        <v>1</v>
      </c>
      <c r="W8" s="73">
        <f t="shared" si="1"/>
        <v>24</v>
      </c>
    </row>
    <row r="9" spans="1:23" x14ac:dyDescent="0.25">
      <c r="A9" s="118">
        <v>2</v>
      </c>
      <c r="B9" s="118">
        <v>2</v>
      </c>
      <c r="C9" s="158">
        <v>2</v>
      </c>
      <c r="D9" s="159">
        <v>5</v>
      </c>
      <c r="E9" s="159">
        <v>7</v>
      </c>
      <c r="F9" s="160">
        <v>3</v>
      </c>
      <c r="G9" s="73">
        <f>'IPFP 3.1'!O8</f>
        <v>20</v>
      </c>
      <c r="Q9" s="118">
        <v>2</v>
      </c>
      <c r="R9" s="118">
        <v>2</v>
      </c>
      <c r="S9" s="158">
        <f t="shared" si="0"/>
        <v>2</v>
      </c>
      <c r="T9" s="159">
        <f t="shared" si="0"/>
        <v>5</v>
      </c>
      <c r="U9" s="159">
        <f t="shared" si="0"/>
        <v>7</v>
      </c>
      <c r="V9" s="160">
        <f t="shared" si="0"/>
        <v>3</v>
      </c>
      <c r="W9" s="73">
        <f t="shared" si="1"/>
        <v>17</v>
      </c>
    </row>
    <row r="10" spans="1:23" x14ac:dyDescent="0.25">
      <c r="A10" s="118">
        <v>3</v>
      </c>
      <c r="B10" s="118">
        <v>1</v>
      </c>
      <c r="C10" s="158">
        <v>8</v>
      </c>
      <c r="D10" s="159">
        <v>4</v>
      </c>
      <c r="E10" s="159">
        <v>12</v>
      </c>
      <c r="F10" s="160">
        <v>6</v>
      </c>
      <c r="G10" s="73">
        <f>'IPFP 3.1'!O9</f>
        <v>33</v>
      </c>
      <c r="Q10" s="118">
        <v>3</v>
      </c>
      <c r="R10" s="118">
        <v>1</v>
      </c>
      <c r="S10" s="158">
        <f t="shared" si="0"/>
        <v>8</v>
      </c>
      <c r="T10" s="159">
        <f t="shared" si="0"/>
        <v>4</v>
      </c>
      <c r="U10" s="159">
        <f t="shared" si="0"/>
        <v>12</v>
      </c>
      <c r="V10" s="160">
        <f t="shared" si="0"/>
        <v>6</v>
      </c>
      <c r="W10" s="73">
        <f t="shared" si="1"/>
        <v>30</v>
      </c>
    </row>
    <row r="11" spans="1:23" x14ac:dyDescent="0.25">
      <c r="A11" s="118">
        <v>3</v>
      </c>
      <c r="B11" s="118">
        <v>2</v>
      </c>
      <c r="C11" s="161">
        <v>13</v>
      </c>
      <c r="D11" s="162">
        <v>8</v>
      </c>
      <c r="E11" s="162">
        <v>2</v>
      </c>
      <c r="F11" s="163">
        <v>11</v>
      </c>
      <c r="G11" s="73">
        <f>'IPFP 3.1'!O10</f>
        <v>43</v>
      </c>
      <c r="Q11" s="118">
        <v>3</v>
      </c>
      <c r="R11" s="118">
        <v>2</v>
      </c>
      <c r="S11" s="161">
        <f t="shared" si="0"/>
        <v>13</v>
      </c>
      <c r="T11" s="162">
        <f t="shared" si="0"/>
        <v>8</v>
      </c>
      <c r="U11" s="162">
        <f t="shared" si="0"/>
        <v>2</v>
      </c>
      <c r="V11" s="163">
        <f t="shared" si="0"/>
        <v>11</v>
      </c>
      <c r="W11" s="73">
        <f t="shared" si="1"/>
        <v>34</v>
      </c>
    </row>
    <row r="12" spans="1:23" x14ac:dyDescent="0.25">
      <c r="C12" s="164">
        <f>SUM(C14:C16)</f>
        <v>51</v>
      </c>
      <c r="D12" s="164">
        <f>SUM(D14:D16)</f>
        <v>44</v>
      </c>
      <c r="E12" s="164">
        <f>SUM(E14:E16)</f>
        <v>41</v>
      </c>
      <c r="F12" s="164">
        <f>SUM(F14:F16)</f>
        <v>39</v>
      </c>
      <c r="G12" s="166">
        <f>SUM(G6:G11)</f>
        <v>175</v>
      </c>
      <c r="S12" s="164">
        <f>SUM(S6:S11)</f>
        <v>40</v>
      </c>
      <c r="T12" s="164">
        <f>SUM(T6:T11)</f>
        <v>38</v>
      </c>
      <c r="U12" s="164">
        <f>SUM(U6:U11)</f>
        <v>35</v>
      </c>
      <c r="V12" s="164">
        <f>SUM(V6:V11)</f>
        <v>30</v>
      </c>
      <c r="W12" s="166">
        <f>SUM(W6:W11)</f>
        <v>143</v>
      </c>
    </row>
    <row r="14" spans="1:23" x14ac:dyDescent="0.25">
      <c r="A14" s="118">
        <v>1</v>
      </c>
      <c r="C14" s="148">
        <f>'IPFP 3.1'!K13</f>
        <v>12</v>
      </c>
      <c r="D14" s="149">
        <f>'IPFP 3.1'!L13</f>
        <v>14</v>
      </c>
      <c r="E14" s="149">
        <f>'IPFP 3.1'!M13</f>
        <v>12</v>
      </c>
      <c r="F14" s="150">
        <f>'IPFP 3.1'!N13</f>
        <v>12</v>
      </c>
      <c r="G14" s="165">
        <f>SUM(C14:F14)</f>
        <v>50</v>
      </c>
      <c r="Q14" s="118">
        <v>1</v>
      </c>
      <c r="S14" s="148">
        <f>SUMIF(Q6:Q11,Q14,S6:S11)</f>
        <v>8</v>
      </c>
      <c r="T14" s="149">
        <f>SUMIF(Q6:Q11,Q14,T6:T11)</f>
        <v>10</v>
      </c>
      <c r="U14" s="149">
        <f>SUMIF(Q6:Q11,Q14,U6:U11)</f>
        <v>11</v>
      </c>
      <c r="V14" s="150">
        <f>SUMIF(Q6:Q11,Q14,V6:V11)</f>
        <v>9</v>
      </c>
      <c r="W14" s="165">
        <f>SUM(S14:V14)</f>
        <v>38</v>
      </c>
    </row>
    <row r="15" spans="1:23" x14ac:dyDescent="0.25">
      <c r="A15" s="118">
        <v>2</v>
      </c>
      <c r="C15" s="151">
        <f>'IPFP 3.1'!K14</f>
        <v>15</v>
      </c>
      <c r="D15" s="73">
        <f>'IPFP 3.1'!L14</f>
        <v>14</v>
      </c>
      <c r="E15" s="73">
        <f>'IPFP 3.1'!M14</f>
        <v>13</v>
      </c>
      <c r="F15" s="70">
        <f>'IPFP 3.1'!N14</f>
        <v>7</v>
      </c>
      <c r="G15" s="165">
        <f>SUM(C15:F15)</f>
        <v>49</v>
      </c>
      <c r="Q15" s="118">
        <v>2</v>
      </c>
      <c r="S15" s="151">
        <f>SUMIF(Q6:Q11,Q15,S6:S11)</f>
        <v>11</v>
      </c>
      <c r="T15" s="73">
        <f>SUMIF(Q6:Q11,Q15,T6:T11)</f>
        <v>16</v>
      </c>
      <c r="U15" s="73">
        <f>SUMIF(Q6:Q11,Q15,U6:U11)</f>
        <v>10</v>
      </c>
      <c r="V15" s="70">
        <f>SUMIF(Q6:Q11,Q15,V6:V11)</f>
        <v>4</v>
      </c>
      <c r="W15" s="165">
        <f>SUM(S15:V15)</f>
        <v>41</v>
      </c>
    </row>
    <row r="16" spans="1:23" x14ac:dyDescent="0.25">
      <c r="A16" s="118">
        <v>3</v>
      </c>
      <c r="C16" s="152">
        <f>'IPFP 3.1'!K15</f>
        <v>24</v>
      </c>
      <c r="D16" s="153">
        <f>'IPFP 3.1'!L15</f>
        <v>16</v>
      </c>
      <c r="E16" s="153">
        <f>'IPFP 3.1'!M15</f>
        <v>16</v>
      </c>
      <c r="F16" s="154">
        <f>'IPFP 3.1'!N15</f>
        <v>20</v>
      </c>
      <c r="G16" s="165">
        <f>SUM(C16:F16)</f>
        <v>76</v>
      </c>
      <c r="Q16" s="118">
        <v>3</v>
      </c>
      <c r="S16" s="152">
        <f>SUMIF(Q6:Q11,Q16,S6:S11)</f>
        <v>21</v>
      </c>
      <c r="T16" s="153">
        <f>SUMIF(Q6:Q11,Q16,T6:T11)</f>
        <v>12</v>
      </c>
      <c r="U16" s="153">
        <f>SUMIF(Q6:Q11,Q16,U6:U11)</f>
        <v>14</v>
      </c>
      <c r="V16" s="154">
        <f>SUMIF(Q6:Q11,Q16,V6:V11)</f>
        <v>17</v>
      </c>
      <c r="W16" s="165">
        <f>SUM(S16:V16)</f>
        <v>64</v>
      </c>
    </row>
    <row r="18" spans="1:23" x14ac:dyDescent="0.25">
      <c r="B18" s="118">
        <v>1</v>
      </c>
      <c r="C18" s="148">
        <f>'IPFP 3.1'!K17</f>
        <v>28</v>
      </c>
      <c r="D18" s="149">
        <f>'IPFP 3.1'!L17</f>
        <v>24</v>
      </c>
      <c r="E18" s="149">
        <f>'IPFP 3.1'!M17</f>
        <v>21</v>
      </c>
      <c r="F18" s="150">
        <f>'IPFP 3.1'!N17</f>
        <v>17</v>
      </c>
      <c r="G18" s="165">
        <f>SUM(C18:F18)</f>
        <v>90</v>
      </c>
      <c r="R18" s="118">
        <v>1</v>
      </c>
      <c r="S18" s="148">
        <f>SUMIF(R6:R11,R18,S6:S11)</f>
        <v>22</v>
      </c>
      <c r="T18" s="149">
        <f>SUMIF(R6:R11,R18,T6:T11)</f>
        <v>19</v>
      </c>
      <c r="U18" s="149">
        <f>SUMIF(R6:R11,R18,U6:U11)</f>
        <v>21</v>
      </c>
      <c r="V18" s="150">
        <f>SUMIF(R6:R11,R18,V6:V11)</f>
        <v>14</v>
      </c>
      <c r="W18" s="165">
        <f>SUM(S18:V18)</f>
        <v>76</v>
      </c>
    </row>
    <row r="19" spans="1:23" x14ac:dyDescent="0.25">
      <c r="B19" s="118">
        <v>2</v>
      </c>
      <c r="C19" s="152">
        <f>'IPFP 3.1'!K18</f>
        <v>23</v>
      </c>
      <c r="D19" s="153">
        <f>'IPFP 3.1'!L18</f>
        <v>20</v>
      </c>
      <c r="E19" s="153">
        <f>'IPFP 3.1'!M18</f>
        <v>20</v>
      </c>
      <c r="F19" s="154">
        <f>'IPFP 3.1'!N18</f>
        <v>22</v>
      </c>
      <c r="G19" s="165">
        <f>SUM(C19:F19)</f>
        <v>85</v>
      </c>
      <c r="R19" s="118">
        <v>2</v>
      </c>
      <c r="S19" s="152">
        <f>SUMIF(R6:R11,R19,S6:S11)</f>
        <v>18</v>
      </c>
      <c r="T19" s="153">
        <f>SUMIF(R6:R11,R19,T6:T11)</f>
        <v>19</v>
      </c>
      <c r="U19" s="153">
        <f>SUMIF(R6:R11,R19,U6:U11)</f>
        <v>14</v>
      </c>
      <c r="V19" s="154">
        <f>SUMIF(R6:R11,R19,V6:V11)</f>
        <v>16</v>
      </c>
      <c r="W19" s="165">
        <f>SUM(S19:V19)</f>
        <v>67</v>
      </c>
    </row>
    <row r="21" spans="1:23" x14ac:dyDescent="0.25">
      <c r="C21" t="s">
        <v>345</v>
      </c>
      <c r="K21" t="s">
        <v>346</v>
      </c>
      <c r="S21" t="s">
        <v>347</v>
      </c>
    </row>
    <row r="23" spans="1:23" x14ac:dyDescent="0.25">
      <c r="A23" s="118" t="s">
        <v>21</v>
      </c>
      <c r="B23" s="118" t="s">
        <v>340</v>
      </c>
      <c r="C23">
        <v>1</v>
      </c>
      <c r="D23">
        <f>C23+1</f>
        <v>2</v>
      </c>
      <c r="E23">
        <f>D23+1</f>
        <v>3</v>
      </c>
      <c r="F23">
        <f>E23+1</f>
        <v>4</v>
      </c>
      <c r="I23" s="118" t="s">
        <v>21</v>
      </c>
      <c r="J23" s="118" t="s">
        <v>340</v>
      </c>
      <c r="K23">
        <v>1</v>
      </c>
      <c r="L23">
        <f>K23+1</f>
        <v>2</v>
      </c>
      <c r="M23">
        <f>L23+1</f>
        <v>3</v>
      </c>
      <c r="N23">
        <f>M23+1</f>
        <v>4</v>
      </c>
      <c r="Q23" s="118" t="s">
        <v>21</v>
      </c>
      <c r="R23" s="118" t="s">
        <v>340</v>
      </c>
      <c r="S23">
        <v>1</v>
      </c>
      <c r="T23">
        <f>S23+1</f>
        <v>2</v>
      </c>
      <c r="U23">
        <f>T23+1</f>
        <v>3</v>
      </c>
      <c r="V23">
        <f>U23+1</f>
        <v>4</v>
      </c>
    </row>
    <row r="24" spans="1:23" x14ac:dyDescent="0.25">
      <c r="A24" s="118">
        <v>1</v>
      </c>
      <c r="B24" s="118">
        <v>1</v>
      </c>
      <c r="C24" s="155">
        <f>S6*$G$6/$W6</f>
        <v>6.3636363636363633</v>
      </c>
      <c r="D24" s="156">
        <f>T6*$G$6/$W6</f>
        <v>5.0909090909090908</v>
      </c>
      <c r="E24" s="156">
        <f>U6*$G$6/$W6</f>
        <v>7.6363636363636367</v>
      </c>
      <c r="F24" s="157">
        <f>V6*$G$6/$W6</f>
        <v>8.9090909090909083</v>
      </c>
      <c r="G24" s="73">
        <f t="shared" ref="G24:G29" si="2">SUM(C24:F24)</f>
        <v>28</v>
      </c>
      <c r="I24" s="118">
        <v>1</v>
      </c>
      <c r="J24" s="118">
        <v>1</v>
      </c>
      <c r="K24" s="155">
        <f>C24*$C$14/C32</f>
        <v>7.2806067172264353</v>
      </c>
      <c r="L24" s="156">
        <f>D24*$D$14/D32</f>
        <v>5.3424190800681428</v>
      </c>
      <c r="M24" s="156">
        <f>E24*$E$14/E32</f>
        <v>6.3148003132341426</v>
      </c>
      <c r="N24" s="157">
        <f>F24*F14/F32</f>
        <v>9.1695906432748551</v>
      </c>
      <c r="O24" s="73">
        <f t="shared" ref="O24:O29" si="3">SUM(K24:N24)</f>
        <v>28.107416753803573</v>
      </c>
      <c r="Q24" s="118">
        <v>1</v>
      </c>
      <c r="R24" s="118">
        <v>1</v>
      </c>
      <c r="S24" s="155">
        <f>K24*$C$18/K36</f>
        <v>7.2858790655999295</v>
      </c>
      <c r="T24" s="156">
        <f>L24*$D$18/L36</f>
        <v>6.4441993454181441</v>
      </c>
      <c r="U24" s="156">
        <f>M24*$E$18/M36</f>
        <v>5.5918022607030737</v>
      </c>
      <c r="V24" s="157">
        <f>N24*$F$18/N36</f>
        <v>8.9638287565508747</v>
      </c>
      <c r="W24" s="73">
        <f t="shared" ref="W24:W29" si="4">SUM(S24:V24)</f>
        <v>28.285709428272021</v>
      </c>
    </row>
    <row r="25" spans="1:23" x14ac:dyDescent="0.25">
      <c r="A25" s="118">
        <v>1</v>
      </c>
      <c r="B25" s="118">
        <v>2</v>
      </c>
      <c r="C25" s="158">
        <f>S7*$G$7/$W7</f>
        <v>4.125</v>
      </c>
      <c r="D25" s="159">
        <f>T7*$G$7/$W7</f>
        <v>8.25</v>
      </c>
      <c r="E25" s="159">
        <f>U7*$G$7/$W7</f>
        <v>6.875</v>
      </c>
      <c r="F25" s="160">
        <f>V7*$G$7/$W7</f>
        <v>2.75</v>
      </c>
      <c r="G25" s="73">
        <f t="shared" si="2"/>
        <v>22</v>
      </c>
      <c r="I25" s="118">
        <v>1</v>
      </c>
      <c r="J25" s="118">
        <v>2</v>
      </c>
      <c r="K25" s="158">
        <f>C25*$C$14/C32</f>
        <v>4.7193932827735647</v>
      </c>
      <c r="L25" s="159">
        <f>D25*$D$14/D32</f>
        <v>8.6575809199318581</v>
      </c>
      <c r="M25" s="159">
        <f>E25*$E$14/E32</f>
        <v>5.6851996867658574</v>
      </c>
      <c r="N25" s="160">
        <f>F25*$F$14/F32</f>
        <v>2.8304093567251463</v>
      </c>
      <c r="O25" s="73">
        <f t="shared" si="3"/>
        <v>21.892583246196427</v>
      </c>
      <c r="Q25" s="118">
        <v>1</v>
      </c>
      <c r="R25" s="118">
        <v>2</v>
      </c>
      <c r="S25" s="158">
        <f>K25*$C$19/K37</f>
        <v>4.7152393823492478</v>
      </c>
      <c r="T25" s="159">
        <f>L25*$D$19/L37</f>
        <v>7.1837195444572535</v>
      </c>
      <c r="U25" s="159">
        <f>M25*$E$19/M37</f>
        <v>6.578271577283366</v>
      </c>
      <c r="V25" s="160">
        <f>N25*$F$19/N37</f>
        <v>2.8815209482098028</v>
      </c>
      <c r="W25" s="73">
        <f t="shared" si="4"/>
        <v>21.358751452299671</v>
      </c>
    </row>
    <row r="26" spans="1:23" x14ac:dyDescent="0.25">
      <c r="A26" s="118">
        <v>2</v>
      </c>
      <c r="B26" s="118">
        <v>1</v>
      </c>
      <c r="C26" s="158">
        <f>S8*$G$8/$W8</f>
        <v>10.875</v>
      </c>
      <c r="D26" s="159">
        <f>T8*$G$8/$W8</f>
        <v>13.291666666666666</v>
      </c>
      <c r="E26" s="159">
        <f>U8*$G$8/$W8</f>
        <v>3.625</v>
      </c>
      <c r="F26" s="160">
        <f>V8*$G$8/$W8</f>
        <v>1.2083333333333333</v>
      </c>
      <c r="G26" s="73">
        <f t="shared" si="2"/>
        <v>28.999999999999996</v>
      </c>
      <c r="I26" s="118">
        <v>2</v>
      </c>
      <c r="J26" s="118">
        <v>1</v>
      </c>
      <c r="K26" s="158">
        <f>C26*$C$15/C33</f>
        <v>12.331851028349082</v>
      </c>
      <c r="L26" s="159">
        <f>D26*$D$15/D33</f>
        <v>9.7049725169372358</v>
      </c>
      <c r="M26" s="159">
        <f>E26*$E$15/E33</f>
        <v>3.97334159950403</v>
      </c>
      <c r="N26" s="160">
        <f>F26*$F$15/F33</f>
        <v>1.785307811691671</v>
      </c>
      <c r="O26" s="73">
        <f t="shared" si="3"/>
        <v>27.795472956482019</v>
      </c>
      <c r="Q26" s="118">
        <v>2</v>
      </c>
      <c r="R26" s="118">
        <v>1</v>
      </c>
      <c r="S26" s="158">
        <f>K26*$C$18/K36</f>
        <v>12.340781302601865</v>
      </c>
      <c r="T26" s="159">
        <f>L26*$D$18/L36</f>
        <v>11.706452938946583</v>
      </c>
      <c r="U26" s="159">
        <f>M26*$E$18/M36</f>
        <v>3.5184232971055134</v>
      </c>
      <c r="V26" s="160">
        <f>N26*$F$18/N36</f>
        <v>1.745246230100113</v>
      </c>
      <c r="W26" s="73">
        <f t="shared" si="4"/>
        <v>29.310903768754073</v>
      </c>
    </row>
    <row r="27" spans="1:23" x14ac:dyDescent="0.25">
      <c r="A27" s="118">
        <v>2</v>
      </c>
      <c r="B27" s="118">
        <v>2</v>
      </c>
      <c r="C27" s="158">
        <f>S9*$G$9/$W9</f>
        <v>2.3529411764705883</v>
      </c>
      <c r="D27" s="159">
        <f>T9*$G$9/$W9</f>
        <v>5.882352941176471</v>
      </c>
      <c r="E27" s="159">
        <f>U9*$G$9/$W9</f>
        <v>8.235294117647058</v>
      </c>
      <c r="F27" s="160">
        <f>V9*$G$9/$W9</f>
        <v>3.5294117647058822</v>
      </c>
      <c r="G27" s="73">
        <f t="shared" si="2"/>
        <v>20</v>
      </c>
      <c r="I27" s="118">
        <v>2</v>
      </c>
      <c r="J27" s="118">
        <v>2</v>
      </c>
      <c r="K27" s="158">
        <f>C27*$C$15/C33</f>
        <v>2.6681489716509175</v>
      </c>
      <c r="L27" s="159">
        <f>D27*$D$15/D33</f>
        <v>4.2950274830627642</v>
      </c>
      <c r="M27" s="159">
        <f>E27*$E$15/E33</f>
        <v>9.02665840049597</v>
      </c>
      <c r="N27" s="160">
        <f>F27*$F$15/F33</f>
        <v>5.2146921883083293</v>
      </c>
      <c r="O27" s="73">
        <f t="shared" si="3"/>
        <v>21.204527043517981</v>
      </c>
      <c r="Q27" s="118">
        <v>2</v>
      </c>
      <c r="R27" s="118">
        <v>2</v>
      </c>
      <c r="S27" s="158">
        <f>K27*$C$19/K37</f>
        <v>2.6658005288572357</v>
      </c>
      <c r="T27" s="159">
        <f>L27*$D$19/L37</f>
        <v>3.5638445842331059</v>
      </c>
      <c r="U27" s="159">
        <f>M27*$E$19/M37</f>
        <v>10.444630561008173</v>
      </c>
      <c r="V27" s="160">
        <f>N27*$F$19/N37</f>
        <v>5.3088592091365214</v>
      </c>
      <c r="W27" s="73">
        <f t="shared" si="4"/>
        <v>21.983134883235039</v>
      </c>
    </row>
    <row r="28" spans="1:23" x14ac:dyDescent="0.25">
      <c r="A28" s="118">
        <v>3</v>
      </c>
      <c r="B28" s="118">
        <v>1</v>
      </c>
      <c r="C28" s="158">
        <f>S10*$G$10/$W10</f>
        <v>8.8000000000000007</v>
      </c>
      <c r="D28" s="159">
        <f>T10*$G$10/$W10</f>
        <v>4.4000000000000004</v>
      </c>
      <c r="E28" s="159">
        <f>U10*$G$10/$W10</f>
        <v>13.2</v>
      </c>
      <c r="F28" s="160">
        <f>V10*$G$10/$W10</f>
        <v>6.6</v>
      </c>
      <c r="G28" s="73">
        <f t="shared" si="2"/>
        <v>33</v>
      </c>
      <c r="I28" s="118">
        <v>3</v>
      </c>
      <c r="J28" s="118">
        <v>1</v>
      </c>
      <c r="K28" s="158">
        <f>C28*$C$16/C34</f>
        <v>8.3672803542297842</v>
      </c>
      <c r="L28" s="159">
        <f>D28*$D$16/D34</f>
        <v>4.8492706645056733</v>
      </c>
      <c r="M28" s="159">
        <f>E28*$E$16/E34</f>
        <v>13.427075542258788</v>
      </c>
      <c r="N28" s="160">
        <f>F28*$F$16/F34</f>
        <v>6.4353312302839116</v>
      </c>
      <c r="O28" s="73">
        <f t="shared" si="3"/>
        <v>33.078957791278157</v>
      </c>
      <c r="Q28" s="118">
        <v>3</v>
      </c>
      <c r="R28" s="118">
        <v>1</v>
      </c>
      <c r="S28" s="158">
        <f>K28*$C$18/K36</f>
        <v>8.3733396317982063</v>
      </c>
      <c r="T28" s="159">
        <f>L28*$D$18/L36</f>
        <v>5.8493477156352691</v>
      </c>
      <c r="U28" s="159">
        <f>M28*$E$18/M36</f>
        <v>11.889774442191412</v>
      </c>
      <c r="V28" s="160">
        <f>N28*$F$18/N36</f>
        <v>6.2909250133490113</v>
      </c>
      <c r="W28" s="73">
        <f t="shared" si="4"/>
        <v>32.403386802973898</v>
      </c>
    </row>
    <row r="29" spans="1:23" x14ac:dyDescent="0.25">
      <c r="A29" s="118">
        <v>3</v>
      </c>
      <c r="B29" s="118">
        <v>2</v>
      </c>
      <c r="C29" s="161">
        <f>S11*$G$11/$W11</f>
        <v>16.441176470588236</v>
      </c>
      <c r="D29" s="162">
        <f>T11*$G$11/$W11</f>
        <v>10.117647058823529</v>
      </c>
      <c r="E29" s="162">
        <f>U11*$G$11/$W11</f>
        <v>2.5294117647058822</v>
      </c>
      <c r="F29" s="163">
        <f>V11*$G$11/$W11</f>
        <v>13.911764705882353</v>
      </c>
      <c r="G29" s="73">
        <f t="shared" si="2"/>
        <v>43</v>
      </c>
      <c r="I29" s="118">
        <v>3</v>
      </c>
      <c r="J29" s="118">
        <v>2</v>
      </c>
      <c r="K29" s="161">
        <f>C29*$C$16/C34</f>
        <v>15.632719645770218</v>
      </c>
      <c r="L29" s="162">
        <f>D29*$D$16/D34</f>
        <v>11.150729335494328</v>
      </c>
      <c r="M29" s="162">
        <f>E29*$E$16/E34</f>
        <v>2.5729244577412116</v>
      </c>
      <c r="N29" s="163">
        <f>F29*$F$16/F34</f>
        <v>13.564668769716089</v>
      </c>
      <c r="O29" s="73">
        <f t="shared" si="3"/>
        <v>42.921042208721843</v>
      </c>
      <c r="Q29" s="118">
        <v>3</v>
      </c>
      <c r="R29" s="118">
        <v>2</v>
      </c>
      <c r="S29" s="161">
        <f>K29*$C$19/K37</f>
        <v>15.618960088793516</v>
      </c>
      <c r="T29" s="162">
        <f>L29*$D$19/L37</f>
        <v>9.2524358713096397</v>
      </c>
      <c r="U29" s="162">
        <f>M29*$E$19/M37</f>
        <v>2.9770978617084585</v>
      </c>
      <c r="V29" s="163">
        <f>N29*$F$19/N37</f>
        <v>13.809619842653678</v>
      </c>
      <c r="W29" s="73">
        <f t="shared" si="4"/>
        <v>41.65811366446529</v>
      </c>
    </row>
    <row r="30" spans="1:23" x14ac:dyDescent="0.25">
      <c r="C30" s="164">
        <f>SUM(C24:C29)</f>
        <v>48.957754010695183</v>
      </c>
      <c r="D30" s="164">
        <f>SUM(D24:D29)</f>
        <v>47.032575757575756</v>
      </c>
      <c r="E30" s="164">
        <f>SUM(E24:E29)</f>
        <v>42.101069518716578</v>
      </c>
      <c r="F30" s="164">
        <f>SUM(F24:F29)</f>
        <v>36.908600713012483</v>
      </c>
      <c r="G30" s="166">
        <f>SUM(G24:G29)</f>
        <v>175</v>
      </c>
      <c r="K30" s="164">
        <f>SUM(K24:K29)</f>
        <v>51</v>
      </c>
      <c r="L30" s="164">
        <f>SUM(L24:L29)</f>
        <v>44</v>
      </c>
      <c r="M30" s="164">
        <f>SUM(M24:M29)</f>
        <v>41</v>
      </c>
      <c r="N30" s="164">
        <f>SUM(N24:N29)</f>
        <v>39</v>
      </c>
      <c r="O30" s="166">
        <f>SUM(O24:O29)</f>
        <v>175</v>
      </c>
      <c r="S30" s="164">
        <f>SUM(S24:S29)</f>
        <v>51</v>
      </c>
      <c r="T30" s="164">
        <f>SUM(T24:T29)</f>
        <v>44</v>
      </c>
      <c r="U30" s="164">
        <f>SUM(U24:U29)</f>
        <v>40.999999999999993</v>
      </c>
      <c r="V30" s="164">
        <f>SUM(V24:V29)</f>
        <v>39</v>
      </c>
      <c r="W30" s="166">
        <f>SUM(W24:W29)</f>
        <v>175</v>
      </c>
    </row>
    <row r="32" spans="1:23" x14ac:dyDescent="0.25">
      <c r="A32" s="118">
        <v>1</v>
      </c>
      <c r="C32" s="148">
        <f>SUMIF(A24:A29,A32,C24:C29)</f>
        <v>10.488636363636363</v>
      </c>
      <c r="D32" s="149">
        <f>SUMIF(A24:A29,A32,D24:D29)</f>
        <v>13.34090909090909</v>
      </c>
      <c r="E32" s="149">
        <f>SUMIF(A24:A29,A32,E24:E29)</f>
        <v>14.511363636363637</v>
      </c>
      <c r="F32" s="150">
        <f>SUMIF(A24:A29,A32,F24:F29)</f>
        <v>11.659090909090908</v>
      </c>
      <c r="G32" s="165">
        <f>SUM(C32:F32)</f>
        <v>50</v>
      </c>
      <c r="I32" s="118">
        <v>1</v>
      </c>
      <c r="K32" s="148">
        <f>SUMIF(I24:I29,I32,K24:K29)</f>
        <v>12</v>
      </c>
      <c r="L32" s="149">
        <f>SUMIF(I24:I29,I32,L24:L29)</f>
        <v>14</v>
      </c>
      <c r="M32" s="149">
        <f>SUMIF(I24:I29,I32,M24:M29)</f>
        <v>12</v>
      </c>
      <c r="N32" s="150">
        <f>SUMIF(I24:I29,I32,N24:N29)</f>
        <v>12.000000000000002</v>
      </c>
      <c r="O32" s="165">
        <f>SUM(K32:N32)</f>
        <v>50</v>
      </c>
      <c r="Q32" s="118">
        <v>1</v>
      </c>
      <c r="S32" s="148">
        <f>SUMIF(Q24:Q29,Q32,S24:S29)</f>
        <v>12.001118447949178</v>
      </c>
      <c r="T32" s="149">
        <f>SUMIF(Q24:Q29,Q32,T24:T29)</f>
        <v>13.627918889875398</v>
      </c>
      <c r="U32" s="149">
        <f>SUMIF(Q24:Q29,Q32,U24:U29)</f>
        <v>12.17007383798644</v>
      </c>
      <c r="V32" s="150">
        <f>SUMIF(Q24:Q29,Q32,V24:V29)</f>
        <v>11.845349704760677</v>
      </c>
      <c r="W32" s="165">
        <f>SUM(S32:V32)</f>
        <v>49.6444608805717</v>
      </c>
    </row>
    <row r="33" spans="1:23" x14ac:dyDescent="0.25">
      <c r="A33" s="118">
        <v>2</v>
      </c>
      <c r="C33" s="151">
        <f>SUMIF(A24:A29,A33,C24:C29)</f>
        <v>13.227941176470589</v>
      </c>
      <c r="D33" s="73">
        <f>SUMIF(A24:A29,A33,D24:D29)</f>
        <v>19.174019607843135</v>
      </c>
      <c r="E33" s="73">
        <f>SUMIF(A24:A29,A33,E24:E29)</f>
        <v>11.860294117647058</v>
      </c>
      <c r="F33" s="70">
        <f>SUMIF(A24:A29,A33,F24:F29)</f>
        <v>4.7377450980392153</v>
      </c>
      <c r="G33" s="165">
        <f>SUM(C33:F33)</f>
        <v>48.999999999999993</v>
      </c>
      <c r="I33" s="118">
        <v>2</v>
      </c>
      <c r="K33" s="151">
        <f>SUMIF(I24:I29,I33,K24:K29)</f>
        <v>15</v>
      </c>
      <c r="L33" s="73">
        <f>SUMIF(I24:I29,I33,L24:L29)</f>
        <v>14</v>
      </c>
      <c r="M33" s="73">
        <f>SUMIF(I24:I29,I33,M24:M29)</f>
        <v>13</v>
      </c>
      <c r="N33" s="70">
        <f>SUMIF(I24:I29,I33,N24:N29)</f>
        <v>7</v>
      </c>
      <c r="O33" s="165">
        <f>SUM(K33:N33)</f>
        <v>49</v>
      </c>
      <c r="Q33" s="118">
        <v>2</v>
      </c>
      <c r="S33" s="151">
        <f>SUMIF(Q24:Q29,Q33,S24:S29)</f>
        <v>15.006581831459101</v>
      </c>
      <c r="T33" s="73">
        <f>SUMIF(Q24:Q29,Q33,T24:T29)</f>
        <v>15.270297523179689</v>
      </c>
      <c r="U33" s="73">
        <f>SUMIF(Q24:Q29,Q33,U24:U29)</f>
        <v>13.963053858113687</v>
      </c>
      <c r="V33" s="70">
        <f>SUMIF(Q24:Q29,Q33,V24:V29)</f>
        <v>7.0541054392366345</v>
      </c>
      <c r="W33" s="165">
        <f>SUM(S33:V33)</f>
        <v>51.294038651989112</v>
      </c>
    </row>
    <row r="34" spans="1:23" x14ac:dyDescent="0.25">
      <c r="A34" s="118">
        <v>3</v>
      </c>
      <c r="C34" s="152">
        <f>SUMIF(A24:A29,A34,C24:C29)</f>
        <v>25.241176470588236</v>
      </c>
      <c r="D34" s="153">
        <f>SUMIF(A24:A29,A34,D24:D29)</f>
        <v>14.517647058823529</v>
      </c>
      <c r="E34" s="153">
        <f>SUMIF(A24:A29,A34,E24:E29)</f>
        <v>15.729411764705882</v>
      </c>
      <c r="F34" s="154">
        <f>SUMIF(A24:A29,A34,F24:F29)</f>
        <v>20.511764705882353</v>
      </c>
      <c r="G34" s="165">
        <f>SUM(C34:F34)</f>
        <v>76</v>
      </c>
      <c r="I34" s="118">
        <v>3</v>
      </c>
      <c r="K34" s="152">
        <f>SUMIF(I24:I29,I34,K24:K29)</f>
        <v>24</v>
      </c>
      <c r="L34" s="153">
        <f>SUMIF(I24:I29,I34,L24:L29)</f>
        <v>16</v>
      </c>
      <c r="M34" s="153">
        <f>SUMIF(I24:I29,I34,M24:M29)</f>
        <v>16</v>
      </c>
      <c r="N34" s="154">
        <f>SUMIF(I24:I29,I34,N24:N29)</f>
        <v>20</v>
      </c>
      <c r="O34" s="165">
        <f>SUM(K34:N34)</f>
        <v>76</v>
      </c>
      <c r="Q34" s="118">
        <v>3</v>
      </c>
      <c r="S34" s="152">
        <f>SUMIF(Q24:Q29,Q34,S24:S29)</f>
        <v>23.992299720591724</v>
      </c>
      <c r="T34" s="153">
        <f>SUMIF(Q24:Q29,Q34,T24:T29)</f>
        <v>15.101783586944908</v>
      </c>
      <c r="U34" s="153">
        <f>SUMIF(Q24:Q29,Q34,U24:U29)</f>
        <v>14.86687230389987</v>
      </c>
      <c r="V34" s="154">
        <f>SUMIF(Q24:Q29,Q34,V24:V29)</f>
        <v>20.100544856002688</v>
      </c>
      <c r="W34" s="165">
        <f>SUM(S34:V34)</f>
        <v>74.061500467439188</v>
      </c>
    </row>
    <row r="36" spans="1:23" x14ac:dyDescent="0.25">
      <c r="B36" s="118">
        <v>1</v>
      </c>
      <c r="C36" s="148">
        <f>SUMIF(B24:B29,B36,C24:C29)</f>
        <v>26.038636363636364</v>
      </c>
      <c r="D36" s="149">
        <f>SUMIF(B24:B29,B36,D24:D29)</f>
        <v>22.782575757575756</v>
      </c>
      <c r="E36" s="149">
        <f>SUMIF(B24:B29,B36,E24:E29)</f>
        <v>24.461363636363636</v>
      </c>
      <c r="F36" s="150">
        <f>SUMIF(B24:B29,B36,F24:F29)</f>
        <v>16.717424242424244</v>
      </c>
      <c r="G36" s="165">
        <f>SUM(C36:F36)</f>
        <v>90</v>
      </c>
      <c r="J36" s="118">
        <v>1</v>
      </c>
      <c r="K36" s="148">
        <f>SUMIF(J24:J29,J36,K24:K29)</f>
        <v>27.979738099805303</v>
      </c>
      <c r="L36" s="149">
        <f>SUMIF(J24:J29,J36,L24:L29)</f>
        <v>19.896662261511054</v>
      </c>
      <c r="M36" s="149">
        <f>SUMIF(J24:J29,J36,M24:M29)</f>
        <v>23.71521745499696</v>
      </c>
      <c r="N36" s="150">
        <f>SUMIF(J24:J29,J36,N24:N29)</f>
        <v>17.390229685250439</v>
      </c>
      <c r="O36" s="165">
        <f>SUM(K36:N36)</f>
        <v>88.981847501563749</v>
      </c>
      <c r="R36" s="118">
        <v>1</v>
      </c>
      <c r="S36" s="148">
        <f>SUMIF(R24:R29,R36,S24:S29)</f>
        <v>28</v>
      </c>
      <c r="T36" s="149">
        <f>SUMIF(R24:R29,R36,T24:T29)</f>
        <v>23.999999999999996</v>
      </c>
      <c r="U36" s="149">
        <f>SUMIF(R24:R29,R36,U24:U29)</f>
        <v>21</v>
      </c>
      <c r="V36" s="150">
        <f>SUMIF(R24:R29,R36,V24:V29)</f>
        <v>17</v>
      </c>
      <c r="W36" s="165">
        <f>SUM(S36:V36)</f>
        <v>90</v>
      </c>
    </row>
    <row r="37" spans="1:23" x14ac:dyDescent="0.25">
      <c r="B37" s="118">
        <v>2</v>
      </c>
      <c r="C37" s="152">
        <f>SUMIF(B24:B29,B37,C24:C29)</f>
        <v>22.919117647058826</v>
      </c>
      <c r="D37" s="153">
        <f>SUMIF(B24:B29,B37,D24:D29)</f>
        <v>24.25</v>
      </c>
      <c r="E37" s="153">
        <f>SUMIF(B24:B29,B37,E24:E29)</f>
        <v>17.639705882352942</v>
      </c>
      <c r="F37" s="154">
        <f>SUMIF(B24:B29,B37,F24:F29)</f>
        <v>20.191176470588236</v>
      </c>
      <c r="G37" s="165">
        <f>SUM(C37:F37)</f>
        <v>85</v>
      </c>
      <c r="J37" s="118">
        <v>2</v>
      </c>
      <c r="K37" s="152">
        <f>SUMIF(J24:J29,J37,K24:K29)</f>
        <v>23.020261900194701</v>
      </c>
      <c r="L37" s="153">
        <f>SUMIF(J24:J29,J37,L24:L29)</f>
        <v>24.10333773848895</v>
      </c>
      <c r="M37" s="153">
        <f>SUMIF(J24:J29,J37,M24:M29)</f>
        <v>17.28478254500304</v>
      </c>
      <c r="N37" s="154">
        <f>SUMIF(J24:J29,J37,N24:N29)</f>
        <v>21.609770314749564</v>
      </c>
      <c r="O37" s="165">
        <f>SUM(K37:N37)</f>
        <v>86.018152498436251</v>
      </c>
      <c r="R37" s="118">
        <v>2</v>
      </c>
      <c r="S37" s="152">
        <f>SUMIF(R24:R29,R37,S24:S29)</f>
        <v>23</v>
      </c>
      <c r="T37" s="153">
        <f>SUMIF(R24:R29,R37,T24:T29)</f>
        <v>20</v>
      </c>
      <c r="U37" s="153">
        <f>SUMIF(R24:R29,R37,U24:U29)</f>
        <v>19.999999999999996</v>
      </c>
      <c r="V37" s="154">
        <f>SUMIF(R24:R29,R37,V24:V29)</f>
        <v>22</v>
      </c>
      <c r="W37" s="165">
        <f>SUM(S37:V37)</f>
        <v>85</v>
      </c>
    </row>
    <row r="39" spans="1:23" x14ac:dyDescent="0.25">
      <c r="A39" s="118" t="s">
        <v>21</v>
      </c>
      <c r="B39" s="118" t="s">
        <v>340</v>
      </c>
      <c r="C39">
        <v>1</v>
      </c>
      <c r="D39">
        <f>C39+1</f>
        <v>2</v>
      </c>
      <c r="E39">
        <f>D39+1</f>
        <v>3</v>
      </c>
      <c r="F39">
        <f>E39+1</f>
        <v>4</v>
      </c>
      <c r="I39" s="118" t="s">
        <v>21</v>
      </c>
      <c r="J39" s="118" t="s">
        <v>340</v>
      </c>
      <c r="K39">
        <v>1</v>
      </c>
      <c r="L39">
        <f>K39+1</f>
        <v>2</v>
      </c>
      <c r="M39">
        <f>L39+1</f>
        <v>3</v>
      </c>
      <c r="N39">
        <f>M39+1</f>
        <v>4</v>
      </c>
      <c r="Q39" s="118" t="s">
        <v>21</v>
      </c>
      <c r="R39" s="118" t="s">
        <v>340</v>
      </c>
      <c r="S39">
        <v>1</v>
      </c>
      <c r="T39">
        <f>S39+1</f>
        <v>2</v>
      </c>
      <c r="U39">
        <f>T39+1</f>
        <v>3</v>
      </c>
      <c r="V39">
        <f>U39+1</f>
        <v>4</v>
      </c>
    </row>
    <row r="40" spans="1:23" x14ac:dyDescent="0.25">
      <c r="A40" s="118">
        <v>1</v>
      </c>
      <c r="B40" s="118">
        <v>1</v>
      </c>
      <c r="C40" s="155">
        <f>S24*$G$6/$W24</f>
        <v>7.2122855661131888</v>
      </c>
      <c r="D40" s="156">
        <f>T24*$G$6/$W24</f>
        <v>6.3791075182069781</v>
      </c>
      <c r="E40" s="156">
        <f>U24*$G$6/$W24</f>
        <v>5.5353203601530092</v>
      </c>
      <c r="F40" s="157">
        <f>V24*$G$6/$W24</f>
        <v>8.8732865555268248</v>
      </c>
      <c r="G40" s="73">
        <f t="shared" ref="G40:G45" si="5">SUM(C40:F40)</f>
        <v>28</v>
      </c>
      <c r="I40" s="118">
        <v>1</v>
      </c>
      <c r="J40" s="118">
        <v>1</v>
      </c>
      <c r="K40" s="155">
        <f>C40*$C$14/C48</f>
        <v>7.1709988853993032</v>
      </c>
      <c r="L40" s="156">
        <f>D40*$D$14/D48</f>
        <v>6.4816555924291448</v>
      </c>
      <c r="M40" s="156">
        <f>E40*$E$14/E48</f>
        <v>5.3954479715885748</v>
      </c>
      <c r="N40" s="157">
        <f>F40*F32/F48</f>
        <v>8.7367342473175622</v>
      </c>
      <c r="O40" s="73">
        <f t="shared" ref="O40:O45" si="6">SUM(K40:N40)</f>
        <v>27.784836696734587</v>
      </c>
      <c r="Q40" s="118">
        <v>1</v>
      </c>
      <c r="R40" s="118">
        <v>1</v>
      </c>
      <c r="S40" s="155">
        <f>K40*$C$18/K52</f>
        <v>7.1740693667716027</v>
      </c>
      <c r="T40" s="156">
        <f>L40*$D$18/L52</f>
        <v>6.6010535437648361</v>
      </c>
      <c r="U40" s="156">
        <f>M40*$E$18/M52</f>
        <v>5.2353125708419261</v>
      </c>
      <c r="V40" s="157">
        <f>N40*$F$18/N52</f>
        <v>8.8502550578894468</v>
      </c>
      <c r="W40" s="73">
        <f t="shared" ref="W40:W45" si="7">SUM(S40:V40)</f>
        <v>27.860690539267814</v>
      </c>
    </row>
    <row r="41" spans="1:23" x14ac:dyDescent="0.25">
      <c r="A41" s="118">
        <v>1</v>
      </c>
      <c r="B41" s="118">
        <v>2</v>
      </c>
      <c r="C41" s="158">
        <f>S25*$G$7/$W25</f>
        <v>4.8568038559442295</v>
      </c>
      <c r="D41" s="159">
        <f>T25*$G$7/$W25</f>
        <v>7.3993945915337394</v>
      </c>
      <c r="E41" s="159">
        <f>U25*$G$7/$W25</f>
        <v>6.7757694087803069</v>
      </c>
      <c r="F41" s="160">
        <f>V25*$G$7/$W25</f>
        <v>2.9680321437417243</v>
      </c>
      <c r="G41" s="73">
        <f t="shared" si="5"/>
        <v>22</v>
      </c>
      <c r="I41" s="118">
        <v>1</v>
      </c>
      <c r="J41" s="118">
        <v>2</v>
      </c>
      <c r="K41" s="158">
        <f>C41*$C$14/C48</f>
        <v>4.8290011146006968</v>
      </c>
      <c r="L41" s="159">
        <f>D41*$D$14/D48</f>
        <v>7.5183444075708543</v>
      </c>
      <c r="M41" s="159">
        <f>E41*$E$14/E48</f>
        <v>6.6045520284114261</v>
      </c>
      <c r="N41" s="160">
        <f>F41*$F$14/F48</f>
        <v>3.0078056869713978</v>
      </c>
      <c r="O41" s="73">
        <f t="shared" si="6"/>
        <v>21.959703237554375</v>
      </c>
      <c r="Q41" s="118">
        <v>1</v>
      </c>
      <c r="R41" s="118">
        <v>2</v>
      </c>
      <c r="S41" s="158">
        <f>K41*$C$19/K53</f>
        <v>4.8264863220195044</v>
      </c>
      <c r="T41" s="159">
        <f>L41*$D$19/L53</f>
        <v>7.3586236153966356</v>
      </c>
      <c r="U41" s="159">
        <f>M41*$E$19/M53</f>
        <v>6.8237086044563418</v>
      </c>
      <c r="V41" s="160">
        <f>N41*$F$19/N53</f>
        <v>3.012928182027415</v>
      </c>
      <c r="W41" s="73">
        <f t="shared" si="7"/>
        <v>22.021746723899899</v>
      </c>
    </row>
    <row r="42" spans="1:23" x14ac:dyDescent="0.25">
      <c r="A42" s="118">
        <v>2</v>
      </c>
      <c r="B42" s="118">
        <v>1</v>
      </c>
      <c r="C42" s="158">
        <f>S26*$G$8/$W26</f>
        <v>12.209881366979996</v>
      </c>
      <c r="D42" s="159">
        <f>T26*$G$8/$W26</f>
        <v>11.582281389472202</v>
      </c>
      <c r="E42" s="159">
        <f>U26*$G$8/$W26</f>
        <v>3.481103019581067</v>
      </c>
      <c r="F42" s="160">
        <f>V26*$G$8/$W26</f>
        <v>1.7267342239667374</v>
      </c>
      <c r="G42" s="73">
        <f t="shared" si="5"/>
        <v>29.000000000000004</v>
      </c>
      <c r="I42" s="118">
        <v>2</v>
      </c>
      <c r="J42" s="118">
        <v>1</v>
      </c>
      <c r="K42" s="158">
        <f>C42*$C$15/C49</f>
        <v>12.514231113513453</v>
      </c>
      <c r="L42" s="159">
        <f>D42*$D$15/D49</f>
        <v>10.938012402353761</v>
      </c>
      <c r="M42" s="159">
        <f>E42*$E$15/E49</f>
        <v>3.4855252884383887</v>
      </c>
      <c r="N42" s="160">
        <f>F42*$F$15/F49</f>
        <v>1.8434868605587875</v>
      </c>
      <c r="O42" s="73">
        <f t="shared" si="6"/>
        <v>28.781255664864393</v>
      </c>
      <c r="Q42" s="118">
        <v>2</v>
      </c>
      <c r="R42" s="118">
        <v>1</v>
      </c>
      <c r="S42" s="158">
        <f>K42*$C$18/K52</f>
        <v>12.519589462348359</v>
      </c>
      <c r="T42" s="159">
        <f>L42*$D$18/L52</f>
        <v>11.139500471860394</v>
      </c>
      <c r="U42" s="159">
        <f>M42*$E$18/M52</f>
        <v>3.3820758636981623</v>
      </c>
      <c r="V42" s="160">
        <f>N42*$F$18/N52</f>
        <v>1.8674402185029764</v>
      </c>
      <c r="W42" s="73">
        <f t="shared" si="7"/>
        <v>28.908606016409891</v>
      </c>
    </row>
    <row r="43" spans="1:23" x14ac:dyDescent="0.25">
      <c r="A43" s="118">
        <v>2</v>
      </c>
      <c r="B43" s="118">
        <v>2</v>
      </c>
      <c r="C43" s="158">
        <f>S27*$G$9/$W27</f>
        <v>2.4253142629718849</v>
      </c>
      <c r="D43" s="159">
        <f>T27*$G$9/$W27</f>
        <v>3.2423442817984935</v>
      </c>
      <c r="E43" s="159">
        <f>U27*$G$9/$W27</f>
        <v>9.5024031981658315</v>
      </c>
      <c r="F43" s="160">
        <f>V27*$G$9/$W27</f>
        <v>4.8299382570637892</v>
      </c>
      <c r="G43" s="73">
        <f t="shared" si="5"/>
        <v>20</v>
      </c>
      <c r="I43" s="118">
        <v>2</v>
      </c>
      <c r="J43" s="118">
        <v>2</v>
      </c>
      <c r="K43" s="158">
        <f>C43*$C$15/C49</f>
        <v>2.4857688864865475</v>
      </c>
      <c r="L43" s="159">
        <f>D43*$D$15/D49</f>
        <v>3.0619875976462381</v>
      </c>
      <c r="M43" s="159">
        <f>E43*$E$15/E49</f>
        <v>9.5144747115616113</v>
      </c>
      <c r="N43" s="160">
        <f>F43*$F$15/F49</f>
        <v>5.1565131394412127</v>
      </c>
      <c r="O43" s="73">
        <f t="shared" si="6"/>
        <v>20.218744335135611</v>
      </c>
      <c r="Q43" s="118">
        <v>2</v>
      </c>
      <c r="R43" s="118">
        <v>2</v>
      </c>
      <c r="S43" s="158">
        <f>K43*$C$19/K53</f>
        <v>2.4844743758815708</v>
      </c>
      <c r="T43" s="159">
        <f>L43*$D$19/L53</f>
        <v>2.9969382918135326</v>
      </c>
      <c r="U43" s="159">
        <f>M43*$E$19/M53</f>
        <v>9.8301902501298368</v>
      </c>
      <c r="V43" s="160">
        <f>N43*$F$19/N53</f>
        <v>5.1652950275723137</v>
      </c>
      <c r="W43" s="73">
        <f t="shared" si="7"/>
        <v>20.476897945397255</v>
      </c>
    </row>
    <row r="44" spans="1:23" x14ac:dyDescent="0.25">
      <c r="A44" s="118">
        <v>3</v>
      </c>
      <c r="B44" s="118">
        <v>1</v>
      </c>
      <c r="C44" s="158">
        <f>S28*$G$10/$W28</f>
        <v>8.5275100880498353</v>
      </c>
      <c r="D44" s="159">
        <f>T28*$G$10/$W28</f>
        <v>5.9570462738866619</v>
      </c>
      <c r="E44" s="159">
        <f>U28*$G$10/$W28</f>
        <v>12.108689717468256</v>
      </c>
      <c r="F44" s="160">
        <f>V28*$G$10/$W28</f>
        <v>6.4067539205952491</v>
      </c>
      <c r="G44" s="73">
        <f t="shared" si="5"/>
        <v>33</v>
      </c>
      <c r="I44" s="118">
        <v>3</v>
      </c>
      <c r="J44" s="118">
        <v>1</v>
      </c>
      <c r="K44" s="158">
        <f>C44*$C$16/C50</f>
        <v>8.3027860803821287</v>
      </c>
      <c r="L44" s="159">
        <f>D44*$D$16/D50</f>
        <v>6.1462269319802161</v>
      </c>
      <c r="M44" s="159">
        <f>E44*$E$16/E50</f>
        <v>12.761365353031021</v>
      </c>
      <c r="N44" s="160">
        <f>F44*$F$16/F50</f>
        <v>6.2017226025479397</v>
      </c>
      <c r="O44" s="73">
        <f t="shared" si="6"/>
        <v>33.412100967941306</v>
      </c>
      <c r="Q44" s="118">
        <v>3</v>
      </c>
      <c r="R44" s="118">
        <v>1</v>
      </c>
      <c r="S44" s="158">
        <f>K44*$C$18/K52</f>
        <v>8.306341170880037</v>
      </c>
      <c r="T44" s="159">
        <f>L44*$D$18/L52</f>
        <v>6.2594459843747696</v>
      </c>
      <c r="U44" s="159">
        <f>M44*$E$18/M52</f>
        <v>12.382611565459912</v>
      </c>
      <c r="V44" s="160">
        <f>N44*$F$18/N52</f>
        <v>6.2823047236075764</v>
      </c>
      <c r="W44" s="73">
        <f t="shared" si="7"/>
        <v>33.230703444322295</v>
      </c>
    </row>
    <row r="45" spans="1:23" x14ac:dyDescent="0.25">
      <c r="A45" s="118">
        <v>3</v>
      </c>
      <c r="B45" s="118">
        <v>2</v>
      </c>
      <c r="C45" s="161">
        <f>S29*$G$11/$W29</f>
        <v>16.122076223317197</v>
      </c>
      <c r="D45" s="162">
        <f>T29*$G$11/$W29</f>
        <v>9.5504742646493828</v>
      </c>
      <c r="E45" s="162">
        <f>U29*$G$11/$W29</f>
        <v>3.0729957934379954</v>
      </c>
      <c r="F45" s="163">
        <f>V29*$G$11/$W29</f>
        <v>14.254453718595427</v>
      </c>
      <c r="G45" s="73">
        <f t="shared" si="5"/>
        <v>43.000000000000007</v>
      </c>
      <c r="I45" s="118">
        <v>3</v>
      </c>
      <c r="J45" s="118">
        <v>2</v>
      </c>
      <c r="K45" s="161">
        <f>C45*$C$16/C50</f>
        <v>15.697213919617875</v>
      </c>
      <c r="L45" s="162">
        <f>D45*$D$16/D50</f>
        <v>9.8537730680197821</v>
      </c>
      <c r="M45" s="162">
        <f>E45*$E$16/E50</f>
        <v>3.2386346469689791</v>
      </c>
      <c r="N45" s="163">
        <f>F45*$F$16/F50</f>
        <v>13.798277397452059</v>
      </c>
      <c r="O45" s="73">
        <f t="shared" si="6"/>
        <v>42.587899032058694</v>
      </c>
      <c r="Q45" s="118">
        <v>3</v>
      </c>
      <c r="R45" s="118">
        <v>2</v>
      </c>
      <c r="S45" s="161">
        <f>K45*$C$19/K53</f>
        <v>15.689039302098925</v>
      </c>
      <c r="T45" s="162">
        <f>L45*$D$19/L53</f>
        <v>9.6444380927898301</v>
      </c>
      <c r="U45" s="162">
        <f>M45*$E$19/M53</f>
        <v>3.3461011454138214</v>
      </c>
      <c r="V45" s="163">
        <f>N45*$F$19/N53</f>
        <v>13.82177679040027</v>
      </c>
      <c r="W45" s="73">
        <f t="shared" si="7"/>
        <v>42.501355330702843</v>
      </c>
    </row>
    <row r="46" spans="1:23" x14ac:dyDescent="0.25">
      <c r="C46" s="164">
        <f>SUM(C40:C45)</f>
        <v>51.353871363376328</v>
      </c>
      <c r="D46" s="164">
        <f>SUM(D40:D45)</f>
        <v>44.110648319547458</v>
      </c>
      <c r="E46" s="164">
        <f>SUM(E40:E45)</f>
        <v>40.47628149758647</v>
      </c>
      <c r="F46" s="164">
        <f>SUM(F40:F45)</f>
        <v>39.059198819489751</v>
      </c>
      <c r="G46" s="166">
        <f>SUM(G40:G45)</f>
        <v>175</v>
      </c>
      <c r="K46" s="164">
        <f>SUM(K40:K45)</f>
        <v>51</v>
      </c>
      <c r="L46" s="164">
        <f>SUM(L40:L45)</f>
        <v>44</v>
      </c>
      <c r="M46" s="164">
        <f>SUM(M40:M45)</f>
        <v>41</v>
      </c>
      <c r="N46" s="164">
        <f>SUM(N40:N45)</f>
        <v>38.744539934288959</v>
      </c>
      <c r="O46" s="166">
        <f>SUM(O40:O45)</f>
        <v>174.74453993428895</v>
      </c>
      <c r="S46" s="164">
        <f>SUM(S40:S45)</f>
        <v>51</v>
      </c>
      <c r="T46" s="164">
        <f>SUM(T40:T45)</f>
        <v>44</v>
      </c>
      <c r="U46" s="164">
        <f>SUM(U40:U45)</f>
        <v>41</v>
      </c>
      <c r="V46" s="164">
        <f>SUM(V40:V45)</f>
        <v>39</v>
      </c>
      <c r="W46" s="166">
        <f>SUM(W40:W45)</f>
        <v>175</v>
      </c>
    </row>
    <row r="48" spans="1:23" x14ac:dyDescent="0.25">
      <c r="A48" s="118">
        <v>1</v>
      </c>
      <c r="C48" s="148">
        <f>SUMIF(A40:A45,A48,C40:C45)</f>
        <v>12.069089422057418</v>
      </c>
      <c r="D48" s="149">
        <f>SUMIF(A40:A45,A48,D40:D45)</f>
        <v>13.778502109740717</v>
      </c>
      <c r="E48" s="149">
        <f>SUMIF(A40:A45,A48,E40:E45)</f>
        <v>12.311089768933316</v>
      </c>
      <c r="F48" s="150">
        <f>SUMIF(A40:A45,A48,F40:F45)</f>
        <v>11.841318699268548</v>
      </c>
      <c r="G48" s="165">
        <f>SUM(C48:F48)</f>
        <v>50</v>
      </c>
      <c r="I48" s="118">
        <v>1</v>
      </c>
      <c r="K48" s="148">
        <f>SUMIF(I40:I45,I48,K40:K45)</f>
        <v>12</v>
      </c>
      <c r="L48" s="149">
        <f>SUMIF(I40:I45,I48,L40:L45)</f>
        <v>14</v>
      </c>
      <c r="M48" s="149">
        <f>SUMIF(I40:I45,I48,M40:M45)</f>
        <v>12</v>
      </c>
      <c r="N48" s="150">
        <f>SUMIF(I40:I45,I48,N40:N45)</f>
        <v>11.74453993428896</v>
      </c>
      <c r="O48" s="165">
        <f>SUM(K48:N48)</f>
        <v>49.744539934288959</v>
      </c>
      <c r="Q48" s="118">
        <v>1</v>
      </c>
      <c r="S48" s="148">
        <f>SUMIF(Q40:Q45,Q48,S40:S45)</f>
        <v>12.000555688791106</v>
      </c>
      <c r="T48" s="149">
        <f>SUMIF(Q40:Q45,Q48,T40:T45)</f>
        <v>13.959677159161473</v>
      </c>
      <c r="U48" s="149">
        <f>SUMIF(Q40:Q45,Q48,U40:U45)</f>
        <v>12.059021175298268</v>
      </c>
      <c r="V48" s="150">
        <f>SUMIF(Q40:Q45,Q48,V40:V45)</f>
        <v>11.863183239916861</v>
      </c>
      <c r="W48" s="165">
        <f>SUM(S48:V48)</f>
        <v>49.882437263167702</v>
      </c>
    </row>
    <row r="49" spans="1:23" x14ac:dyDescent="0.25">
      <c r="A49" s="118">
        <v>2</v>
      </c>
      <c r="C49" s="151">
        <f>SUMIF(A40:A45,A49,C40:C45)</f>
        <v>14.63519562995188</v>
      </c>
      <c r="D49" s="73">
        <f>SUMIF(A40:A45,A49,D40:D45)</f>
        <v>14.824625671270695</v>
      </c>
      <c r="E49" s="73">
        <f>SUMIF(A40:A45,A49,E40:E45)</f>
        <v>12.983506217746898</v>
      </c>
      <c r="F49" s="70">
        <f>SUMIF(A40:A45,A49,F40:F45)</f>
        <v>6.5566724810305264</v>
      </c>
      <c r="G49" s="165">
        <f>SUM(C49:F49)</f>
        <v>49</v>
      </c>
      <c r="I49" s="118">
        <v>2</v>
      </c>
      <c r="K49" s="151">
        <f>SUMIF(I40:I45,I49,K40:K45)</f>
        <v>15</v>
      </c>
      <c r="L49" s="73">
        <f>SUMIF(I40:I45,I49,L40:L45)</f>
        <v>14</v>
      </c>
      <c r="M49" s="73">
        <f>SUMIF(I40:I45,I49,M40:M45)</f>
        <v>13</v>
      </c>
      <c r="N49" s="70">
        <f>SUMIF(I40:I45,I49,N40:N45)</f>
        <v>7</v>
      </c>
      <c r="O49" s="165">
        <f>SUM(K49:N49)</f>
        <v>49</v>
      </c>
      <c r="Q49" s="118">
        <v>2</v>
      </c>
      <c r="S49" s="151">
        <f>SUMIF(Q40:Q45,Q49,S40:S45)</f>
        <v>15.004063838229929</v>
      </c>
      <c r="T49" s="73">
        <f>SUMIF(Q40:Q45,Q49,T40:T45)</f>
        <v>14.136438763673926</v>
      </c>
      <c r="U49" s="73">
        <f>SUMIF(Q40:Q45,Q49,U40:U45)</f>
        <v>13.212266113827999</v>
      </c>
      <c r="V49" s="70">
        <f>SUMIF(Q40:Q45,Q49,V40:V45)</f>
        <v>7.0327352460752905</v>
      </c>
      <c r="W49" s="165">
        <f>SUM(S49:V49)</f>
        <v>49.385503961807146</v>
      </c>
    </row>
    <row r="50" spans="1:23" x14ac:dyDescent="0.25">
      <c r="A50" s="118">
        <v>3</v>
      </c>
      <c r="C50" s="152">
        <f>SUMIF(A40:A45,A50,C40:C45)</f>
        <v>24.649586311367031</v>
      </c>
      <c r="D50" s="153">
        <f>SUMIF(A40:A45,A50,D40:D45)</f>
        <v>15.507520538536046</v>
      </c>
      <c r="E50" s="153">
        <f>SUMIF(A40:A45,A50,E40:E45)</f>
        <v>15.181685510906251</v>
      </c>
      <c r="F50" s="154">
        <f>SUMIF(A40:A45,A50,F40:F45)</f>
        <v>20.661207639190675</v>
      </c>
      <c r="G50" s="165">
        <f>SUM(C50:F50)</f>
        <v>76</v>
      </c>
      <c r="I50" s="118">
        <v>3</v>
      </c>
      <c r="K50" s="152">
        <f>SUMIF(I40:I45,I50,K40:K45)</f>
        <v>24.000000000000004</v>
      </c>
      <c r="L50" s="153">
        <f>SUMIF(I40:I45,I50,L40:L45)</f>
        <v>15.999999999999998</v>
      </c>
      <c r="M50" s="153">
        <f>SUMIF(I40:I45,I50,M40:M45)</f>
        <v>16</v>
      </c>
      <c r="N50" s="154">
        <f>SUMIF(I40:I45,I50,N40:N45)</f>
        <v>20</v>
      </c>
      <c r="O50" s="165">
        <f>SUM(K50:N50)</f>
        <v>76</v>
      </c>
      <c r="Q50" s="118">
        <v>3</v>
      </c>
      <c r="S50" s="152">
        <f>SUMIF(Q40:Q45,Q50,S40:S45)</f>
        <v>23.995380472978962</v>
      </c>
      <c r="T50" s="153">
        <f>SUMIF(Q40:Q45,Q50,T40:T45)</f>
        <v>15.9038840771646</v>
      </c>
      <c r="U50" s="153">
        <f>SUMIF(Q40:Q45,Q50,U40:U45)</f>
        <v>15.728712710873733</v>
      </c>
      <c r="V50" s="154">
        <f>SUMIF(Q40:Q45,Q50,V40:V45)</f>
        <v>20.104081514007845</v>
      </c>
      <c r="W50" s="165">
        <f>SUM(S50:V50)</f>
        <v>75.732058775025138</v>
      </c>
    </row>
    <row r="52" spans="1:23" x14ac:dyDescent="0.25">
      <c r="B52" s="118">
        <v>1</v>
      </c>
      <c r="C52" s="148">
        <f>SUMIF(B40:B45,B52,C40:C45)</f>
        <v>27.949677021143017</v>
      </c>
      <c r="D52" s="149">
        <f>SUMIF(B40:B45,B52,D40:D45)</f>
        <v>23.91843518156584</v>
      </c>
      <c r="E52" s="149">
        <f>SUMIF(B40:B45,B52,E40:E45)</f>
        <v>21.12511309720233</v>
      </c>
      <c r="F52" s="150">
        <f>SUMIF(B40:B45,B52,F40:F45)</f>
        <v>17.006774700088812</v>
      </c>
      <c r="G52" s="165">
        <f>SUM(C52:F52)</f>
        <v>90</v>
      </c>
      <c r="J52" s="118">
        <v>1</v>
      </c>
      <c r="K52" s="148">
        <f>SUMIF(J40:J45,J52,K40:K45)</f>
        <v>27.988016079294887</v>
      </c>
      <c r="L52" s="149">
        <f>SUMIF(J40:J45,J52,L40:L45)</f>
        <v>23.565894926763121</v>
      </c>
      <c r="M52" s="149">
        <f>SUMIF(J40:J45,J52,M40:M45)</f>
        <v>21.642338613057984</v>
      </c>
      <c r="N52" s="150">
        <f>SUMIF(J40:J45,J52,N40:N45)</f>
        <v>16.78194371042429</v>
      </c>
      <c r="O52" s="165">
        <f>SUM(K52:N52)</f>
        <v>89.978193329540275</v>
      </c>
      <c r="R52" s="118">
        <v>1</v>
      </c>
      <c r="S52" s="148">
        <f>SUMIF(R40:R45,R52,S40:S45)</f>
        <v>28</v>
      </c>
      <c r="T52" s="149">
        <f>SUMIF(R40:R45,R52,T40:T45)</f>
        <v>24</v>
      </c>
      <c r="U52" s="149">
        <f>SUMIF(R40:R45,R52,U40:U45)</f>
        <v>21</v>
      </c>
      <c r="V52" s="150">
        <f>SUMIF(R40:R45,R52,V40:V45)</f>
        <v>17</v>
      </c>
      <c r="W52" s="165">
        <f>SUM(S52:V52)</f>
        <v>90</v>
      </c>
    </row>
    <row r="53" spans="1:23" x14ac:dyDescent="0.25">
      <c r="B53" s="118">
        <v>2</v>
      </c>
      <c r="C53" s="152">
        <f>SUMIF(B40:B45,B53,C40:C45)</f>
        <v>23.404194342233311</v>
      </c>
      <c r="D53" s="153">
        <f>SUMIF(B40:B45,B53,D40:D45)</f>
        <v>20.192213137981618</v>
      </c>
      <c r="E53" s="153">
        <f>SUMIF(B40:B45,B53,E40:E45)</f>
        <v>19.351168400384136</v>
      </c>
      <c r="F53" s="154">
        <f>SUMIF(B40:B45,B53,F40:F45)</f>
        <v>22.052424119400939</v>
      </c>
      <c r="G53" s="165">
        <f>SUM(C53:F53)</f>
        <v>85</v>
      </c>
      <c r="J53" s="118">
        <v>2</v>
      </c>
      <c r="K53" s="152">
        <f>SUMIF(J40:J45,J53,K40:K45)</f>
        <v>23.01198392070512</v>
      </c>
      <c r="L53" s="153">
        <f>SUMIF(J40:J45,J53,L40:L45)</f>
        <v>20.434105073236875</v>
      </c>
      <c r="M53" s="153">
        <f>SUMIF(J40:J45,J53,M40:M45)</f>
        <v>19.357661386942016</v>
      </c>
      <c r="N53" s="154">
        <f>SUMIF(J40:J45,J53,N40:N45)</f>
        <v>21.962596223864672</v>
      </c>
      <c r="O53" s="165">
        <f>SUM(K53:N53)</f>
        <v>84.766346604748691</v>
      </c>
      <c r="R53" s="118">
        <v>2</v>
      </c>
      <c r="S53" s="152">
        <f>SUMIF(R40:R45,R53,S40:S45)</f>
        <v>23</v>
      </c>
      <c r="T53" s="153">
        <f>SUMIF(R40:R45,R53,T40:T45)</f>
        <v>20</v>
      </c>
      <c r="U53" s="153">
        <f>SUMIF(R40:R45,R53,U40:U45)</f>
        <v>20</v>
      </c>
      <c r="V53" s="154">
        <f>SUMIF(R40:R45,R53,V40:V45)</f>
        <v>22</v>
      </c>
      <c r="W53" s="165">
        <f>SUM(S53:V53)</f>
        <v>85</v>
      </c>
    </row>
    <row r="55" spans="1:23" x14ac:dyDescent="0.25">
      <c r="A55" s="118" t="s">
        <v>21</v>
      </c>
      <c r="B55" s="118" t="s">
        <v>340</v>
      </c>
      <c r="C55">
        <v>1</v>
      </c>
      <c r="D55">
        <f>C55+1</f>
        <v>2</v>
      </c>
      <c r="E55">
        <f>D55+1</f>
        <v>3</v>
      </c>
      <c r="F55">
        <f>E55+1</f>
        <v>4</v>
      </c>
      <c r="I55" s="118" t="s">
        <v>21</v>
      </c>
      <c r="J55" s="118" t="s">
        <v>340</v>
      </c>
      <c r="K55">
        <v>1</v>
      </c>
      <c r="L55">
        <f>K55+1</f>
        <v>2</v>
      </c>
      <c r="M55">
        <f>L55+1</f>
        <v>3</v>
      </c>
      <c r="N55">
        <f>M55+1</f>
        <v>4</v>
      </c>
      <c r="Q55" s="118" t="s">
        <v>21</v>
      </c>
      <c r="R55" s="118" t="s">
        <v>340</v>
      </c>
      <c r="S55">
        <v>1</v>
      </c>
      <c r="T55">
        <f>S55+1</f>
        <v>2</v>
      </c>
      <c r="U55">
        <f>T55+1</f>
        <v>3</v>
      </c>
      <c r="V55">
        <f>U55+1</f>
        <v>4</v>
      </c>
    </row>
    <row r="56" spans="1:23" x14ac:dyDescent="0.25">
      <c r="A56" s="118">
        <v>1</v>
      </c>
      <c r="B56" s="118">
        <v>1</v>
      </c>
      <c r="C56" s="155">
        <f>S40*$G$6/$W40</f>
        <v>7.2099412606620872</v>
      </c>
      <c r="D56" s="156">
        <f>T40*$G$6/$W40</f>
        <v>6.634060234971936</v>
      </c>
      <c r="E56" s="156">
        <f>U40*$G$6/$W40</f>
        <v>5.261490262668354</v>
      </c>
      <c r="F56" s="157">
        <f>V40*$G$6/$W40</f>
        <v>8.8945082416976202</v>
      </c>
      <c r="G56" s="73">
        <f t="shared" ref="G56:G61" si="8">SUM(C56:F56)</f>
        <v>28</v>
      </c>
      <c r="I56" s="118">
        <v>1</v>
      </c>
      <c r="J56" s="118">
        <v>1</v>
      </c>
      <c r="K56" s="155">
        <f>C56*$C$14/C64</f>
        <v>7.1909682667004127</v>
      </c>
      <c r="L56" s="156">
        <f>D56*$D$14/D64</f>
        <v>6.6409777020291383</v>
      </c>
      <c r="M56" s="156">
        <f>E56*$E$14/E64</f>
        <v>5.2273121886039489</v>
      </c>
      <c r="N56" s="157">
        <f>F56*F48/F64</f>
        <v>8.8473309017780668</v>
      </c>
      <c r="O56" s="73">
        <f t="shared" ref="O56:O61" si="9">SUM(K56:N56)</f>
        <v>27.906589059111568</v>
      </c>
      <c r="Q56" s="118">
        <v>1</v>
      </c>
      <c r="R56" s="118">
        <v>1</v>
      </c>
      <c r="S56" s="155">
        <f>K56*$C$18/K68</f>
        <v>7.1989171372322742</v>
      </c>
      <c r="T56" s="156">
        <f>L56*$D$18/L68</f>
        <v>6.6517173283429498</v>
      </c>
      <c r="U56" s="156">
        <f>M56*$E$18/M68</f>
        <v>5.18591477013823</v>
      </c>
      <c r="V56" s="157">
        <f>N56*$F$18/N68</f>
        <v>8.8929491613329521</v>
      </c>
      <c r="W56" s="73">
        <f t="shared" ref="W56:W61" si="10">SUM(S56:V56)</f>
        <v>27.929498397046409</v>
      </c>
    </row>
    <row r="57" spans="1:23" x14ac:dyDescent="0.25">
      <c r="A57" s="118">
        <v>1</v>
      </c>
      <c r="B57" s="118">
        <v>2</v>
      </c>
      <c r="C57" s="158">
        <f>S41*$G$7/$W41</f>
        <v>4.8217201122012039</v>
      </c>
      <c r="D57" s="159">
        <f>T41*$G$7/$W41</f>
        <v>7.3513568913690799</v>
      </c>
      <c r="E57" s="159">
        <f>U41*$G$7/$W41</f>
        <v>6.8169701150506201</v>
      </c>
      <c r="F57" s="160">
        <f>V41*$G$7/$W41</f>
        <v>3.0099528813790943</v>
      </c>
      <c r="G57" s="73">
        <f t="shared" si="8"/>
        <v>22</v>
      </c>
      <c r="I57" s="118">
        <v>1</v>
      </c>
      <c r="J57" s="118">
        <v>2</v>
      </c>
      <c r="K57" s="158">
        <f>C57*$C$14/C64</f>
        <v>4.8090317332995882</v>
      </c>
      <c r="L57" s="159">
        <f>D57*$D$14/D64</f>
        <v>7.3590222979708626</v>
      </c>
      <c r="M57" s="159">
        <f>E57*$E$14/E64</f>
        <v>6.7726878113960511</v>
      </c>
      <c r="N57" s="160">
        <f>F57*$F$14/F64</f>
        <v>3.0341091632053687</v>
      </c>
      <c r="O57" s="73">
        <f t="shared" si="9"/>
        <v>21.974851005871869</v>
      </c>
      <c r="Q57" s="118">
        <v>1</v>
      </c>
      <c r="R57" s="118">
        <v>2</v>
      </c>
      <c r="S57" s="158">
        <f>K57*$C$19/K69</f>
        <v>4.8025760429035698</v>
      </c>
      <c r="T57" s="159">
        <f>L57*$D$19/L69</f>
        <v>7.3447919300605262</v>
      </c>
      <c r="U57" s="159">
        <f>M57*$E$19/M69</f>
        <v>6.829934945594581</v>
      </c>
      <c r="V57" s="160">
        <f>N57*$F$19/N69</f>
        <v>3.0384396091014572</v>
      </c>
      <c r="W57" s="73">
        <f t="shared" si="10"/>
        <v>22.015742527660134</v>
      </c>
    </row>
    <row r="58" spans="1:23" x14ac:dyDescent="0.25">
      <c r="A58" s="118">
        <v>2</v>
      </c>
      <c r="B58" s="118">
        <v>1</v>
      </c>
      <c r="C58" s="158">
        <f>S42*$G$8/$W42</f>
        <v>12.559169895705375</v>
      </c>
      <c r="D58" s="159">
        <f>T42*$G$8/$W42</f>
        <v>11.174717781292378</v>
      </c>
      <c r="E58" s="159">
        <f>U42*$G$8/$W42</f>
        <v>3.3927682293491341</v>
      </c>
      <c r="F58" s="160">
        <f>V42*$G$8/$W42</f>
        <v>1.8733440936531129</v>
      </c>
      <c r="G58" s="73">
        <f t="shared" si="8"/>
        <v>29</v>
      </c>
      <c r="I58" s="118">
        <v>2</v>
      </c>
      <c r="J58" s="118">
        <v>1</v>
      </c>
      <c r="K58" s="158">
        <f>C58*$C$15/C65</f>
        <v>12.571085645385825</v>
      </c>
      <c r="L58" s="159">
        <f>D58*$D$15/D65</f>
        <v>11.094002023521192</v>
      </c>
      <c r="M58" s="159">
        <f>E58*$E$15/E65</f>
        <v>3.3943302288821728</v>
      </c>
      <c r="N58" s="160">
        <f>F58*$F$15/F65</f>
        <v>1.8954554829511534</v>
      </c>
      <c r="O58" s="73">
        <f t="shared" si="9"/>
        <v>28.954873380740342</v>
      </c>
      <c r="Q58" s="118">
        <v>2</v>
      </c>
      <c r="R58" s="118">
        <v>1</v>
      </c>
      <c r="S58" s="158">
        <f>K58*$C$18/K68</f>
        <v>12.584981678372488</v>
      </c>
      <c r="T58" s="159">
        <f>L58*$D$18/L68</f>
        <v>11.111942971586849</v>
      </c>
      <c r="U58" s="159">
        <f>M58*$E$18/M68</f>
        <v>3.3674490127186898</v>
      </c>
      <c r="V58" s="160">
        <f>N58*$F$18/N68</f>
        <v>1.9052287559479417</v>
      </c>
      <c r="W58" s="73">
        <f t="shared" si="10"/>
        <v>28.969602418625968</v>
      </c>
    </row>
    <row r="59" spans="1:23" x14ac:dyDescent="0.25">
      <c r="A59" s="118">
        <v>2</v>
      </c>
      <c r="B59" s="118">
        <v>2</v>
      </c>
      <c r="C59" s="158">
        <f>S43*$G$9/$W43</f>
        <v>2.4266120605831558</v>
      </c>
      <c r="D59" s="159">
        <f>T43*$G$9/$W43</f>
        <v>2.9271409173450285</v>
      </c>
      <c r="E59" s="159">
        <f>U43*$G$9/$W43</f>
        <v>9.6012494434875499</v>
      </c>
      <c r="F59" s="160">
        <f>V43*$G$9/$W43</f>
        <v>5.0449975785842653</v>
      </c>
      <c r="G59" s="73">
        <f t="shared" si="8"/>
        <v>20</v>
      </c>
      <c r="I59" s="118">
        <v>2</v>
      </c>
      <c r="J59" s="118">
        <v>2</v>
      </c>
      <c r="K59" s="158">
        <f>C59*$C$15/C65</f>
        <v>2.4289143546141774</v>
      </c>
      <c r="L59" s="159">
        <f>D59*$D$15/D65</f>
        <v>2.9059979764788095</v>
      </c>
      <c r="M59" s="159">
        <f>E59*$E$15/E65</f>
        <v>9.6056697711178263</v>
      </c>
      <c r="N59" s="160">
        <f>F59*$F$15/F65</f>
        <v>5.1045445170488462</v>
      </c>
      <c r="O59" s="73">
        <f t="shared" si="9"/>
        <v>20.045126619259658</v>
      </c>
      <c r="Q59" s="118">
        <v>2</v>
      </c>
      <c r="R59" s="118">
        <v>2</v>
      </c>
      <c r="S59" s="158">
        <f>K59*$C$19/K69</f>
        <v>2.4256537566515441</v>
      </c>
      <c r="T59" s="159">
        <f>L59*$D$19/L69</f>
        <v>2.9003785587521653</v>
      </c>
      <c r="U59" s="159">
        <f>M59*$E$19/M69</f>
        <v>9.6868630996407585</v>
      </c>
      <c r="V59" s="160">
        <f>N59*$F$19/N69</f>
        <v>5.1118300010793227</v>
      </c>
      <c r="W59" s="73">
        <f t="shared" si="10"/>
        <v>20.124725416123791</v>
      </c>
    </row>
    <row r="60" spans="1:23" x14ac:dyDescent="0.25">
      <c r="A60" s="118">
        <v>3</v>
      </c>
      <c r="B60" s="118">
        <v>1</v>
      </c>
      <c r="C60" s="158">
        <f>S44*$G$10/$W44</f>
        <v>8.2486745758574891</v>
      </c>
      <c r="D60" s="159">
        <f>T44*$G$10/$W44</f>
        <v>6.2159899151836928</v>
      </c>
      <c r="E60" s="159">
        <f>U44*$G$10/$W44</f>
        <v>12.296645550848062</v>
      </c>
      <c r="F60" s="160">
        <f>V44*$G$10/$W44</f>
        <v>6.2386899581107569</v>
      </c>
      <c r="G60" s="73">
        <f t="shared" si="8"/>
        <v>33</v>
      </c>
      <c r="I60" s="118">
        <v>3</v>
      </c>
      <c r="J60" s="118">
        <v>1</v>
      </c>
      <c r="K60" s="158">
        <f>C60*$C$16/C66</f>
        <v>8.2070291637917983</v>
      </c>
      <c r="L60" s="159">
        <f>D60*$D$16/D66</f>
        <v>6.2262707277073215</v>
      </c>
      <c r="M60" s="159">
        <f>E60*$E$16/E66</f>
        <v>12.545993539970413</v>
      </c>
      <c r="N60" s="160">
        <f>F60*$F$16/F66</f>
        <v>6.1700085274687479</v>
      </c>
      <c r="O60" s="73">
        <f t="shared" si="9"/>
        <v>33.149301958938281</v>
      </c>
      <c r="Q60" s="118">
        <v>3</v>
      </c>
      <c r="R60" s="118">
        <v>1</v>
      </c>
      <c r="S60" s="158">
        <f>K60*$C$18/K68</f>
        <v>8.2161011843952387</v>
      </c>
      <c r="T60" s="159">
        <f>L60*$D$18/L68</f>
        <v>6.2363397000701966</v>
      </c>
      <c r="U60" s="159">
        <f>M60*$E$18/M68</f>
        <v>12.446636217143082</v>
      </c>
      <c r="V60" s="160">
        <f>N60*$F$18/N68</f>
        <v>6.2018220827191071</v>
      </c>
      <c r="W60" s="73">
        <f t="shared" si="10"/>
        <v>33.100899184327623</v>
      </c>
    </row>
    <row r="61" spans="1:23" x14ac:dyDescent="0.25">
      <c r="A61" s="118">
        <v>3</v>
      </c>
      <c r="B61" s="118">
        <v>2</v>
      </c>
      <c r="C61" s="161">
        <f>S45*$G$11/$W45</f>
        <v>15.87311003945571</v>
      </c>
      <c r="D61" s="162">
        <f>T45*$G$11/$W45</f>
        <v>9.7575908994689602</v>
      </c>
      <c r="E61" s="162">
        <f>U45*$G$11/$W45</f>
        <v>3.3853590816868411</v>
      </c>
      <c r="F61" s="163">
        <f>V45*$G$11/$W45</f>
        <v>13.98393997938849</v>
      </c>
      <c r="G61" s="73">
        <f t="shared" si="8"/>
        <v>43</v>
      </c>
      <c r="I61" s="118">
        <v>3</v>
      </c>
      <c r="J61" s="118">
        <v>2</v>
      </c>
      <c r="K61" s="161">
        <f>C61*$C$16/C66</f>
        <v>15.792970836208202</v>
      </c>
      <c r="L61" s="162">
        <f>D61*$D$16/D66</f>
        <v>9.7737292722926785</v>
      </c>
      <c r="M61" s="162">
        <f>E61*$E$16/E66</f>
        <v>3.4540064600295866</v>
      </c>
      <c r="N61" s="163">
        <f>F61*$F$16/F66</f>
        <v>13.829991472531253</v>
      </c>
      <c r="O61" s="73">
        <f t="shared" si="9"/>
        <v>42.850698041061719</v>
      </c>
      <c r="Q61" s="118">
        <v>3</v>
      </c>
      <c r="R61" s="118">
        <v>2</v>
      </c>
      <c r="S61" s="161">
        <f>K61*$C$19/K69</f>
        <v>15.771770200444887</v>
      </c>
      <c r="T61" s="162">
        <f>L61*$D$19/L69</f>
        <v>9.7548295111873067</v>
      </c>
      <c r="U61" s="162">
        <f>M61*$E$19/M69</f>
        <v>3.4832019547646591</v>
      </c>
      <c r="V61" s="163">
        <f>N61*$F$19/N69</f>
        <v>13.849730389819218</v>
      </c>
      <c r="W61" s="73">
        <f t="shared" si="10"/>
        <v>42.859532056216068</v>
      </c>
    </row>
    <row r="62" spans="1:23" x14ac:dyDescent="0.25">
      <c r="C62" s="164">
        <f>SUM(C56:C61)</f>
        <v>51.13922794446502</v>
      </c>
      <c r="D62" s="164">
        <f>SUM(D56:D61)</f>
        <v>44.060856639631069</v>
      </c>
      <c r="E62" s="164">
        <f>SUM(E56:E61)</f>
        <v>40.754482683090565</v>
      </c>
      <c r="F62" s="164">
        <f>SUM(F56:F61)</f>
        <v>39.045432732813339</v>
      </c>
      <c r="G62" s="166">
        <f>SUM(G56:G61)</f>
        <v>175</v>
      </c>
      <c r="K62" s="164">
        <f>SUM(K56:K61)</f>
        <v>51</v>
      </c>
      <c r="L62" s="164">
        <f>SUM(L56:L61)</f>
        <v>44</v>
      </c>
      <c r="M62" s="164">
        <f>SUM(M56:M61)</f>
        <v>41</v>
      </c>
      <c r="N62" s="164">
        <f>SUM(N56:N61)</f>
        <v>38.881440064983437</v>
      </c>
      <c r="O62" s="166">
        <f>SUM(O56:O61)</f>
        <v>174.88144006498345</v>
      </c>
      <c r="S62" s="164">
        <f>SUM(S56:S61)</f>
        <v>51</v>
      </c>
      <c r="T62" s="164">
        <f>SUM(T56:T61)</f>
        <v>44</v>
      </c>
      <c r="U62" s="164">
        <f>SUM(U56:U61)</f>
        <v>41</v>
      </c>
      <c r="V62" s="164">
        <f>SUM(V56:V61)</f>
        <v>39</v>
      </c>
      <c r="W62" s="166">
        <f>SUM(W56:W61)</f>
        <v>175</v>
      </c>
    </row>
    <row r="64" spans="1:23" x14ac:dyDescent="0.25">
      <c r="A64" s="118">
        <v>1</v>
      </c>
      <c r="C64" s="148">
        <f>SUMIF(A56:A61,A64,C56:C61)</f>
        <v>12.03166137286329</v>
      </c>
      <c r="D64" s="149">
        <f>SUMIF(A56:A61,A64,D56:D61)</f>
        <v>13.985417126341016</v>
      </c>
      <c r="E64" s="149">
        <f>SUMIF(A56:A61,A64,E56:E61)</f>
        <v>12.078460377718974</v>
      </c>
      <c r="F64" s="150">
        <f>SUMIF(A56:A61,A64,F56:F61)</f>
        <v>11.904461123076715</v>
      </c>
      <c r="G64" s="165">
        <f>SUM(C64:F64)</f>
        <v>49.999999999999993</v>
      </c>
      <c r="I64" s="118">
        <v>1</v>
      </c>
      <c r="K64" s="148">
        <f>SUMIF(I56:I61,I64,K56:K61)</f>
        <v>12</v>
      </c>
      <c r="L64" s="149">
        <f>SUMIF(I56:I61,I64,L56:L61)</f>
        <v>14</v>
      </c>
      <c r="M64" s="149">
        <f>SUMIF(I56:I61,I64,M56:M61)</f>
        <v>12</v>
      </c>
      <c r="N64" s="150">
        <f>SUMIF(I56:I61,I64,N56:N61)</f>
        <v>11.881440064983435</v>
      </c>
      <c r="O64" s="165">
        <f>SUM(K64:N64)</f>
        <v>49.881440064983437</v>
      </c>
      <c r="Q64" s="118">
        <v>1</v>
      </c>
      <c r="S64" s="148">
        <f>SUMIF(Q56:Q61,Q64,S56:S61)</f>
        <v>12.001493180135844</v>
      </c>
      <c r="T64" s="149">
        <f>SUMIF(Q56:Q61,Q64,T56:T61)</f>
        <v>13.996509258403476</v>
      </c>
      <c r="U64" s="149">
        <f>SUMIF(Q56:Q61,Q64,U56:U61)</f>
        <v>12.015849715732811</v>
      </c>
      <c r="V64" s="150">
        <f>SUMIF(Q56:Q61,Q64,V56:V61)</f>
        <v>11.93138877043441</v>
      </c>
      <c r="W64" s="165">
        <f>SUM(S64:V64)</f>
        <v>49.945240924706539</v>
      </c>
    </row>
    <row r="65" spans="1:23" x14ac:dyDescent="0.25">
      <c r="A65" s="118">
        <v>2</v>
      </c>
      <c r="C65" s="151">
        <f>SUMIF(A56:A61,A65,C56:C61)</f>
        <v>14.98578195628853</v>
      </c>
      <c r="D65" s="73">
        <f>SUMIF(A56:A61,A65,D56:D61)</f>
        <v>14.101858698637406</v>
      </c>
      <c r="E65" s="73">
        <f>SUMIF(A56:A61,A65,E56:E61)</f>
        <v>12.994017672836684</v>
      </c>
      <c r="F65" s="70">
        <f>SUMIF(A56:A61,A65,F56:F61)</f>
        <v>6.9183416722373785</v>
      </c>
      <c r="G65" s="165">
        <f>SUM(C65:F65)</f>
        <v>49</v>
      </c>
      <c r="I65" s="118">
        <v>2</v>
      </c>
      <c r="K65" s="151">
        <f>SUMIF(I56:I61,I65,K56:K61)</f>
        <v>15.000000000000002</v>
      </c>
      <c r="L65" s="73">
        <f>SUMIF(I56:I61,I65,L56:L61)</f>
        <v>14.000000000000002</v>
      </c>
      <c r="M65" s="73">
        <f>SUMIF(I56:I61,I65,M56:M61)</f>
        <v>13</v>
      </c>
      <c r="N65" s="70">
        <f>SUMIF(I56:I61,I65,N56:N61)</f>
        <v>7</v>
      </c>
      <c r="O65" s="165">
        <f>SUM(K65:N65)</f>
        <v>49</v>
      </c>
      <c r="Q65" s="118">
        <v>2</v>
      </c>
      <c r="S65" s="151">
        <f>SUMIF(Q56:Q61,Q65,S56:S61)</f>
        <v>15.010635435024032</v>
      </c>
      <c r="T65" s="73">
        <f>SUMIF(Q56:Q61,Q65,T56:T61)</f>
        <v>14.012321530339015</v>
      </c>
      <c r="U65" s="73">
        <f>SUMIF(Q56:Q61,Q65,U56:U61)</f>
        <v>13.054312112359447</v>
      </c>
      <c r="V65" s="70">
        <f>SUMIF(Q56:Q61,Q65,V56:V61)</f>
        <v>7.0170587570272644</v>
      </c>
      <c r="W65" s="165">
        <f>SUM(S65:V65)</f>
        <v>49.094327834749755</v>
      </c>
    </row>
    <row r="66" spans="1:23" x14ac:dyDescent="0.25">
      <c r="A66" s="118">
        <v>3</v>
      </c>
      <c r="C66" s="152">
        <f>SUMIF(A56:A61,A66,C56:C61)</f>
        <v>24.121784615313199</v>
      </c>
      <c r="D66" s="153">
        <f>SUMIF(A56:A61,A66,D56:D61)</f>
        <v>15.973580814652653</v>
      </c>
      <c r="E66" s="153">
        <f>SUMIF(A56:A61,A66,E56:E61)</f>
        <v>15.682004632534904</v>
      </c>
      <c r="F66" s="154">
        <f>SUMIF(A56:A61,A66,F56:F61)</f>
        <v>20.222629937499246</v>
      </c>
      <c r="G66" s="165">
        <f>SUM(C66:F66)</f>
        <v>76</v>
      </c>
      <c r="I66" s="118">
        <v>3</v>
      </c>
      <c r="K66" s="152">
        <f>SUMIF(I56:I61,I66,K56:K61)</f>
        <v>24</v>
      </c>
      <c r="L66" s="153">
        <f>SUMIF(I56:I61,I66,L56:L61)</f>
        <v>16</v>
      </c>
      <c r="M66" s="153">
        <f>SUMIF(I56:I61,I66,M56:M61)</f>
        <v>16</v>
      </c>
      <c r="N66" s="154">
        <f>SUMIF(I56:I61,I66,N56:N61)</f>
        <v>20</v>
      </c>
      <c r="O66" s="165">
        <f>SUM(K66:N66)</f>
        <v>76</v>
      </c>
      <c r="Q66" s="118">
        <v>3</v>
      </c>
      <c r="S66" s="152">
        <f>SUMIF(Q56:Q61,Q66,S56:S61)</f>
        <v>23.987871384840126</v>
      </c>
      <c r="T66" s="153">
        <f>SUMIF(Q56:Q61,Q66,T56:T61)</f>
        <v>15.991169211257503</v>
      </c>
      <c r="U66" s="153">
        <f>SUMIF(Q56:Q61,Q66,U56:U61)</f>
        <v>15.929838171907742</v>
      </c>
      <c r="V66" s="154">
        <f>SUMIF(Q56:Q61,Q66,V56:V61)</f>
        <v>20.051552472538326</v>
      </c>
      <c r="W66" s="165">
        <f>SUM(S66:V66)</f>
        <v>75.960431240543699</v>
      </c>
    </row>
    <row r="68" spans="1:23" x14ac:dyDescent="0.25">
      <c r="B68" s="118">
        <v>1</v>
      </c>
      <c r="C68" s="148">
        <f>SUMIF(B56:B61,B68,C56:C61)</f>
        <v>28.017785732224951</v>
      </c>
      <c r="D68" s="149">
        <f>SUMIF(B56:B61,B68,D56:D61)</f>
        <v>24.024767931448004</v>
      </c>
      <c r="E68" s="149">
        <f>SUMIF(B56:B61,B68,E56:E61)</f>
        <v>20.950904042865552</v>
      </c>
      <c r="F68" s="150">
        <f>SUMIF(B56:B61,B68,F56:F61)</f>
        <v>17.006542293461489</v>
      </c>
      <c r="G68" s="165">
        <f>SUM(C68:F68)</f>
        <v>90</v>
      </c>
      <c r="J68" s="118">
        <v>1</v>
      </c>
      <c r="K68" s="148">
        <f>SUMIF(J56:J61,J68,K56:K61)</f>
        <v>27.969083075878036</v>
      </c>
      <c r="L68" s="149">
        <f>SUMIF(J56:J61,J68,L56:L61)</f>
        <v>23.961250453257655</v>
      </c>
      <c r="M68" s="149">
        <f>SUMIF(J56:J61,J68,M56:M61)</f>
        <v>21.167635957456532</v>
      </c>
      <c r="N68" s="150">
        <f>SUMIF(J56:J61,J68,N56:N61)</f>
        <v>16.912794912197967</v>
      </c>
      <c r="O68" s="165">
        <f>SUM(K68:N68)</f>
        <v>90.010764398790201</v>
      </c>
      <c r="R68" s="118">
        <v>1</v>
      </c>
      <c r="S68" s="148">
        <f>SUMIF(R56:R61,R68,S56:S61)</f>
        <v>28</v>
      </c>
      <c r="T68" s="149">
        <f>SUMIF(R56:R61,R68,T56:T61)</f>
        <v>23.999999999999996</v>
      </c>
      <c r="U68" s="149">
        <f>SUMIF(R56:R61,R68,U56:U61)</f>
        <v>21</v>
      </c>
      <c r="V68" s="150">
        <f>SUMIF(R56:R61,R68,V56:V61)</f>
        <v>17</v>
      </c>
      <c r="W68" s="165">
        <f>SUM(S68:V68)</f>
        <v>90</v>
      </c>
    </row>
    <row r="69" spans="1:23" x14ac:dyDescent="0.25">
      <c r="B69" s="118">
        <v>2</v>
      </c>
      <c r="C69" s="152">
        <f>SUMIF(B56:B61,B69,C56:C61)</f>
        <v>23.121442212240069</v>
      </c>
      <c r="D69" s="153">
        <f>SUMIF(B56:B61,B69,D56:D61)</f>
        <v>20.036088708183069</v>
      </c>
      <c r="E69" s="153">
        <f>SUMIF(B56:B61,B69,E56:E61)</f>
        <v>19.803578640225009</v>
      </c>
      <c r="F69" s="154">
        <f>SUMIF(B56:B61,B69,F56:F61)</f>
        <v>22.038890439351849</v>
      </c>
      <c r="G69" s="165">
        <f>SUM(C69:F69)</f>
        <v>85</v>
      </c>
      <c r="J69" s="118">
        <v>2</v>
      </c>
      <c r="K69" s="152">
        <f>SUMIF(J56:J61,J69,K56:K61)</f>
        <v>23.030916924121968</v>
      </c>
      <c r="L69" s="153">
        <f>SUMIF(J56:J61,J69,L56:L61)</f>
        <v>20.038749546742352</v>
      </c>
      <c r="M69" s="153">
        <f>SUMIF(J56:J61,J69,M56:M61)</f>
        <v>19.832364042543464</v>
      </c>
      <c r="N69" s="154">
        <f>SUMIF(J56:J61,J69,N56:N61)</f>
        <v>21.96864515278547</v>
      </c>
      <c r="O69" s="165">
        <f>SUM(K69:N69)</f>
        <v>84.87067566619325</v>
      </c>
      <c r="R69" s="118">
        <v>2</v>
      </c>
      <c r="S69" s="152">
        <f>SUMIF(R56:R61,R69,S56:S61)</f>
        <v>23</v>
      </c>
      <c r="T69" s="153">
        <f>SUMIF(R56:R61,R69,T56:T61)</f>
        <v>20</v>
      </c>
      <c r="U69" s="153">
        <f>SUMIF(R56:R61,R69,U56:U61)</f>
        <v>20</v>
      </c>
      <c r="V69" s="154">
        <f>SUMIF(R56:R61,R69,V56:V61)</f>
        <v>22</v>
      </c>
      <c r="W69" s="165">
        <f>SUM(S69:V69)</f>
        <v>85</v>
      </c>
    </row>
    <row r="71" spans="1:23" x14ac:dyDescent="0.25">
      <c r="A71" s="118" t="s">
        <v>21</v>
      </c>
      <c r="B71" s="118" t="s">
        <v>340</v>
      </c>
      <c r="C71">
        <v>1</v>
      </c>
      <c r="D71">
        <f>C71+1</f>
        <v>2</v>
      </c>
      <c r="E71">
        <f>D71+1</f>
        <v>3</v>
      </c>
      <c r="F71">
        <f>E71+1</f>
        <v>4</v>
      </c>
      <c r="I71" s="118" t="s">
        <v>21</v>
      </c>
      <c r="J71" s="118" t="s">
        <v>340</v>
      </c>
      <c r="K71">
        <v>1</v>
      </c>
      <c r="L71">
        <f>K71+1</f>
        <v>2</v>
      </c>
      <c r="M71">
        <f>L71+1</f>
        <v>3</v>
      </c>
      <c r="N71">
        <f>M71+1</f>
        <v>4</v>
      </c>
      <c r="Q71" s="118" t="s">
        <v>21</v>
      </c>
      <c r="R71" s="118" t="s">
        <v>340</v>
      </c>
      <c r="S71">
        <v>1</v>
      </c>
      <c r="T71">
        <f>S71+1</f>
        <v>2</v>
      </c>
      <c r="U71">
        <f>T71+1</f>
        <v>3</v>
      </c>
      <c r="V71">
        <f>U71+1</f>
        <v>4</v>
      </c>
    </row>
    <row r="72" spans="1:23" x14ac:dyDescent="0.25">
      <c r="A72" s="118">
        <v>1</v>
      </c>
      <c r="B72" s="118">
        <v>1</v>
      </c>
      <c r="C72" s="155">
        <f>S56*$G$6/$W56</f>
        <v>7.2170891498652914</v>
      </c>
      <c r="D72" s="156">
        <f>T56*$G$6/$W56</f>
        <v>6.6685080607569613</v>
      </c>
      <c r="E72" s="156">
        <f>U56*$G$6/$W56</f>
        <v>5.1990054207069525</v>
      </c>
      <c r="F72" s="157">
        <f>V56*$G$6/$W56</f>
        <v>8.9153973686707921</v>
      </c>
      <c r="G72" s="73">
        <f t="shared" ref="G72:G77" si="11">SUM(C72:F72)</f>
        <v>27.999999999999996</v>
      </c>
      <c r="I72" s="118">
        <v>1</v>
      </c>
      <c r="J72" s="118">
        <v>1</v>
      </c>
      <c r="K72" s="155">
        <f>C72*$C$14/C80</f>
        <v>7.2073405769935857</v>
      </c>
      <c r="L72" s="156">
        <f>D72*$D$14/D80</f>
        <v>6.6646768045010329</v>
      </c>
      <c r="M72" s="156">
        <f>E72*$E$14/E80</f>
        <v>5.1886037539997645</v>
      </c>
      <c r="N72" s="157">
        <f>F72*F64/F80</f>
        <v>8.8801859346786483</v>
      </c>
      <c r="O72" s="73">
        <f t="shared" ref="O72:O77" si="12">SUM(K72:N72)</f>
        <v>27.94080707017303</v>
      </c>
      <c r="Q72" s="118">
        <v>1</v>
      </c>
      <c r="R72" s="118">
        <v>1</v>
      </c>
      <c r="S72" s="155">
        <f>K72*$C$18/K84</f>
        <v>7.2113996527352109</v>
      </c>
      <c r="T72" s="156">
        <f>L72*$D$18/L84</f>
        <v>6.6648892033524891</v>
      </c>
      <c r="U72" s="156">
        <f>M72*$E$18/M84</f>
        <v>5.1776836760511076</v>
      </c>
      <c r="V72" s="157">
        <f>N72*$F$18/N84</f>
        <v>8.9065150477306823</v>
      </c>
      <c r="W72" s="73">
        <f t="shared" ref="W72:W77" si="13">SUM(S72:V72)</f>
        <v>27.96048757986949</v>
      </c>
    </row>
    <row r="73" spans="1:23" x14ac:dyDescent="0.25">
      <c r="A73" s="118">
        <v>1</v>
      </c>
      <c r="B73" s="118">
        <v>2</v>
      </c>
      <c r="C73" s="158">
        <f>S57*$G$7/$W57</f>
        <v>4.7991419236091462</v>
      </c>
      <c r="D73" s="159">
        <f>T57*$G$7/$W57</f>
        <v>7.339539979554127</v>
      </c>
      <c r="E73" s="159">
        <f>U57*$G$7/$W57</f>
        <v>6.8250511475731033</v>
      </c>
      <c r="F73" s="160">
        <f>V57*$G$7/$W57</f>
        <v>3.0362669492636241</v>
      </c>
      <c r="G73" s="73">
        <f t="shared" si="11"/>
        <v>22</v>
      </c>
      <c r="I73" s="118">
        <v>1</v>
      </c>
      <c r="J73" s="118">
        <v>2</v>
      </c>
      <c r="K73" s="158">
        <f>C73*$C$14/C80</f>
        <v>4.7926594230064161</v>
      </c>
      <c r="L73" s="159">
        <f>D73*$D$14/D80</f>
        <v>7.3353231954989671</v>
      </c>
      <c r="M73" s="159">
        <f>E73*$E$14/E80</f>
        <v>6.8113962460002355</v>
      </c>
      <c r="N73" s="160">
        <f>F73*$F$14/F80</f>
        <v>3.0485464134471707</v>
      </c>
      <c r="O73" s="73">
        <f t="shared" si="12"/>
        <v>21.98792527795279</v>
      </c>
      <c r="Q73" s="118">
        <v>1</v>
      </c>
      <c r="R73" s="118">
        <v>2</v>
      </c>
      <c r="S73" s="158">
        <f>K73*$C$19/K85</f>
        <v>4.7893775870914972</v>
      </c>
      <c r="T73" s="159">
        <f>L73*$D$19/L85</f>
        <v>7.3350426888747817</v>
      </c>
      <c r="U73" s="159">
        <f>M73*$E$19/M85</f>
        <v>6.8265136941949063</v>
      </c>
      <c r="V73" s="160">
        <f>N73*$F$19/N85</f>
        <v>3.0514609575031537</v>
      </c>
      <c r="W73" s="73">
        <f t="shared" si="13"/>
        <v>22.002394927664341</v>
      </c>
    </row>
    <row r="74" spans="1:23" x14ac:dyDescent="0.25">
      <c r="A74" s="118">
        <v>2</v>
      </c>
      <c r="B74" s="118">
        <v>1</v>
      </c>
      <c r="C74" s="158">
        <f>S58*$G$8/$W58</f>
        <v>12.5981870030135</v>
      </c>
      <c r="D74" s="159">
        <f>T58*$G$8/$W58</f>
        <v>11.123602648023597</v>
      </c>
      <c r="E74" s="159">
        <f>U58*$G$8/$W58</f>
        <v>3.3709824511106925</v>
      </c>
      <c r="F74" s="160">
        <f>V58*$G$8/$W58</f>
        <v>1.9072278978522104</v>
      </c>
      <c r="G74" s="73">
        <f t="shared" si="11"/>
        <v>29</v>
      </c>
      <c r="I74" s="118">
        <v>2</v>
      </c>
      <c r="J74" s="118">
        <v>1</v>
      </c>
      <c r="K74" s="158">
        <f>C74*$C$15/C81</f>
        <v>12.590794127218595</v>
      </c>
      <c r="L74" s="159">
        <f>D74*$D$15/D81</f>
        <v>11.118832859022396</v>
      </c>
      <c r="M74" s="159">
        <f>E74*$E$15/E81</f>
        <v>3.3715504155275866</v>
      </c>
      <c r="N74" s="160">
        <f>F74*$F$15/F81</f>
        <v>1.9106734657627182</v>
      </c>
      <c r="O74" s="73">
        <f t="shared" si="12"/>
        <v>28.991850867531298</v>
      </c>
      <c r="Q74" s="118">
        <v>2</v>
      </c>
      <c r="R74" s="118">
        <v>1</v>
      </c>
      <c r="S74" s="158">
        <f>K74*$C$18/K84</f>
        <v>12.597885090447491</v>
      </c>
      <c r="T74" s="159">
        <f>L74*$D$18/L84</f>
        <v>11.119187208887825</v>
      </c>
      <c r="U74" s="159">
        <f>M74*$E$18/M84</f>
        <v>3.3644545579344909</v>
      </c>
      <c r="V74" s="160">
        <f>N74*$F$18/N84</f>
        <v>1.9163384752631536</v>
      </c>
      <c r="W74" s="73">
        <f t="shared" si="13"/>
        <v>28.997865332532957</v>
      </c>
    </row>
    <row r="75" spans="1:23" x14ac:dyDescent="0.25">
      <c r="A75" s="118">
        <v>2</v>
      </c>
      <c r="B75" s="118">
        <v>2</v>
      </c>
      <c r="C75" s="158">
        <f>S59*$G$9/$W59</f>
        <v>2.410620474561235</v>
      </c>
      <c r="D75" s="159">
        <f>T59*$G$9/$W59</f>
        <v>2.8824031123708176</v>
      </c>
      <c r="E75" s="159">
        <f>U59*$G$9/$W59</f>
        <v>9.6268275957491678</v>
      </c>
      <c r="F75" s="160">
        <f>V59*$G$9/$W59</f>
        <v>5.0801488173187792</v>
      </c>
      <c r="G75" s="73">
        <f t="shared" si="11"/>
        <v>20</v>
      </c>
      <c r="I75" s="118">
        <v>2</v>
      </c>
      <c r="J75" s="118">
        <v>2</v>
      </c>
      <c r="K75" s="158">
        <f>C75*$C$15/C81</f>
        <v>2.4092058727814054</v>
      </c>
      <c r="L75" s="159">
        <f>D75*$D$15/D81</f>
        <v>2.8811671409776052</v>
      </c>
      <c r="M75" s="159">
        <f>E75*$E$15/E81</f>
        <v>9.6284495844724134</v>
      </c>
      <c r="N75" s="160">
        <f>F75*$F$15/F81</f>
        <v>5.0893265342372818</v>
      </c>
      <c r="O75" s="73">
        <f t="shared" si="12"/>
        <v>20.008149132468706</v>
      </c>
      <c r="Q75" s="118">
        <v>2</v>
      </c>
      <c r="R75" s="118">
        <v>2</v>
      </c>
      <c r="S75" s="158">
        <f>K75*$C$19/K85</f>
        <v>2.4075561377049315</v>
      </c>
      <c r="T75" s="159">
        <f>L75*$D$19/L85</f>
        <v>2.8810569636279659</v>
      </c>
      <c r="U75" s="159">
        <f>M75*$E$19/M85</f>
        <v>9.6498192981891471</v>
      </c>
      <c r="V75" s="160">
        <f>N75*$F$19/N85</f>
        <v>5.0941921535809431</v>
      </c>
      <c r="W75" s="73">
        <f t="shared" si="13"/>
        <v>20.032624553102988</v>
      </c>
    </row>
    <row r="76" spans="1:23" x14ac:dyDescent="0.25">
      <c r="A76" s="118">
        <v>3</v>
      </c>
      <c r="B76" s="118">
        <v>1</v>
      </c>
      <c r="C76" s="158">
        <f>S60*$G$10/$W60</f>
        <v>8.1910566107344973</v>
      </c>
      <c r="D76" s="159">
        <f>T60*$G$10/$W60</f>
        <v>6.217329896577457</v>
      </c>
      <c r="E76" s="159">
        <f>U60*$G$10/$W60</f>
        <v>12.408695995793234</v>
      </c>
      <c r="F76" s="160">
        <f>V60*$G$10/$W60</f>
        <v>6.182917496894814</v>
      </c>
      <c r="G76" s="73">
        <f t="shared" si="11"/>
        <v>33.000000000000007</v>
      </c>
      <c r="I76" s="118">
        <v>3</v>
      </c>
      <c r="J76" s="118">
        <v>1</v>
      </c>
      <c r="K76" s="158">
        <f>C76*$C$16/C82</f>
        <v>8.1861049543508511</v>
      </c>
      <c r="L76" s="159">
        <f>D76*$D$16/D82</f>
        <v>6.2157254966901263</v>
      </c>
      <c r="M76" s="159">
        <f>E76*$E$16/E82</f>
        <v>12.48413622194297</v>
      </c>
      <c r="N76" s="160">
        <f>F76*$F$16/F82</f>
        <v>6.1588858231970747</v>
      </c>
      <c r="O76" s="73">
        <f t="shared" si="12"/>
        <v>33.044852496181022</v>
      </c>
      <c r="Q76" s="118">
        <v>3</v>
      </c>
      <c r="R76" s="118">
        <v>1</v>
      </c>
      <c r="S76" s="158">
        <f>K76*$C$18/K84</f>
        <v>8.1907152568172936</v>
      </c>
      <c r="T76" s="159">
        <f>L76*$D$18/L84</f>
        <v>6.2159235877596855</v>
      </c>
      <c r="U76" s="159">
        <f>M76*$E$18/M84</f>
        <v>12.457861766014405</v>
      </c>
      <c r="V76" s="160">
        <f>N76*$F$18/N84</f>
        <v>6.1771464770061648</v>
      </c>
      <c r="W76" s="73">
        <f t="shared" si="13"/>
        <v>33.041647087597553</v>
      </c>
    </row>
    <row r="77" spans="1:23" x14ac:dyDescent="0.25">
      <c r="A77" s="118">
        <v>3</v>
      </c>
      <c r="B77" s="118">
        <v>2</v>
      </c>
      <c r="C77" s="161">
        <f>S61*$G$11/$W61</f>
        <v>15.823460641838027</v>
      </c>
      <c r="D77" s="162">
        <f>T61*$G$11/$W61</f>
        <v>9.7868000152423225</v>
      </c>
      <c r="E77" s="162">
        <f>U61*$G$11/$W61</f>
        <v>3.4946178100691041</v>
      </c>
      <c r="F77" s="163">
        <f>V61*$G$11/$W61</f>
        <v>13.895121532850553</v>
      </c>
      <c r="G77" s="73">
        <f t="shared" si="11"/>
        <v>43.000000000000007</v>
      </c>
      <c r="I77" s="118">
        <v>3</v>
      </c>
      <c r="J77" s="118">
        <v>2</v>
      </c>
      <c r="K77" s="161">
        <f>C77*$C$16/C82</f>
        <v>15.813895045649149</v>
      </c>
      <c r="L77" s="162">
        <f>D77*$D$16/D82</f>
        <v>9.7842745033098719</v>
      </c>
      <c r="M77" s="162">
        <f>E77*$E$16/E82</f>
        <v>3.5158637780570285</v>
      </c>
      <c r="N77" s="163">
        <f>F77*$F$16/F82</f>
        <v>13.841114176802927</v>
      </c>
      <c r="O77" s="73">
        <f t="shared" si="12"/>
        <v>42.955147503818978</v>
      </c>
      <c r="Q77" s="118">
        <v>3</v>
      </c>
      <c r="R77" s="118">
        <v>2</v>
      </c>
      <c r="S77" s="161">
        <f>K77*$C$19/K85</f>
        <v>15.803066275203571</v>
      </c>
      <c r="T77" s="162">
        <f>L77*$D$19/L85</f>
        <v>9.783900347497255</v>
      </c>
      <c r="U77" s="162">
        <f>M77*$E$19/M85</f>
        <v>3.5236670076159475</v>
      </c>
      <c r="V77" s="163">
        <f>N77*$F$19/N85</f>
        <v>13.8543468889159</v>
      </c>
      <c r="W77" s="73">
        <f t="shared" si="13"/>
        <v>42.964980519232675</v>
      </c>
    </row>
    <row r="78" spans="1:23" x14ac:dyDescent="0.25">
      <c r="C78" s="164">
        <f>SUM(C72:C77)</f>
        <v>51.039555803621695</v>
      </c>
      <c r="D78" s="164">
        <f>SUM(D72:D77)</f>
        <v>44.018183712525286</v>
      </c>
      <c r="E78" s="164">
        <f>SUM(E72:E77)</f>
        <v>40.925180421002253</v>
      </c>
      <c r="F78" s="164">
        <f>SUM(F72:F77)</f>
        <v>39.017080062850766</v>
      </c>
      <c r="G78" s="166">
        <f>SUM(G72:G77)</f>
        <v>175</v>
      </c>
      <c r="K78" s="164">
        <f>SUM(K72:K77)</f>
        <v>51</v>
      </c>
      <c r="L78" s="164">
        <f>SUM(L72:L77)</f>
        <v>44</v>
      </c>
      <c r="M78" s="164">
        <f>SUM(M72:M77)</f>
        <v>41</v>
      </c>
      <c r="N78" s="164">
        <f>SUM(N72:N77)</f>
        <v>38.92873234812582</v>
      </c>
      <c r="O78" s="166">
        <f>SUM(O72:O77)</f>
        <v>174.92873234812583</v>
      </c>
      <c r="S78" s="164">
        <f>SUM(S72:S77)</f>
        <v>50.999999999999993</v>
      </c>
      <c r="T78" s="164">
        <f>SUM(T72:T77)</f>
        <v>44</v>
      </c>
      <c r="U78" s="164">
        <f>SUM(U72:U77)</f>
        <v>41.000000000000007</v>
      </c>
      <c r="V78" s="164">
        <f>SUM(V72:V77)</f>
        <v>39</v>
      </c>
      <c r="W78" s="166">
        <f>SUM(W72:W77)</f>
        <v>175.00000000000003</v>
      </c>
    </row>
    <row r="80" spans="1:23" x14ac:dyDescent="0.25">
      <c r="A80" s="118">
        <v>1</v>
      </c>
      <c r="C80" s="148">
        <f>SUMIF(A72:A77,A80,C72:C77)</f>
        <v>12.016231073474437</v>
      </c>
      <c r="D80" s="149">
        <f>SUMIF(A72:A77,A80,D72:D77)</f>
        <v>14.008048040311088</v>
      </c>
      <c r="E80" s="149">
        <f>SUMIF(A72:A77,A80,E72:E77)</f>
        <v>12.024056568280056</v>
      </c>
      <c r="F80" s="150">
        <f>SUMIF(A72:A77,A80,F72:F77)</f>
        <v>11.951664317934416</v>
      </c>
      <c r="G80" s="165">
        <f>SUM(C80:F80)</f>
        <v>50</v>
      </c>
      <c r="I80" s="118">
        <v>1</v>
      </c>
      <c r="K80" s="148">
        <f>SUMIF(I72:I77,I80,K72:K77)</f>
        <v>12.000000000000002</v>
      </c>
      <c r="L80" s="149">
        <f>SUMIF(I72:I77,I80,L72:L77)</f>
        <v>14</v>
      </c>
      <c r="M80" s="149">
        <f>SUMIF(I72:I77,I80,M72:M77)</f>
        <v>12</v>
      </c>
      <c r="N80" s="150">
        <f>SUMIF(I72:I77,I80,N72:N77)</f>
        <v>11.92873234812582</v>
      </c>
      <c r="O80" s="165">
        <f>SUM(K80:N80)</f>
        <v>49.92873234812582</v>
      </c>
      <c r="Q80" s="118">
        <v>1</v>
      </c>
      <c r="S80" s="148">
        <f>SUMIF(Q72:Q77,Q80,S72:S77)</f>
        <v>12.000777239826707</v>
      </c>
      <c r="T80" s="149">
        <f>SUMIF(Q72:Q77,Q80,T72:T77)</f>
        <v>13.99993189222727</v>
      </c>
      <c r="U80" s="149">
        <f>SUMIF(Q72:Q77,Q80,U72:U77)</f>
        <v>12.004197370246015</v>
      </c>
      <c r="V80" s="150">
        <f>SUMIF(Q72:Q77,Q80,V72:V77)</f>
        <v>11.957976005233835</v>
      </c>
      <c r="W80" s="165">
        <f>SUM(S80:V80)</f>
        <v>49.96288250753382</v>
      </c>
    </row>
    <row r="81" spans="1:23" x14ac:dyDescent="0.25">
      <c r="A81" s="118">
        <v>2</v>
      </c>
      <c r="C81" s="151">
        <f>SUMIF(A72:A77,A81,C72:C77)</f>
        <v>15.008807477574734</v>
      </c>
      <c r="D81" s="73">
        <f>SUMIF(A72:A77,A81,D72:D77)</f>
        <v>14.006005760394416</v>
      </c>
      <c r="E81" s="73">
        <f>SUMIF(A72:A77,A81,E72:E77)</f>
        <v>12.997810046859861</v>
      </c>
      <c r="F81" s="70">
        <f>SUMIF(A72:A77,A81,F72:F77)</f>
        <v>6.9873767151709893</v>
      </c>
      <c r="G81" s="165">
        <f>SUM(C81:F81)</f>
        <v>49</v>
      </c>
      <c r="I81" s="118">
        <v>2</v>
      </c>
      <c r="K81" s="151">
        <f>SUMIF(I72:I77,I81,K72:K77)</f>
        <v>15</v>
      </c>
      <c r="L81" s="73">
        <f>SUMIF(I72:I77,I81,L72:L77)</f>
        <v>14</v>
      </c>
      <c r="M81" s="73">
        <f>SUMIF(I72:I77,I81,M72:M77)</f>
        <v>13</v>
      </c>
      <c r="N81" s="70">
        <f>SUMIF(I72:I77,I81,N72:N77)</f>
        <v>7</v>
      </c>
      <c r="O81" s="165">
        <f>SUM(K81:N81)</f>
        <v>49</v>
      </c>
      <c r="Q81" s="118">
        <v>2</v>
      </c>
      <c r="S81" s="151">
        <f>SUMIF(Q72:Q77,Q81,S72:S77)</f>
        <v>15.005441228152423</v>
      </c>
      <c r="T81" s="73">
        <f>SUMIF(Q72:Q77,Q81,T72:T77)</f>
        <v>14.00024417251579</v>
      </c>
      <c r="U81" s="73">
        <f>SUMIF(Q72:Q77,Q81,U72:U77)</f>
        <v>13.014273856123637</v>
      </c>
      <c r="V81" s="70">
        <f>SUMIF(Q72:Q77,Q81,V72:V77)</f>
        <v>7.0105306288440969</v>
      </c>
      <c r="W81" s="165">
        <f>SUM(S81:V81)</f>
        <v>49.030489885635944</v>
      </c>
    </row>
    <row r="82" spans="1:23" x14ac:dyDescent="0.25">
      <c r="A82" s="118">
        <v>3</v>
      </c>
      <c r="C82" s="152">
        <f>SUMIF(A72:A77,A82,C72:C77)</f>
        <v>24.014517252572524</v>
      </c>
      <c r="D82" s="153">
        <f>SUMIF(A72:A77,A82,D72:D77)</f>
        <v>16.004129911819781</v>
      </c>
      <c r="E82" s="153">
        <f>SUMIF(A72:A77,A82,E72:E77)</f>
        <v>15.903313805862339</v>
      </c>
      <c r="F82" s="154">
        <f>SUMIF(A72:A77,A82,F72:F77)</f>
        <v>20.078039029745366</v>
      </c>
      <c r="G82" s="165">
        <f>SUM(C82:F82)</f>
        <v>76.000000000000014</v>
      </c>
      <c r="I82" s="118">
        <v>3</v>
      </c>
      <c r="K82" s="152">
        <f>SUMIF(I72:I77,I82,K72:K77)</f>
        <v>24</v>
      </c>
      <c r="L82" s="153">
        <f>SUMIF(I72:I77,I82,L72:L77)</f>
        <v>15.999999999999998</v>
      </c>
      <c r="M82" s="153">
        <f>SUMIF(I72:I77,I82,M72:M77)</f>
        <v>15.999999999999998</v>
      </c>
      <c r="N82" s="154">
        <f>SUMIF(I72:I77,I82,N72:N77)</f>
        <v>20</v>
      </c>
      <c r="O82" s="165">
        <f>SUM(K82:N82)</f>
        <v>76</v>
      </c>
      <c r="Q82" s="118">
        <v>3</v>
      </c>
      <c r="S82" s="152">
        <f>SUMIF(Q72:Q77,Q82,S72:S77)</f>
        <v>23.993781532020865</v>
      </c>
      <c r="T82" s="153">
        <f>SUMIF(Q72:Q77,Q82,T72:T77)</f>
        <v>15.999823935256941</v>
      </c>
      <c r="U82" s="153">
        <f>SUMIF(Q72:Q77,Q82,U72:U77)</f>
        <v>15.981528773630352</v>
      </c>
      <c r="V82" s="154">
        <f>SUMIF(Q72:Q77,Q82,V72:V77)</f>
        <v>20.031493365922067</v>
      </c>
      <c r="W82" s="165">
        <f>SUM(S82:V82)</f>
        <v>76.006627606830222</v>
      </c>
    </row>
    <row r="84" spans="1:23" x14ac:dyDescent="0.25">
      <c r="B84" s="118">
        <v>1</v>
      </c>
      <c r="C84" s="148">
        <f>SUMIF(B72:B77,B84,C72:C77)</f>
        <v>28.006332763613287</v>
      </c>
      <c r="D84" s="149">
        <f>SUMIF(B72:B77,B84,D72:D77)</f>
        <v>24.009440605358016</v>
      </c>
      <c r="E84" s="149">
        <f>SUMIF(B72:B77,B84,E72:E77)</f>
        <v>20.978683867610879</v>
      </c>
      <c r="F84" s="150">
        <f>SUMIF(B72:B77,B84,F72:F77)</f>
        <v>17.005542763417818</v>
      </c>
      <c r="G84" s="165">
        <f>SUM(C84:F84)</f>
        <v>90</v>
      </c>
      <c r="J84" s="118">
        <v>1</v>
      </c>
      <c r="K84" s="148">
        <f>SUMIF(J72:J77,J84,K72:K77)</f>
        <v>27.984239658563034</v>
      </c>
      <c r="L84" s="149">
        <f>SUMIF(J72:J77,J84,L72:L77)</f>
        <v>23.999235160213555</v>
      </c>
      <c r="M84" s="149">
        <f>SUMIF(J72:J77,J84,M72:M77)</f>
        <v>21.044290391470319</v>
      </c>
      <c r="N84" s="150">
        <f>SUMIF(J72:J77,J84,N72:N77)</f>
        <v>16.949745223638441</v>
      </c>
      <c r="O84" s="165">
        <f>SUM(K84:N84)</f>
        <v>89.977510433885357</v>
      </c>
      <c r="R84" s="118">
        <v>1</v>
      </c>
      <c r="S84" s="148">
        <f>SUMIF(R72:R77,R84,S72:S77)</f>
        <v>27.999999999999993</v>
      </c>
      <c r="T84" s="149">
        <f>SUMIF(R72:R77,R84,T72:T77)</f>
        <v>24</v>
      </c>
      <c r="U84" s="149">
        <f>SUMIF(R72:R77,R84,U72:U77)</f>
        <v>21.000000000000004</v>
      </c>
      <c r="V84" s="150">
        <f>SUMIF(R72:R77,R84,V72:V77)</f>
        <v>17</v>
      </c>
      <c r="W84" s="165">
        <f>SUM(S84:V84)</f>
        <v>90</v>
      </c>
    </row>
    <row r="85" spans="1:23" x14ac:dyDescent="0.25">
      <c r="B85" s="118">
        <v>2</v>
      </c>
      <c r="C85" s="152">
        <f>SUMIF(B72:B77,B85,C72:C77)</f>
        <v>23.033223040008409</v>
      </c>
      <c r="D85" s="153">
        <f>SUMIF(B72:B77,B85,D72:D77)</f>
        <v>20.00874310716727</v>
      </c>
      <c r="E85" s="153">
        <f>SUMIF(B72:B77,B85,E72:E77)</f>
        <v>19.946496553391377</v>
      </c>
      <c r="F85" s="154">
        <f>SUMIF(B72:B77,B85,F72:F77)</f>
        <v>22.011537299432955</v>
      </c>
      <c r="G85" s="165">
        <f>SUM(C85:F85)</f>
        <v>85.000000000000014</v>
      </c>
      <c r="J85" s="118">
        <v>2</v>
      </c>
      <c r="K85" s="152">
        <f>SUMIF(J72:J77,J85,K72:K77)</f>
        <v>23.01576034143697</v>
      </c>
      <c r="L85" s="153">
        <f>SUMIF(J72:J77,J85,L72:L77)</f>
        <v>20.000764839786441</v>
      </c>
      <c r="M85" s="153">
        <f>SUMIF(J72:J77,J85,M72:M77)</f>
        <v>19.955709608529677</v>
      </c>
      <c r="N85" s="154">
        <f>SUMIF(J72:J77,J85,N72:N77)</f>
        <v>21.978987124487382</v>
      </c>
      <c r="O85" s="165">
        <f>SUM(K85:N85)</f>
        <v>84.951221914240477</v>
      </c>
      <c r="R85" s="118">
        <v>2</v>
      </c>
      <c r="S85" s="152">
        <f>SUMIF(R72:R77,R85,S72:S77)</f>
        <v>23</v>
      </c>
      <c r="T85" s="153">
        <f>SUMIF(R72:R77,R85,T72:T77)</f>
        <v>20.000000000000004</v>
      </c>
      <c r="U85" s="153">
        <f>SUMIF(R72:R77,R85,U72:U77)</f>
        <v>20</v>
      </c>
      <c r="V85" s="154">
        <f>SUMIF(R72:R77,R85,V72:V77)</f>
        <v>22</v>
      </c>
      <c r="W85" s="165">
        <f>SUM(S85:V85)</f>
        <v>85</v>
      </c>
    </row>
    <row r="87" spans="1:23" x14ac:dyDescent="0.25">
      <c r="A87" s="118" t="s">
        <v>21</v>
      </c>
      <c r="B87" s="118" t="s">
        <v>340</v>
      </c>
      <c r="C87">
        <v>1</v>
      </c>
      <c r="D87">
        <f>C87+1</f>
        <v>2</v>
      </c>
      <c r="E87">
        <f>D87+1</f>
        <v>3</v>
      </c>
      <c r="F87">
        <f>E87+1</f>
        <v>4</v>
      </c>
      <c r="I87" s="118" t="s">
        <v>21</v>
      </c>
      <c r="J87" s="118" t="s">
        <v>340</v>
      </c>
      <c r="K87">
        <v>1</v>
      </c>
      <c r="L87">
        <f>K87+1</f>
        <v>2</v>
      </c>
      <c r="M87">
        <f>L87+1</f>
        <v>3</v>
      </c>
      <c r="N87">
        <f>M87+1</f>
        <v>4</v>
      </c>
      <c r="Q87" s="118" t="s">
        <v>21</v>
      </c>
      <c r="R87" s="118" t="s">
        <v>340</v>
      </c>
      <c r="S87">
        <v>1</v>
      </c>
      <c r="T87">
        <f>S87+1</f>
        <v>2</v>
      </c>
      <c r="U87">
        <f>T87+1</f>
        <v>3</v>
      </c>
      <c r="V87">
        <f>U87+1</f>
        <v>4</v>
      </c>
    </row>
    <row r="88" spans="1:23" x14ac:dyDescent="0.25">
      <c r="A88" s="118">
        <v>1</v>
      </c>
      <c r="B88" s="118">
        <v>1</v>
      </c>
      <c r="C88" s="155">
        <f>S72*$G$6/$W72</f>
        <v>7.2215904568831704</v>
      </c>
      <c r="D88" s="156">
        <f>T72*$G$6/$W72</f>
        <v>6.6743077051427004</v>
      </c>
      <c r="E88" s="156">
        <f>U72*$G$6/$W72</f>
        <v>5.1850005303129159</v>
      </c>
      <c r="F88" s="157">
        <f>V72*$G$6/$W72</f>
        <v>8.9191013076612151</v>
      </c>
      <c r="G88" s="73">
        <f t="shared" ref="G88:G93" si="14">SUM(C88:F88)</f>
        <v>28</v>
      </c>
      <c r="I88" s="118">
        <v>1</v>
      </c>
      <c r="J88" s="118">
        <v>1</v>
      </c>
      <c r="K88" s="155">
        <f>C88*$C$14/C96</f>
        <v>7.21530909294213</v>
      </c>
      <c r="L88" s="156">
        <f>D88*$D$14/D96</f>
        <v>6.670233152423533</v>
      </c>
      <c r="M88" s="156">
        <f>E88*$E$14/E96</f>
        <v>5.180350661055158</v>
      </c>
      <c r="N88" s="157">
        <f>F88*F80/F96</f>
        <v>8.9052678013742419</v>
      </c>
      <c r="O88" s="73">
        <f t="shared" ref="O88:O93" si="15">SUM(K88:N88)</f>
        <v>27.971160707795065</v>
      </c>
      <c r="Q88" s="118">
        <v>1</v>
      </c>
      <c r="R88" s="118">
        <v>1</v>
      </c>
      <c r="S88" s="155">
        <f>K88*$C$18/K100</f>
        <v>7.2169314488685128</v>
      </c>
      <c r="T88" s="156">
        <f>L88*$D$18/L100</f>
        <v>6.6698926518703709</v>
      </c>
      <c r="U88" s="156">
        <f>M88*$E$18/M100</f>
        <v>5.1774142750448586</v>
      </c>
      <c r="V88" s="157">
        <f>N88*$F$18/N100</f>
        <v>8.9159247831594612</v>
      </c>
      <c r="W88" s="73">
        <f t="shared" ref="W88:W93" si="16">SUM(S88:V88)</f>
        <v>27.980163158943206</v>
      </c>
    </row>
    <row r="89" spans="1:23" x14ac:dyDescent="0.25">
      <c r="A89" s="118">
        <v>1</v>
      </c>
      <c r="B89" s="118">
        <v>2</v>
      </c>
      <c r="C89" s="158">
        <f>S73*$G$7/$W73</f>
        <v>4.7888562705295499</v>
      </c>
      <c r="D89" s="159">
        <f>T73*$G$7/$W73</f>
        <v>7.3342442804873098</v>
      </c>
      <c r="E89" s="159">
        <f>U73*$G$7/$W73</f>
        <v>6.8257706384252508</v>
      </c>
      <c r="F89" s="160">
        <f>V73*$G$7/$W73</f>
        <v>3.0511288105578864</v>
      </c>
      <c r="G89" s="73">
        <f t="shared" si="14"/>
        <v>21.999999999999996</v>
      </c>
      <c r="I89" s="118">
        <v>1</v>
      </c>
      <c r="J89" s="118">
        <v>2</v>
      </c>
      <c r="K89" s="158">
        <f>C89*$C$14/C96</f>
        <v>4.78469090705787</v>
      </c>
      <c r="L89" s="159">
        <f>D89*$D$14/D96</f>
        <v>7.329766847576467</v>
      </c>
      <c r="M89" s="159">
        <f>E89*$E$14/E96</f>
        <v>6.819649338944842</v>
      </c>
      <c r="N89" s="160">
        <f>F89*$F$14/F96</f>
        <v>3.0587169473849602</v>
      </c>
      <c r="O89" s="73">
        <f t="shared" si="15"/>
        <v>21.992824040964138</v>
      </c>
      <c r="Q89" s="118">
        <v>1</v>
      </c>
      <c r="R89" s="118">
        <v>2</v>
      </c>
      <c r="S89" s="158">
        <f>K89*$C$19/K101</f>
        <v>4.7833818493082427</v>
      </c>
      <c r="T89" s="159">
        <f>L89*$D$19/L101</f>
        <v>7.3302158999433935</v>
      </c>
      <c r="U89" s="159">
        <f>M89*$E$19/M101</f>
        <v>6.8237129326299684</v>
      </c>
      <c r="V89" s="160">
        <f>N89*$F$19/N101</f>
        <v>3.0609007020012884</v>
      </c>
      <c r="W89" s="73">
        <f t="shared" si="16"/>
        <v>21.998211383882893</v>
      </c>
    </row>
    <row r="90" spans="1:23" x14ac:dyDescent="0.25">
      <c r="A90" s="118">
        <v>2</v>
      </c>
      <c r="B90" s="118">
        <v>1</v>
      </c>
      <c r="C90" s="158">
        <f>S74*$G$8/$W74</f>
        <v>12.598812479244831</v>
      </c>
      <c r="D90" s="159">
        <f>T74*$G$8/$W74</f>
        <v>11.120005743870403</v>
      </c>
      <c r="E90" s="159">
        <f>U74*$G$8/$W74</f>
        <v>3.3647022310513504</v>
      </c>
      <c r="F90" s="160">
        <f>V74*$G$8/$W74</f>
        <v>1.9164795458334207</v>
      </c>
      <c r="G90" s="73">
        <f t="shared" si="14"/>
        <v>29.000000000000007</v>
      </c>
      <c r="I90" s="118">
        <v>2</v>
      </c>
      <c r="J90" s="118">
        <v>1</v>
      </c>
      <c r="K90" s="158">
        <f>C90*$C$15/C97</f>
        <v>12.596756906325316</v>
      </c>
      <c r="L90" s="159">
        <f>D90*$D$15/D97</f>
        <v>11.122889192856496</v>
      </c>
      <c r="M90" s="159">
        <f>E90*$E$15/E97</f>
        <v>3.3650112652588233</v>
      </c>
      <c r="N90" s="160">
        <f>F90*$F$15/F97</f>
        <v>1.9158294103896898</v>
      </c>
      <c r="O90" s="73">
        <f t="shared" si="15"/>
        <v>29.000486774830325</v>
      </c>
      <c r="Q90" s="118">
        <v>2</v>
      </c>
      <c r="R90" s="118">
        <v>1</v>
      </c>
      <c r="S90" s="158">
        <f>K90*$C$18/K100</f>
        <v>12.599589276076484</v>
      </c>
      <c r="T90" s="159">
        <f>L90*$D$18/L100</f>
        <v>11.12232139412497</v>
      </c>
      <c r="U90" s="159">
        <f>M90*$E$18/M100</f>
        <v>3.3631038708273824</v>
      </c>
      <c r="V90" s="160">
        <f>N90*$F$18/N100</f>
        <v>1.9181220937301011</v>
      </c>
      <c r="W90" s="73">
        <f t="shared" si="16"/>
        <v>29.003136634758935</v>
      </c>
    </row>
    <row r="91" spans="1:23" x14ac:dyDescent="0.25">
      <c r="A91" s="118">
        <v>2</v>
      </c>
      <c r="B91" s="118">
        <v>2</v>
      </c>
      <c r="C91" s="158">
        <f>S75*$G$9/$W75</f>
        <v>2.4036352613936538</v>
      </c>
      <c r="D91" s="159">
        <f>T75*$G$9/$W75</f>
        <v>2.8763649575628869</v>
      </c>
      <c r="E91" s="159">
        <f>U75*$G$9/$W75</f>
        <v>9.6341038815050535</v>
      </c>
      <c r="F91" s="160">
        <f>V75*$G$9/$W75</f>
        <v>5.0858958995384045</v>
      </c>
      <c r="G91" s="73">
        <f t="shared" si="14"/>
        <v>20</v>
      </c>
      <c r="I91" s="118">
        <v>2</v>
      </c>
      <c r="J91" s="118">
        <v>2</v>
      </c>
      <c r="K91" s="158">
        <f>C91*$C$15/C97</f>
        <v>2.4032430936746842</v>
      </c>
      <c r="L91" s="159">
        <f>D91*$D$15/D97</f>
        <v>2.8771108071435036</v>
      </c>
      <c r="M91" s="159">
        <f>E91*$E$15/E97</f>
        <v>9.6349887347411762</v>
      </c>
      <c r="N91" s="160">
        <f>F91*$F$15/F97</f>
        <v>5.0841705896103093</v>
      </c>
      <c r="O91" s="73">
        <f t="shared" si="15"/>
        <v>19.999513225169672</v>
      </c>
      <c r="Q91" s="118">
        <v>2</v>
      </c>
      <c r="R91" s="118">
        <v>2</v>
      </c>
      <c r="S91" s="158">
        <f>K91*$C$19/K101</f>
        <v>2.4025855832822423</v>
      </c>
      <c r="T91" s="159">
        <f>L91*$D$19/L101</f>
        <v>2.8772870710608598</v>
      </c>
      <c r="U91" s="159">
        <f>M91*$E$19/M101</f>
        <v>9.6407298920108282</v>
      </c>
      <c r="V91" s="160">
        <f>N91*$F$19/N101</f>
        <v>5.0878004060288413</v>
      </c>
      <c r="W91" s="73">
        <f t="shared" si="16"/>
        <v>20.00840295238277</v>
      </c>
    </row>
    <row r="92" spans="1:23" x14ac:dyDescent="0.25">
      <c r="A92" s="118">
        <v>3</v>
      </c>
      <c r="B92" s="118">
        <v>1</v>
      </c>
      <c r="C92" s="158">
        <f>S76*$G$10/$W76</f>
        <v>8.1803913333493448</v>
      </c>
      <c r="D92" s="159">
        <f>T76*$G$10/$W76</f>
        <v>6.208088775122385</v>
      </c>
      <c r="E92" s="159">
        <f>U76*$G$10/$W76</f>
        <v>12.442159350851144</v>
      </c>
      <c r="F92" s="160">
        <f>V76*$G$10/$W76</f>
        <v>6.169360540677121</v>
      </c>
      <c r="G92" s="73">
        <f t="shared" si="14"/>
        <v>32.999999999999993</v>
      </c>
      <c r="I92" s="118">
        <v>3</v>
      </c>
      <c r="J92" s="118">
        <v>1</v>
      </c>
      <c r="K92" s="158">
        <f>C92*$C$16/C98</f>
        <v>8.1816396405518397</v>
      </c>
      <c r="L92" s="159">
        <f>D92*$D$16/D98</f>
        <v>6.2081028638353812</v>
      </c>
      <c r="M92" s="159">
        <f>E92*$E$16/E98</f>
        <v>12.466548286572307</v>
      </c>
      <c r="N92" s="160">
        <f>F92*$F$16/F98</f>
        <v>6.1585831136364231</v>
      </c>
      <c r="O92" s="73">
        <f t="shared" si="15"/>
        <v>33.014873904595952</v>
      </c>
      <c r="Q92" s="118">
        <v>3</v>
      </c>
      <c r="R92" s="118">
        <v>1</v>
      </c>
      <c r="S92" s="158">
        <f>K92*$C$18/K100</f>
        <v>8.1834792750550047</v>
      </c>
      <c r="T92" s="159">
        <f>L92*$D$18/L100</f>
        <v>6.2077859540046569</v>
      </c>
      <c r="U92" s="159">
        <f>M92*$E$18/M100</f>
        <v>12.459481854127759</v>
      </c>
      <c r="V92" s="160">
        <f>N92*$F$18/N100</f>
        <v>6.1659531231104401</v>
      </c>
      <c r="W92" s="73">
        <f t="shared" si="16"/>
        <v>33.016700206297863</v>
      </c>
    </row>
    <row r="93" spans="1:23" x14ac:dyDescent="0.25">
      <c r="A93" s="118">
        <v>3</v>
      </c>
      <c r="B93" s="118">
        <v>2</v>
      </c>
      <c r="C93" s="161">
        <f>S77*$G$11/$W77</f>
        <v>15.815946885617009</v>
      </c>
      <c r="D93" s="162">
        <f>T77*$G$11/$W77</f>
        <v>9.7918749143632926</v>
      </c>
      <c r="E93" s="162">
        <f>U77*$G$11/$W77</f>
        <v>3.5265390440398541</v>
      </c>
      <c r="F93" s="163">
        <f>V77*$G$11/$W77</f>
        <v>13.86563915597984</v>
      </c>
      <c r="G93" s="73">
        <f t="shared" si="14"/>
        <v>42.999999999999993</v>
      </c>
      <c r="I93" s="118">
        <v>3</v>
      </c>
      <c r="J93" s="118">
        <v>2</v>
      </c>
      <c r="K93" s="161">
        <f>C93*$C$16/C98</f>
        <v>15.81836035944816</v>
      </c>
      <c r="L93" s="162">
        <f>D93*$D$16/D98</f>
        <v>9.7918971361646179</v>
      </c>
      <c r="M93" s="162">
        <f>E93*$E$16/E98</f>
        <v>3.5334517134276942</v>
      </c>
      <c r="N93" s="163">
        <f>F93*$F$16/F98</f>
        <v>13.841416886363579</v>
      </c>
      <c r="O93" s="73">
        <f t="shared" si="15"/>
        <v>42.985126095404055</v>
      </c>
      <c r="Q93" s="118">
        <v>3</v>
      </c>
      <c r="R93" s="118">
        <v>2</v>
      </c>
      <c r="S93" s="161">
        <f>K93*$C$19/K101</f>
        <v>15.814032567409516</v>
      </c>
      <c r="T93" s="162">
        <f>L93*$D$19/L101</f>
        <v>9.7924970289957471</v>
      </c>
      <c r="U93" s="162">
        <f>M93*$E$19/M101</f>
        <v>3.5355571753592026</v>
      </c>
      <c r="V93" s="163">
        <f>N93*$F$19/N101</f>
        <v>13.851298891969869</v>
      </c>
      <c r="W93" s="73">
        <f t="shared" si="16"/>
        <v>42.99338566373433</v>
      </c>
    </row>
    <row r="94" spans="1:23" x14ac:dyDescent="0.25">
      <c r="C94" s="164">
        <f>SUM(C88:C93)</f>
        <v>51.009232687017558</v>
      </c>
      <c r="D94" s="164">
        <f>SUM(D88:D93)</f>
        <v>44.004886376548981</v>
      </c>
      <c r="E94" s="164">
        <f>SUM(E88:E93)</f>
        <v>40.978275676185561</v>
      </c>
      <c r="F94" s="164">
        <f>SUM(F88:F93)</f>
        <v>39.007605260247885</v>
      </c>
      <c r="G94" s="166">
        <f>SUM(G88:G93)</f>
        <v>175</v>
      </c>
      <c r="K94" s="164">
        <f>SUM(K88:K93)</f>
        <v>51</v>
      </c>
      <c r="L94" s="164">
        <f>SUM(L88:L93)</f>
        <v>44</v>
      </c>
      <c r="M94" s="164">
        <f>SUM(M88:M93)</f>
        <v>41</v>
      </c>
      <c r="N94" s="164">
        <f>SUM(N88:N93)</f>
        <v>38.963984748759202</v>
      </c>
      <c r="O94" s="166">
        <f>SUM(O88:O93)</f>
        <v>174.96398474875923</v>
      </c>
      <c r="S94" s="164">
        <f>SUM(S88:S93)</f>
        <v>51</v>
      </c>
      <c r="T94" s="164">
        <f>SUM(T88:T93)</f>
        <v>44</v>
      </c>
      <c r="U94" s="164">
        <f>SUM(U88:U93)</f>
        <v>41</v>
      </c>
      <c r="V94" s="164">
        <f>SUM(V88:V93)</f>
        <v>39</v>
      </c>
      <c r="W94" s="166">
        <f>SUM(W88:W93)</f>
        <v>175</v>
      </c>
    </row>
    <row r="96" spans="1:23" x14ac:dyDescent="0.25">
      <c r="A96" s="118">
        <v>1</v>
      </c>
      <c r="C96" s="148">
        <f>SUMIF(A88:A93,A96,C88:C93)</f>
        <v>12.01044672741272</v>
      </c>
      <c r="D96" s="149">
        <f>SUMIF(A88:A93,A96,D88:D93)</f>
        <v>14.00855198563001</v>
      </c>
      <c r="E96" s="149">
        <f>SUMIF(A88:A93,A96,E88:E93)</f>
        <v>12.010771168738167</v>
      </c>
      <c r="F96" s="150">
        <f>SUMIF(A88:A93,A96,F88:F93)</f>
        <v>11.970230118219101</v>
      </c>
      <c r="G96" s="165">
        <f>SUM(C96:F96)</f>
        <v>49.999999999999993</v>
      </c>
      <c r="I96" s="118">
        <v>1</v>
      </c>
      <c r="K96" s="148">
        <f>SUMIF(I88:I93,I96,K88:K93)</f>
        <v>12</v>
      </c>
      <c r="L96" s="149">
        <f>SUMIF(I88:I93,I96,L88:L93)</f>
        <v>14</v>
      </c>
      <c r="M96" s="149">
        <f>SUMIF(I88:I93,I96,M88:M93)</f>
        <v>12</v>
      </c>
      <c r="N96" s="150">
        <f>SUMIF(I88:I93,I96,N88:N93)</f>
        <v>11.963984748759202</v>
      </c>
      <c r="O96" s="165">
        <f>SUM(K96:N96)</f>
        <v>49.963984748759202</v>
      </c>
      <c r="Q96" s="118">
        <v>1</v>
      </c>
      <c r="S96" s="148">
        <f>SUMIF(Q88:Q93,Q96,S88:S93)</f>
        <v>12.000313298176756</v>
      </c>
      <c r="T96" s="149">
        <f>SUMIF(Q88:Q93,Q96,T88:T93)</f>
        <v>14.000108551813764</v>
      </c>
      <c r="U96" s="149">
        <f>SUMIF(Q88:Q93,Q96,U88:U93)</f>
        <v>12.001127207674827</v>
      </c>
      <c r="V96" s="150">
        <f>SUMIF(Q88:Q93,Q96,V88:V93)</f>
        <v>11.976825485160749</v>
      </c>
      <c r="W96" s="165">
        <f>SUM(S96:V96)</f>
        <v>49.978374542826089</v>
      </c>
    </row>
    <row r="97" spans="1:23" x14ac:dyDescent="0.25">
      <c r="A97" s="118">
        <v>2</v>
      </c>
      <c r="C97" s="151">
        <f>SUMIF(A88:A93,A97,C88:C93)</f>
        <v>15.002447740638484</v>
      </c>
      <c r="D97" s="73">
        <f>SUMIF(A88:A93,A97,D88:D93)</f>
        <v>13.996370701433289</v>
      </c>
      <c r="E97" s="73">
        <f>SUMIF(A88:A93,A97,E88:E93)</f>
        <v>12.998806112556403</v>
      </c>
      <c r="F97" s="70">
        <f>SUMIF(A88:A93,A97,F88:F93)</f>
        <v>7.0023754453718254</v>
      </c>
      <c r="G97" s="165">
        <f>SUM(C97:F97)</f>
        <v>49</v>
      </c>
      <c r="I97" s="118">
        <v>2</v>
      </c>
      <c r="K97" s="151">
        <f>SUMIF(I88:I93,I97,K88:K93)</f>
        <v>15</v>
      </c>
      <c r="L97" s="73">
        <f>SUMIF(I88:I93,I97,L88:L93)</f>
        <v>14</v>
      </c>
      <c r="M97" s="73">
        <f>SUMIF(I88:I93,I97,M88:M93)</f>
        <v>13</v>
      </c>
      <c r="N97" s="70">
        <f>SUMIF(I88:I93,I97,N88:N93)</f>
        <v>6.9999999999999991</v>
      </c>
      <c r="O97" s="165">
        <f>SUM(K97:N97)</f>
        <v>49</v>
      </c>
      <c r="Q97" s="118">
        <v>2</v>
      </c>
      <c r="S97" s="151">
        <f>SUMIF(Q88:Q93,Q97,S88:S93)</f>
        <v>15.002174859358727</v>
      </c>
      <c r="T97" s="73">
        <f>SUMIF(Q88:Q93,Q97,T88:T93)</f>
        <v>13.99960846518583</v>
      </c>
      <c r="U97" s="73">
        <f>SUMIF(Q88:Q93,Q97,U88:U93)</f>
        <v>13.003833762838211</v>
      </c>
      <c r="V97" s="70">
        <f>SUMIF(Q88:Q93,Q97,V88:V93)</f>
        <v>7.0059224997589427</v>
      </c>
      <c r="W97" s="165">
        <f>SUM(S97:V97)</f>
        <v>49.011539587141712</v>
      </c>
    </row>
    <row r="98" spans="1:23" x14ac:dyDescent="0.25">
      <c r="A98" s="118">
        <v>3</v>
      </c>
      <c r="C98" s="152">
        <f>SUMIF(A88:A93,A98,C88:C93)</f>
        <v>23.996338218966354</v>
      </c>
      <c r="D98" s="153">
        <f>SUMIF(A88:A93,A98,D88:D93)</f>
        <v>15.999963689485678</v>
      </c>
      <c r="E98" s="153">
        <f>SUMIF(A88:A93,A98,E88:E93)</f>
        <v>15.968698394890998</v>
      </c>
      <c r="F98" s="154">
        <f>SUMIF(A88:A93,A98,F88:F93)</f>
        <v>20.034999696656961</v>
      </c>
      <c r="G98" s="165">
        <f>SUM(C98:F98)</f>
        <v>76</v>
      </c>
      <c r="I98" s="118">
        <v>3</v>
      </c>
      <c r="K98" s="152">
        <f>SUMIF(I88:I93,I98,K88:K93)</f>
        <v>24</v>
      </c>
      <c r="L98" s="153">
        <f>SUMIF(I88:I93,I98,L88:L93)</f>
        <v>16</v>
      </c>
      <c r="M98" s="153">
        <f>SUMIF(I88:I93,I98,M88:M93)</f>
        <v>16</v>
      </c>
      <c r="N98" s="154">
        <f>SUMIF(I88:I93,I98,N88:N93)</f>
        <v>20</v>
      </c>
      <c r="O98" s="165">
        <f>SUM(K98:N98)</f>
        <v>76</v>
      </c>
      <c r="Q98" s="118">
        <v>3</v>
      </c>
      <c r="S98" s="152">
        <f>SUMIF(Q88:Q93,Q98,S88:S93)</f>
        <v>23.997511842464519</v>
      </c>
      <c r="T98" s="153">
        <f>SUMIF(Q88:Q93,Q98,T88:T93)</f>
        <v>16.000282983000403</v>
      </c>
      <c r="U98" s="153">
        <f>SUMIF(Q88:Q93,Q98,U88:U93)</f>
        <v>15.995039029486961</v>
      </c>
      <c r="V98" s="154">
        <f>SUMIF(Q88:Q93,Q98,V88:V93)</f>
        <v>20.017252015080309</v>
      </c>
      <c r="W98" s="165">
        <f>SUM(S98:V98)</f>
        <v>76.010085870032185</v>
      </c>
    </row>
    <row r="100" spans="1:23" x14ac:dyDescent="0.25">
      <c r="B100" s="118">
        <v>1</v>
      </c>
      <c r="C100" s="148">
        <f>SUMIF(B88:B93,B100,C88:C93)</f>
        <v>28.000794269477346</v>
      </c>
      <c r="D100" s="149">
        <f>SUMIF(B88:B93,B100,D88:D93)</f>
        <v>24.002402224135487</v>
      </c>
      <c r="E100" s="149">
        <f>SUMIF(B88:B93,B100,E88:E93)</f>
        <v>20.991862112215408</v>
      </c>
      <c r="F100" s="150">
        <f>SUMIF(B88:B93,B100,F88:F93)</f>
        <v>17.004941394171755</v>
      </c>
      <c r="G100" s="165">
        <f>SUM(C100:F100)</f>
        <v>89.999999999999986</v>
      </c>
      <c r="J100" s="118">
        <v>1</v>
      </c>
      <c r="K100" s="148">
        <f>SUMIF(J88:J93,J100,K88:K93)</f>
        <v>27.993705639819286</v>
      </c>
      <c r="L100" s="149">
        <f>SUMIF(J88:J93,J100,L88:L93)</f>
        <v>24.001225209115411</v>
      </c>
      <c r="M100" s="149">
        <f>SUMIF(J88:J93,J100,M88:M93)</f>
        <v>21.011910212886288</v>
      </c>
      <c r="N100" s="150">
        <f>SUMIF(J88:J93,J100,N88:N93)</f>
        <v>16.979680325400352</v>
      </c>
      <c r="O100" s="165">
        <f>SUM(K100:N100)</f>
        <v>89.986521387221345</v>
      </c>
      <c r="R100" s="118">
        <v>1</v>
      </c>
      <c r="S100" s="148">
        <f>SUMIF(R88:R93,R100,S88:S93)</f>
        <v>28</v>
      </c>
      <c r="T100" s="149">
        <f>SUMIF(R88:R93,R100,T88:T93)</f>
        <v>23.999999999999996</v>
      </c>
      <c r="U100" s="149">
        <f>SUMIF(R88:R93,R100,U88:U93)</f>
        <v>21</v>
      </c>
      <c r="V100" s="150">
        <f>SUMIF(R88:R93,R100,V88:V93)</f>
        <v>17.000000000000004</v>
      </c>
      <c r="W100" s="165">
        <f>SUM(S100:V100)</f>
        <v>90</v>
      </c>
    </row>
    <row r="101" spans="1:23" x14ac:dyDescent="0.25">
      <c r="B101" s="118">
        <v>2</v>
      </c>
      <c r="C101" s="152">
        <f>SUMIF(B88:B93,B101,C88:C93)</f>
        <v>23.008438417540212</v>
      </c>
      <c r="D101" s="153">
        <f>SUMIF(B88:B93,B101,D88:D93)</f>
        <v>20.002484152413487</v>
      </c>
      <c r="E101" s="153">
        <f>SUMIF(B88:B93,B101,E88:E93)</f>
        <v>19.986413563970157</v>
      </c>
      <c r="F101" s="154">
        <f>SUMIF(B88:B93,B101,F88:F93)</f>
        <v>22.002663866076134</v>
      </c>
      <c r="G101" s="165">
        <f>SUM(C101:F101)</f>
        <v>84.999999999999986</v>
      </c>
      <c r="J101" s="118">
        <v>2</v>
      </c>
      <c r="K101" s="152">
        <f>SUMIF(J88:J93,J101,K88:K93)</f>
        <v>23.006294360180714</v>
      </c>
      <c r="L101" s="153">
        <f>SUMIF(J88:J93,J101,L88:L93)</f>
        <v>19.998774790884589</v>
      </c>
      <c r="M101" s="153">
        <f>SUMIF(J88:J93,J101,M88:M93)</f>
        <v>19.988089787113715</v>
      </c>
      <c r="N101" s="154">
        <f>SUMIF(J88:J93,J101,N88:N93)</f>
        <v>21.98430442335885</v>
      </c>
      <c r="O101" s="165">
        <f>SUM(K101:N101)</f>
        <v>84.977463361537872</v>
      </c>
      <c r="R101" s="118">
        <v>2</v>
      </c>
      <c r="S101" s="152">
        <f>SUMIF(R88:R93,R101,S88:S93)</f>
        <v>23</v>
      </c>
      <c r="T101" s="153">
        <f>SUMIF(R88:R93,R101,T88:T93)</f>
        <v>20</v>
      </c>
      <c r="U101" s="153">
        <f>SUMIF(R88:R93,R101,U88:U93)</f>
        <v>20</v>
      </c>
      <c r="V101" s="154">
        <f>SUMIF(R88:R93,R101,V88:V93)</f>
        <v>22</v>
      </c>
      <c r="W101" s="165">
        <f>SUM(S101:V101)</f>
        <v>85</v>
      </c>
    </row>
    <row r="103" spans="1:23" x14ac:dyDescent="0.25">
      <c r="A103" s="118" t="s">
        <v>21</v>
      </c>
      <c r="B103" s="118" t="s">
        <v>340</v>
      </c>
      <c r="C103">
        <v>1</v>
      </c>
      <c r="D103">
        <f>C103+1</f>
        <v>2</v>
      </c>
      <c r="E103">
        <f>D103+1</f>
        <v>3</v>
      </c>
      <c r="F103">
        <f>E103+1</f>
        <v>4</v>
      </c>
      <c r="I103" s="118" t="s">
        <v>21</v>
      </c>
      <c r="J103" s="118" t="s">
        <v>340</v>
      </c>
      <c r="K103">
        <v>1</v>
      </c>
      <c r="L103">
        <f>K103+1</f>
        <v>2</v>
      </c>
      <c r="M103">
        <f>L103+1</f>
        <v>3</v>
      </c>
      <c r="N103">
        <f>M103+1</f>
        <v>4</v>
      </c>
      <c r="Q103" s="118" t="s">
        <v>21</v>
      </c>
      <c r="R103" s="118" t="s">
        <v>340</v>
      </c>
      <c r="S103">
        <v>1</v>
      </c>
      <c r="T103">
        <f>S103+1</f>
        <v>2</v>
      </c>
      <c r="U103">
        <f>T103+1</f>
        <v>3</v>
      </c>
      <c r="V103">
        <f>U103+1</f>
        <v>4</v>
      </c>
    </row>
    <row r="104" spans="1:23" x14ac:dyDescent="0.25">
      <c r="A104" s="118">
        <v>1</v>
      </c>
      <c r="B104" s="118">
        <v>1</v>
      </c>
      <c r="C104" s="155">
        <f>S88*$G$6/$W88</f>
        <v>7.2220479709293652</v>
      </c>
      <c r="D104" s="156">
        <f>T88*$G$6/$W88</f>
        <v>6.67462134482507</v>
      </c>
      <c r="E104" s="156">
        <f>U88*$G$6/$W88</f>
        <v>5.1810848592182177</v>
      </c>
      <c r="F104" s="157">
        <f>V88*$G$6/$W88</f>
        <v>8.9222458250273444</v>
      </c>
      <c r="G104" s="73">
        <f t="shared" ref="G104:G109" si="17">SUM(C104:F104)</f>
        <v>28</v>
      </c>
      <c r="I104" s="118">
        <v>1</v>
      </c>
      <c r="J104" s="118">
        <v>1</v>
      </c>
      <c r="K104" s="155">
        <f>C104*$C$14/C112</f>
        <v>7.218547730637229</v>
      </c>
      <c r="L104" s="156">
        <f>D104*$D$14/D112</f>
        <v>6.6720320030038209</v>
      </c>
      <c r="M104" s="156">
        <f>E104*$E$14/E112</f>
        <v>5.178774862454695</v>
      </c>
      <c r="N104" s="157">
        <f>F104*F96/F112</f>
        <v>8.9124436042872723</v>
      </c>
      <c r="O104" s="73">
        <f t="shared" ref="O104:O109" si="18">SUM(K104:N104)</f>
        <v>27.981798200383018</v>
      </c>
      <c r="Q104" s="118">
        <v>1</v>
      </c>
      <c r="R104" s="118">
        <v>1</v>
      </c>
      <c r="S104" s="155">
        <f>K104*$C$18/K116</f>
        <v>7.219138304661362</v>
      </c>
      <c r="T104" s="156">
        <f>L104*$D$18/L116</f>
        <v>6.6718799024809137</v>
      </c>
      <c r="U104" s="156">
        <f>M104*$E$18/M116</f>
        <v>5.1779875517329268</v>
      </c>
      <c r="V104" s="157">
        <f>N104*$F$18/N116</f>
        <v>8.9191565499525076</v>
      </c>
      <c r="W104" s="73">
        <f t="shared" ref="W104:W109" si="19">SUM(S104:V104)</f>
        <v>27.988162308827711</v>
      </c>
    </row>
    <row r="105" spans="1:23" x14ac:dyDescent="0.25">
      <c r="A105" s="118">
        <v>1</v>
      </c>
      <c r="B105" s="118">
        <v>2</v>
      </c>
      <c r="C105" s="158">
        <f>S89*$G$7/$W89</f>
        <v>4.7837707733766885</v>
      </c>
      <c r="D105" s="159">
        <f>T89*$G$7/$W89</f>
        <v>7.3308119003214109</v>
      </c>
      <c r="E105" s="159">
        <f>U89*$G$7/$W89</f>
        <v>6.8242677505975218</v>
      </c>
      <c r="F105" s="160">
        <f>V89*$G$7/$W89</f>
        <v>3.0611495757043783</v>
      </c>
      <c r="G105" s="73">
        <f t="shared" si="17"/>
        <v>21.999999999999996</v>
      </c>
      <c r="I105" s="118">
        <v>1</v>
      </c>
      <c r="J105" s="118">
        <v>2</v>
      </c>
      <c r="K105" s="158">
        <f>C105*$C$14/C112</f>
        <v>4.7814522693627701</v>
      </c>
      <c r="L105" s="159">
        <f>D105*$D$14/D112</f>
        <v>7.32796799699618</v>
      </c>
      <c r="M105" s="159">
        <f>E105*$E$14/E112</f>
        <v>6.8212251375453059</v>
      </c>
      <c r="N105" s="160">
        <f>F105*$F$14/F112</f>
        <v>3.0653912084224078</v>
      </c>
      <c r="O105" s="73">
        <f t="shared" si="18"/>
        <v>21.996036612326662</v>
      </c>
      <c r="Q105" s="118">
        <v>1</v>
      </c>
      <c r="R105" s="118">
        <v>2</v>
      </c>
      <c r="S105" s="158">
        <f>K105*$C$19/K117</f>
        <v>4.7809761281767225</v>
      </c>
      <c r="T105" s="159">
        <f>L105*$D$19/L117</f>
        <v>7.3281684715142026</v>
      </c>
      <c r="U105" s="159">
        <f>M105*$E$19/M117</f>
        <v>6.8223143339226899</v>
      </c>
      <c r="V105" s="160">
        <f>N105*$F$19/N117</f>
        <v>3.0666973771323476</v>
      </c>
      <c r="W105" s="73">
        <f t="shared" si="19"/>
        <v>21.998156310745962</v>
      </c>
    </row>
    <row r="106" spans="1:23" x14ac:dyDescent="0.25">
      <c r="A106" s="118">
        <v>2</v>
      </c>
      <c r="B106" s="118">
        <v>1</v>
      </c>
      <c r="C106" s="158">
        <f>S90*$G$8/$W90</f>
        <v>12.598226654158402</v>
      </c>
      <c r="D106" s="159">
        <f>T90*$G$8/$W90</f>
        <v>11.121118535954002</v>
      </c>
      <c r="E106" s="159">
        <f>U90*$G$8/$W90</f>
        <v>3.3627401574596876</v>
      </c>
      <c r="F106" s="160">
        <f>V90*$G$8/$W90</f>
        <v>1.9179146524279125</v>
      </c>
      <c r="G106" s="73">
        <f t="shared" si="17"/>
        <v>29.000000000000007</v>
      </c>
      <c r="I106" s="118">
        <v>2</v>
      </c>
      <c r="J106" s="118">
        <v>1</v>
      </c>
      <c r="K106" s="158">
        <f>C106*$C$15/C113</f>
        <v>12.598391927620954</v>
      </c>
      <c r="L106" s="159">
        <f>D106*$D$15/D113</f>
        <v>11.123345406345839</v>
      </c>
      <c r="M106" s="159">
        <f>E106*$E$15/E113</f>
        <v>3.3628898782668979</v>
      </c>
      <c r="N106" s="160">
        <f>F106*$F$15/F113</f>
        <v>1.9169347348425116</v>
      </c>
      <c r="O106" s="73">
        <f t="shared" si="18"/>
        <v>29.001561947076205</v>
      </c>
      <c r="Q106" s="118">
        <v>2</v>
      </c>
      <c r="R106" s="118">
        <v>1</v>
      </c>
      <c r="S106" s="158">
        <f>K106*$C$18/K116</f>
        <v>12.599422645058302</v>
      </c>
      <c r="T106" s="159">
        <f>L106*$D$18/L116</f>
        <v>11.123091830425937</v>
      </c>
      <c r="U106" s="159">
        <f>M106*$E$18/M116</f>
        <v>3.3623786300802885</v>
      </c>
      <c r="V106" s="160">
        <f>N106*$F$18/N116</f>
        <v>1.9183785901183659</v>
      </c>
      <c r="W106" s="73">
        <f t="shared" si="19"/>
        <v>29.003271695682894</v>
      </c>
    </row>
    <row r="107" spans="1:23" x14ac:dyDescent="0.25">
      <c r="A107" s="118">
        <v>2</v>
      </c>
      <c r="B107" s="118">
        <v>2</v>
      </c>
      <c r="C107" s="158">
        <f>S91*$G$9/$W91</f>
        <v>2.4015765666056041</v>
      </c>
      <c r="D107" s="159">
        <f>T91*$G$9/$W91</f>
        <v>2.8760786934453537</v>
      </c>
      <c r="E107" s="159">
        <f>U91*$G$9/$W91</f>
        <v>9.636681063405641</v>
      </c>
      <c r="F107" s="160">
        <f>V91*$G$9/$W91</f>
        <v>5.085663676543402</v>
      </c>
      <c r="G107" s="73">
        <f t="shared" si="17"/>
        <v>20</v>
      </c>
      <c r="I107" s="118">
        <v>2</v>
      </c>
      <c r="J107" s="118">
        <v>2</v>
      </c>
      <c r="K107" s="158">
        <f>C107*$C$15/C113</f>
        <v>2.4016080723790467</v>
      </c>
      <c r="L107" s="159">
        <f>D107*$D$15/D113</f>
        <v>2.8766545936541608</v>
      </c>
      <c r="M107" s="159">
        <f>E107*$E$15/E113</f>
        <v>9.6371101217331017</v>
      </c>
      <c r="N107" s="160">
        <f>F107*$F$15/F113</f>
        <v>5.0830652651574884</v>
      </c>
      <c r="O107" s="73">
        <f t="shared" si="18"/>
        <v>19.998438052923795</v>
      </c>
      <c r="Q107" s="118">
        <v>2</v>
      </c>
      <c r="R107" s="118">
        <v>2</v>
      </c>
      <c r="S107" s="158">
        <f>K107*$C$19/K117</f>
        <v>2.401368918153179</v>
      </c>
      <c r="T107" s="159">
        <f>L107*$D$19/L117</f>
        <v>2.8767332915883514</v>
      </c>
      <c r="U107" s="159">
        <f>M107*$E$19/M117</f>
        <v>9.6386489516678093</v>
      </c>
      <c r="V107" s="160">
        <f>N107*$F$19/N117</f>
        <v>5.0852311684137153</v>
      </c>
      <c r="W107" s="73">
        <f t="shared" si="19"/>
        <v>20.001982329823058</v>
      </c>
    </row>
    <row r="108" spans="1:23" x14ac:dyDescent="0.25">
      <c r="A108" s="118">
        <v>3</v>
      </c>
      <c r="B108" s="118">
        <v>1</v>
      </c>
      <c r="C108" s="158">
        <f>S92*$G$10/$W92</f>
        <v>8.1793399821737118</v>
      </c>
      <c r="D108" s="159">
        <f>T92*$G$10/$W92</f>
        <v>6.2046459883073863</v>
      </c>
      <c r="E108" s="159">
        <f>U92*$G$10/$W92</f>
        <v>12.453179712604582</v>
      </c>
      <c r="F108" s="160">
        <f>V92*$G$10/$W92</f>
        <v>6.162834316914318</v>
      </c>
      <c r="G108" s="73">
        <f t="shared" si="17"/>
        <v>33</v>
      </c>
      <c r="I108" s="118">
        <v>3</v>
      </c>
      <c r="J108" s="118">
        <v>1</v>
      </c>
      <c r="K108" s="158">
        <f>C108*$C$16/C114</f>
        <v>8.1807697535887911</v>
      </c>
      <c r="L108" s="159">
        <f>D108*$D$16/D114</f>
        <v>6.2051697246819932</v>
      </c>
      <c r="M108" s="159">
        <f>E108*$E$16/E114</f>
        <v>12.461528300009375</v>
      </c>
      <c r="N108" s="160">
        <f>F108*$F$16/F114</f>
        <v>6.1578267204888162</v>
      </c>
      <c r="O108" s="73">
        <f t="shared" si="18"/>
        <v>33.005294498768976</v>
      </c>
      <c r="Q108" s="118">
        <v>3</v>
      </c>
      <c r="R108" s="118">
        <v>1</v>
      </c>
      <c r="S108" s="158">
        <f>K108*$C$18/K116</f>
        <v>8.1814390502803374</v>
      </c>
      <c r="T108" s="159">
        <f>L108*$D$18/L116</f>
        <v>6.2050282670931463</v>
      </c>
      <c r="U108" s="159">
        <f>M108*$E$18/M116</f>
        <v>12.459633818186781</v>
      </c>
      <c r="V108" s="160">
        <f>N108*$F$18/N116</f>
        <v>6.1624648599291261</v>
      </c>
      <c r="W108" s="73">
        <f t="shared" si="19"/>
        <v>33.008565995489391</v>
      </c>
    </row>
    <row r="109" spans="1:23" x14ac:dyDescent="0.25">
      <c r="A109" s="118">
        <v>3</v>
      </c>
      <c r="B109" s="118">
        <v>2</v>
      </c>
      <c r="C109" s="161">
        <f>S93*$G$11/$W93</f>
        <v>15.816465484182697</v>
      </c>
      <c r="D109" s="162">
        <f>T93*$G$11/$W93</f>
        <v>9.7940035599941879</v>
      </c>
      <c r="E109" s="162">
        <f>U93*$G$11/$W93</f>
        <v>3.5361011047028281</v>
      </c>
      <c r="F109" s="163">
        <f>V93*$G$11/$W93</f>
        <v>13.853429851120291</v>
      </c>
      <c r="G109" s="73">
        <f t="shared" si="17"/>
        <v>43</v>
      </c>
      <c r="I109" s="118">
        <v>3</v>
      </c>
      <c r="J109" s="118">
        <v>2</v>
      </c>
      <c r="K109" s="161">
        <f>C109*$C$16/C114</f>
        <v>15.819230246411207</v>
      </c>
      <c r="L109" s="162">
        <f>D109*$D$16/D114</f>
        <v>9.7948302753180059</v>
      </c>
      <c r="M109" s="162">
        <f>E109*$E$16/E114</f>
        <v>3.5384716999906254</v>
      </c>
      <c r="N109" s="163">
        <f>F109*$F$16/F114</f>
        <v>13.842173279511183</v>
      </c>
      <c r="O109" s="73">
        <f t="shared" si="18"/>
        <v>42.994705501231024</v>
      </c>
      <c r="Q109" s="118">
        <v>3</v>
      </c>
      <c r="R109" s="118">
        <v>2</v>
      </c>
      <c r="S109" s="161">
        <f>K109*$C$19/K117</f>
        <v>15.8176549536701</v>
      </c>
      <c r="T109" s="162">
        <f>L109*$D$19/L117</f>
        <v>9.7950982368974451</v>
      </c>
      <c r="U109" s="162">
        <f>M109*$E$19/M117</f>
        <v>3.5390367144095003</v>
      </c>
      <c r="V109" s="163">
        <f>N109*$F$19/N117</f>
        <v>13.848071454453939</v>
      </c>
      <c r="W109" s="73">
        <f t="shared" si="19"/>
        <v>42.999861359430987</v>
      </c>
    </row>
    <row r="110" spans="1:23" x14ac:dyDescent="0.25">
      <c r="C110" s="164">
        <f>SUM(C104:C109)</f>
        <v>51.001427431426478</v>
      </c>
      <c r="D110" s="164">
        <f>SUM(D104:D109)</f>
        <v>44.001280022847411</v>
      </c>
      <c r="E110" s="164">
        <f>SUM(E104:E109)</f>
        <v>40.994054647988477</v>
      </c>
      <c r="F110" s="164">
        <f>SUM(F104:F109)</f>
        <v>39.003237897737648</v>
      </c>
      <c r="G110" s="166">
        <f>SUM(G104:G109)</f>
        <v>175</v>
      </c>
      <c r="K110" s="164">
        <f>SUM(K104:K109)</f>
        <v>51</v>
      </c>
      <c r="L110" s="164">
        <f>SUM(L104:L109)</f>
        <v>44</v>
      </c>
      <c r="M110" s="164">
        <f>SUM(M104:M109)</f>
        <v>41</v>
      </c>
      <c r="N110" s="164">
        <f>SUM(N104:N109)</f>
        <v>38.977834812709681</v>
      </c>
      <c r="O110" s="166">
        <f>SUM(O104:O109)</f>
        <v>174.97783481270966</v>
      </c>
      <c r="S110" s="164">
        <f>SUM(S104:S109)</f>
        <v>51</v>
      </c>
      <c r="T110" s="164">
        <f>SUM(T104:T109)</f>
        <v>44</v>
      </c>
      <c r="U110" s="164">
        <f>SUM(U104:U109)</f>
        <v>40.999999999999993</v>
      </c>
      <c r="V110" s="164">
        <f>SUM(V104:V109)</f>
        <v>39</v>
      </c>
      <c r="W110" s="166">
        <f>SUM(W104:W109)</f>
        <v>175</v>
      </c>
    </row>
    <row r="112" spans="1:23" x14ac:dyDescent="0.25">
      <c r="A112" s="118">
        <v>1</v>
      </c>
      <c r="C112" s="148">
        <f>SUMIF(A104:A109,A112,C104:C109)</f>
        <v>12.005818744306055</v>
      </c>
      <c r="D112" s="149">
        <f>SUMIF(A104:A109,A112,D104:D109)</f>
        <v>14.005433245146481</v>
      </c>
      <c r="E112" s="149">
        <f>SUMIF(A104:A109,A112,E104:E109)</f>
        <v>12.005352609815739</v>
      </c>
      <c r="F112" s="150">
        <f>SUMIF(A104:A109,A112,F104:F109)</f>
        <v>11.983395400731723</v>
      </c>
      <c r="G112" s="165">
        <f>SUM(C112:F112)</f>
        <v>50</v>
      </c>
      <c r="I112" s="118">
        <v>1</v>
      </c>
      <c r="K112" s="148">
        <f>SUMIF(I104:I109,I112,K104:K109)</f>
        <v>12</v>
      </c>
      <c r="L112" s="149">
        <f>SUMIF(I104:I109,I112,L104:L109)</f>
        <v>14</v>
      </c>
      <c r="M112" s="149">
        <f>SUMIF(I104:I109,I112,M104:M109)</f>
        <v>12</v>
      </c>
      <c r="N112" s="150">
        <f>SUMIF(I104:I109,I112,N104:N109)</f>
        <v>11.977834812709681</v>
      </c>
      <c r="O112" s="165">
        <f>SUM(K112:N112)</f>
        <v>49.977834812709681</v>
      </c>
      <c r="Q112" s="118">
        <v>1</v>
      </c>
      <c r="S112" s="148">
        <f>SUMIF(Q104:Q109,Q112,S104:S109)</f>
        <v>12.000114432838085</v>
      </c>
      <c r="T112" s="149">
        <f>SUMIF(Q104:Q109,Q112,T104:T109)</f>
        <v>14.000048373995117</v>
      </c>
      <c r="U112" s="149">
        <f>SUMIF(Q104:Q109,Q112,U104:U109)</f>
        <v>12.000301885655617</v>
      </c>
      <c r="V112" s="150">
        <f>SUMIF(Q104:Q109,Q112,V104:V109)</f>
        <v>11.985853927084856</v>
      </c>
      <c r="W112" s="165">
        <f>SUM(S112:V112)</f>
        <v>49.986318619573673</v>
      </c>
    </row>
    <row r="113" spans="1:23" x14ac:dyDescent="0.25">
      <c r="A113" s="118">
        <v>2</v>
      </c>
      <c r="C113" s="151">
        <f>SUMIF(A104:A109,A113,C104:C109)</f>
        <v>14.999803220764006</v>
      </c>
      <c r="D113" s="73">
        <f>SUMIF(A104:A109,A113,D104:D109)</f>
        <v>13.997197229399356</v>
      </c>
      <c r="E113" s="73">
        <f>SUMIF(A104:A109,A113,E104:E109)</f>
        <v>12.999421220865329</v>
      </c>
      <c r="F113" s="70">
        <f>SUMIF(A104:A109,A113,F104:F109)</f>
        <v>7.0035783289713143</v>
      </c>
      <c r="G113" s="165">
        <f>SUM(C113:F113)</f>
        <v>49.000000000000007</v>
      </c>
      <c r="I113" s="118">
        <v>2</v>
      </c>
      <c r="K113" s="151">
        <f>SUMIF(I104:I109,I113,K104:K109)</f>
        <v>15</v>
      </c>
      <c r="L113" s="73">
        <f>SUMIF(I104:I109,I113,L104:L109)</f>
        <v>14</v>
      </c>
      <c r="M113" s="73">
        <f>SUMIF(I104:I109,I113,M104:M109)</f>
        <v>13</v>
      </c>
      <c r="N113" s="70">
        <f>SUMIF(I104:I109,I113,N104:N109)</f>
        <v>7</v>
      </c>
      <c r="O113" s="165">
        <f>SUM(K113:N113)</f>
        <v>49</v>
      </c>
      <c r="Q113" s="118">
        <v>2</v>
      </c>
      <c r="S113" s="151">
        <f>SUMIF(Q104:Q109,Q113,S104:S109)</f>
        <v>15.000791563211482</v>
      </c>
      <c r="T113" s="73">
        <f>SUMIF(Q104:Q109,Q113,T104:T109)</f>
        <v>13.999825122014288</v>
      </c>
      <c r="U113" s="73">
        <f>SUMIF(Q104:Q109,Q113,U104:U109)</f>
        <v>13.001027581748097</v>
      </c>
      <c r="V113" s="70">
        <f>SUMIF(Q104:Q109,Q113,V104:V109)</f>
        <v>7.0036097585320807</v>
      </c>
      <c r="W113" s="165">
        <f>SUM(S113:V113)</f>
        <v>49.005254025505948</v>
      </c>
    </row>
    <row r="114" spans="1:23" x14ac:dyDescent="0.25">
      <c r="A114" s="118">
        <v>3</v>
      </c>
      <c r="C114" s="152">
        <f>SUMIF(A104:A109,A114,C104:C109)</f>
        <v>23.995805466356408</v>
      </c>
      <c r="D114" s="153">
        <f>SUMIF(A104:A109,A114,D104:D109)</f>
        <v>15.998649548301575</v>
      </c>
      <c r="E114" s="153">
        <f>SUMIF(A104:A109,A114,E104:E109)</f>
        <v>15.98928081730741</v>
      </c>
      <c r="F114" s="154">
        <f>SUMIF(A104:A109,A114,F104:F109)</f>
        <v>20.01626416803461</v>
      </c>
      <c r="G114" s="165">
        <f>SUM(C114:F114)</f>
        <v>76</v>
      </c>
      <c r="I114" s="118">
        <v>3</v>
      </c>
      <c r="K114" s="152">
        <f>SUMIF(I104:I109,I114,K104:K109)</f>
        <v>24</v>
      </c>
      <c r="L114" s="153">
        <f>SUMIF(I104:I109,I114,L104:L109)</f>
        <v>16</v>
      </c>
      <c r="M114" s="153">
        <f>SUMIF(I104:I109,I114,M104:M109)</f>
        <v>16</v>
      </c>
      <c r="N114" s="154">
        <f>SUMIF(I104:I109,I114,N104:N109)</f>
        <v>20</v>
      </c>
      <c r="O114" s="165">
        <f>SUM(K114:N114)</f>
        <v>76</v>
      </c>
      <c r="Q114" s="118">
        <v>3</v>
      </c>
      <c r="S114" s="152">
        <f>SUMIF(Q104:Q109,Q114,S104:S109)</f>
        <v>23.999094003950439</v>
      </c>
      <c r="T114" s="153">
        <f>SUMIF(Q104:Q109,Q114,T104:T109)</f>
        <v>16.000126503990593</v>
      </c>
      <c r="U114" s="153">
        <f>SUMIF(Q104:Q109,Q114,U104:U109)</f>
        <v>15.998670532596281</v>
      </c>
      <c r="V114" s="154">
        <f>SUMIF(Q104:Q109,Q114,V104:V109)</f>
        <v>20.010536314383064</v>
      </c>
      <c r="W114" s="165">
        <f>SUM(S114:V114)</f>
        <v>76.008427354920371</v>
      </c>
    </row>
    <row r="116" spans="1:23" x14ac:dyDescent="0.25">
      <c r="B116" s="118">
        <v>1</v>
      </c>
      <c r="C116" s="148">
        <f>SUMIF(B104:B109,B116,C104:C109)</f>
        <v>27.999614607261481</v>
      </c>
      <c r="D116" s="149">
        <f>SUMIF(B104:B109,B116,D104:D109)</f>
        <v>24.000385869086461</v>
      </c>
      <c r="E116" s="149">
        <f>SUMIF(B104:B109,B116,E104:E109)</f>
        <v>20.997004729282487</v>
      </c>
      <c r="F116" s="150">
        <f>SUMIF(B104:B109,B116,F104:F109)</f>
        <v>17.002994794369574</v>
      </c>
      <c r="G116" s="165">
        <f>SUM(C116:F116)</f>
        <v>90</v>
      </c>
      <c r="J116" s="118">
        <v>1</v>
      </c>
      <c r="K116" s="148">
        <f>SUMIF(J104:J109,J116,K104:K109)</f>
        <v>27.997709411846973</v>
      </c>
      <c r="L116" s="149">
        <f>SUMIF(J104:J109,J116,L104:L109)</f>
        <v>24.000547134031656</v>
      </c>
      <c r="M116" s="149">
        <f>SUMIF(J104:J109,J116,M104:M109)</f>
        <v>21.00319304073097</v>
      </c>
      <c r="N116" s="150">
        <f>SUMIF(J104:J109,J116,N104:N109)</f>
        <v>16.987205059618599</v>
      </c>
      <c r="O116" s="165">
        <f>SUM(K116:N116)</f>
        <v>89.988654646228198</v>
      </c>
      <c r="R116" s="118">
        <v>1</v>
      </c>
      <c r="S116" s="148">
        <f>SUMIF(R104:R109,R116,S104:S109)</f>
        <v>28</v>
      </c>
      <c r="T116" s="149">
        <f>SUMIF(R104:R109,R116,T104:T109)</f>
        <v>24</v>
      </c>
      <c r="U116" s="149">
        <f>SUMIF(R104:R109,R116,U104:U109)</f>
        <v>20.999999999999996</v>
      </c>
      <c r="V116" s="150">
        <f>SUMIF(R104:R109,R116,V104:V109)</f>
        <v>17</v>
      </c>
      <c r="W116" s="165">
        <f>SUM(S116:V116)</f>
        <v>90</v>
      </c>
    </row>
    <row r="117" spans="1:23" x14ac:dyDescent="0.25">
      <c r="B117" s="118">
        <v>2</v>
      </c>
      <c r="C117" s="152">
        <f>SUMIF(B104:B109,B117,C104:C109)</f>
        <v>23.00181282416499</v>
      </c>
      <c r="D117" s="153">
        <f>SUMIF(B104:B109,B117,D104:D109)</f>
        <v>20.000894153760953</v>
      </c>
      <c r="E117" s="153">
        <f>SUMIF(B104:B109,B117,E104:E109)</f>
        <v>19.99704991870599</v>
      </c>
      <c r="F117" s="154">
        <f>SUMIF(B104:B109,B117,F104:F109)</f>
        <v>22.000243103368071</v>
      </c>
      <c r="G117" s="165">
        <f>SUM(C117:F117)</f>
        <v>85</v>
      </c>
      <c r="J117" s="118">
        <v>2</v>
      </c>
      <c r="K117" s="152">
        <f>SUMIF(J104:J109,J117,K104:K109)</f>
        <v>23.002290588153024</v>
      </c>
      <c r="L117" s="153">
        <f>SUMIF(J104:J109,J117,L104:L109)</f>
        <v>19.999452865968347</v>
      </c>
      <c r="M117" s="153">
        <f>SUMIF(J104:J109,J117,M104:M109)</f>
        <v>19.996806959269033</v>
      </c>
      <c r="N117" s="154">
        <f>SUMIF(J104:J109,J117,N104:N109)</f>
        <v>21.990629753091078</v>
      </c>
      <c r="O117" s="165">
        <f>SUM(K117:N117)</f>
        <v>84.989180166481475</v>
      </c>
      <c r="R117" s="118">
        <v>2</v>
      </c>
      <c r="S117" s="152">
        <f>SUMIF(R104:R109,R117,S104:S109)</f>
        <v>23</v>
      </c>
      <c r="T117" s="153">
        <f>SUMIF(R104:R109,R117,T104:T109)</f>
        <v>20</v>
      </c>
      <c r="U117" s="153">
        <f>SUMIF(R104:R109,R117,U104:U109)</f>
        <v>20</v>
      </c>
      <c r="V117" s="154">
        <f>SUMIF(R104:R109,R117,V104:V109)</f>
        <v>22</v>
      </c>
      <c r="W117" s="165">
        <f>SUM(S117:V117)</f>
        <v>85</v>
      </c>
    </row>
    <row r="119" spans="1:23" x14ac:dyDescent="0.25">
      <c r="A119" s="118" t="s">
        <v>21</v>
      </c>
      <c r="B119" s="118" t="s">
        <v>340</v>
      </c>
      <c r="C119">
        <v>1</v>
      </c>
      <c r="D119">
        <f>C119+1</f>
        <v>2</v>
      </c>
      <c r="E119">
        <f>D119+1</f>
        <v>3</v>
      </c>
      <c r="F119">
        <f>E119+1</f>
        <v>4</v>
      </c>
      <c r="I119" s="118" t="s">
        <v>21</v>
      </c>
      <c r="J119" s="118" t="s">
        <v>340</v>
      </c>
      <c r="K119">
        <v>1</v>
      </c>
      <c r="L119">
        <f>K119+1</f>
        <v>2</v>
      </c>
      <c r="M119">
        <f>L119+1</f>
        <v>3</v>
      </c>
      <c r="N119">
        <f>M119+1</f>
        <v>4</v>
      </c>
      <c r="Q119" s="118" t="s">
        <v>21</v>
      </c>
      <c r="R119" s="118" t="s">
        <v>340</v>
      </c>
      <c r="S119">
        <v>1</v>
      </c>
      <c r="T119">
        <f>S119+1</f>
        <v>2</v>
      </c>
      <c r="U119">
        <f>T119+1</f>
        <v>3</v>
      </c>
      <c r="V119">
        <f>U119+1</f>
        <v>4</v>
      </c>
    </row>
    <row r="120" spans="1:23" x14ac:dyDescent="0.25">
      <c r="A120" s="118">
        <v>1</v>
      </c>
      <c r="B120" s="118">
        <v>1</v>
      </c>
      <c r="C120" s="155">
        <f>S104*$G$6/$W104</f>
        <v>7.2221916644653268</v>
      </c>
      <c r="D120" s="156">
        <f>T104*$G$6/$W104</f>
        <v>6.6747017974289529</v>
      </c>
      <c r="E120" s="156">
        <f>U104*$G$6/$W104</f>
        <v>5.180177599684451</v>
      </c>
      <c r="F120" s="157">
        <f>V104*$G$6/$W104</f>
        <v>8.9229289384212684</v>
      </c>
      <c r="G120" s="73">
        <f t="shared" ref="G120:G125" si="20">SUM(C120:F120)</f>
        <v>28</v>
      </c>
      <c r="I120" s="118">
        <v>1</v>
      </c>
      <c r="J120" s="118">
        <v>1</v>
      </c>
      <c r="K120" s="155">
        <f>C120*$C$14/C128</f>
        <v>7.22004460886318</v>
      </c>
      <c r="L120" s="156">
        <f>D120*$D$14/D128</f>
        <v>6.6730409487179632</v>
      </c>
      <c r="M120" s="156">
        <f>E120*$E$14/E128</f>
        <v>5.1788553864849751</v>
      </c>
      <c r="N120" s="157">
        <f>F120*F112/F128</f>
        <v>8.9181005836757414</v>
      </c>
      <c r="O120" s="73">
        <f t="shared" ref="O120:O125" si="21">SUM(K120:N120)</f>
        <v>27.990041527741859</v>
      </c>
      <c r="Q120" s="118">
        <v>1</v>
      </c>
      <c r="R120" s="118">
        <v>1</v>
      </c>
      <c r="S120" s="155">
        <f>K120*$C$18/K132</f>
        <v>7.2202752013687252</v>
      </c>
      <c r="T120" s="156">
        <f>L120*$D$18/L132</f>
        <v>6.672979362793714</v>
      </c>
      <c r="U120" s="156">
        <f>M120*$E$18/M132</f>
        <v>5.1786386315238522</v>
      </c>
      <c r="V120" s="157">
        <f>N120*$F$18/N132</f>
        <v>8.921474231007986</v>
      </c>
      <c r="W120" s="73">
        <f t="shared" ref="W120:W125" si="22">SUM(S120:V120)</f>
        <v>27.993367426694277</v>
      </c>
    </row>
    <row r="121" spans="1:23" x14ac:dyDescent="0.25">
      <c r="A121" s="118">
        <v>1</v>
      </c>
      <c r="B121" s="118">
        <v>2</v>
      </c>
      <c r="C121" s="158">
        <f>S105*$G$7/$W105</f>
        <v>4.7813768269528749</v>
      </c>
      <c r="D121" s="159">
        <f>T105*$G$7/$W105</f>
        <v>7.3287826532334268</v>
      </c>
      <c r="E121" s="159">
        <f>U105*$G$7/$W105</f>
        <v>6.8228861194599606</v>
      </c>
      <c r="F121" s="160">
        <f>V105*$G$7/$W105</f>
        <v>3.0669544003537368</v>
      </c>
      <c r="G121" s="73">
        <f t="shared" si="20"/>
        <v>22</v>
      </c>
      <c r="I121" s="118">
        <v>1</v>
      </c>
      <c r="J121" s="118">
        <v>2</v>
      </c>
      <c r="K121" s="158">
        <f>C121*$C$14/C128</f>
        <v>4.77995539113682</v>
      </c>
      <c r="L121" s="159">
        <f>D121*$D$14/D128</f>
        <v>7.326959051282036</v>
      </c>
      <c r="M121" s="159">
        <f>E121*$E$14/E128</f>
        <v>6.8211446135150258</v>
      </c>
      <c r="N121" s="160">
        <f>F121*$F$14/F128</f>
        <v>3.0695421935610772</v>
      </c>
      <c r="O121" s="73">
        <f t="shared" si="21"/>
        <v>21.997601249494956</v>
      </c>
      <c r="Q121" s="118">
        <v>1</v>
      </c>
      <c r="R121" s="118">
        <v>2</v>
      </c>
      <c r="S121" s="158">
        <f>K121*$C$19/K133</f>
        <v>4.7797695556750126</v>
      </c>
      <c r="T121" s="159">
        <f>L121*$D$19/L133</f>
        <v>7.3270401981014244</v>
      </c>
      <c r="U121" s="159">
        <f>M121*$E$19/M133</f>
        <v>6.8214444048546188</v>
      </c>
      <c r="V121" s="160">
        <f>N121*$F$19/N133</f>
        <v>3.0703696146692412</v>
      </c>
      <c r="W121" s="73">
        <f t="shared" si="22"/>
        <v>21.998623773300295</v>
      </c>
    </row>
    <row r="122" spans="1:23" x14ac:dyDescent="0.25">
      <c r="A122" s="118">
        <v>2</v>
      </c>
      <c r="B122" s="118">
        <v>1</v>
      </c>
      <c r="C122" s="158">
        <f>S106*$G$8/$W106</f>
        <v>12.598001375171673</v>
      </c>
      <c r="D122" s="159">
        <f>T106*$G$8/$W106</f>
        <v>11.121837097101233</v>
      </c>
      <c r="E122" s="159">
        <f>U106*$G$8/$W106</f>
        <v>3.3619993390898202</v>
      </c>
      <c r="F122" s="160">
        <f>V106*$G$8/$W106</f>
        <v>1.9181621886372744</v>
      </c>
      <c r="G122" s="73">
        <f t="shared" si="20"/>
        <v>29</v>
      </c>
      <c r="I122" s="118">
        <v>2</v>
      </c>
      <c r="J122" s="118">
        <v>1</v>
      </c>
      <c r="K122" s="158">
        <f>C122*$C$15/C129</f>
        <v>12.598730168328084</v>
      </c>
      <c r="L122" s="159">
        <f>D122*$D$15/D129</f>
        <v>11.12319946240957</v>
      </c>
      <c r="M122" s="159">
        <f>E122*$E$15/E129</f>
        <v>3.362078726464556</v>
      </c>
      <c r="N122" s="160">
        <f>F122*$F$15/F129</f>
        <v>1.9173707591428144</v>
      </c>
      <c r="O122" s="73">
        <f t="shared" si="21"/>
        <v>29.001379116345028</v>
      </c>
      <c r="Q122" s="118">
        <v>2</v>
      </c>
      <c r="R122" s="118">
        <v>1</v>
      </c>
      <c r="S122" s="158">
        <f>K122*$C$18/K132</f>
        <v>12.599132544340087</v>
      </c>
      <c r="T122" s="159">
        <f>L122*$D$18/L132</f>
        <v>11.12309680568608</v>
      </c>
      <c r="U122" s="159">
        <f>M122*$E$18/M132</f>
        <v>3.361938010574796</v>
      </c>
      <c r="V122" s="160">
        <f>N122*$F$18/N132</f>
        <v>1.9180960854256717</v>
      </c>
      <c r="W122" s="73">
        <f t="shared" si="22"/>
        <v>29.002263446026635</v>
      </c>
    </row>
    <row r="123" spans="1:23" x14ac:dyDescent="0.25">
      <c r="A123" s="118">
        <v>2</v>
      </c>
      <c r="B123" s="118">
        <v>2</v>
      </c>
      <c r="C123" s="158">
        <f>S107*$G$9/$W107</f>
        <v>2.4011309264809473</v>
      </c>
      <c r="D123" s="159">
        <f>T107*$G$9/$W107</f>
        <v>2.8764481881369601</v>
      </c>
      <c r="E123" s="159">
        <f>U107*$G$9/$W107</f>
        <v>9.6376936972857283</v>
      </c>
      <c r="F123" s="160">
        <f>V107*$G$9/$W107</f>
        <v>5.0847271880963607</v>
      </c>
      <c r="G123" s="73">
        <f t="shared" si="20"/>
        <v>19.999999999999996</v>
      </c>
      <c r="I123" s="118">
        <v>2</v>
      </c>
      <c r="J123" s="118">
        <v>2</v>
      </c>
      <c r="K123" s="158">
        <f>C123*$C$15/C129</f>
        <v>2.4012698316719177</v>
      </c>
      <c r="L123" s="159">
        <f>D123*$D$15/D129</f>
        <v>2.8768005375904298</v>
      </c>
      <c r="M123" s="159">
        <f>E123*$E$15/E129</f>
        <v>9.6379212735354436</v>
      </c>
      <c r="N123" s="160">
        <f>F123*$F$15/F129</f>
        <v>5.0826292408571856</v>
      </c>
      <c r="O123" s="73">
        <f t="shared" si="21"/>
        <v>19.998620883654979</v>
      </c>
      <c r="Q123" s="118">
        <v>2</v>
      </c>
      <c r="R123" s="118">
        <v>2</v>
      </c>
      <c r="S123" s="158">
        <f>K123*$C$19/K133</f>
        <v>2.4011764749245055</v>
      </c>
      <c r="T123" s="159">
        <f>L123*$D$19/L133</f>
        <v>2.8768323984500315</v>
      </c>
      <c r="U123" s="159">
        <f>M123*$E$19/M133</f>
        <v>9.6383448630491095</v>
      </c>
      <c r="V123" s="160">
        <f>N123*$F$19/N133</f>
        <v>5.0839993066369225</v>
      </c>
      <c r="W123" s="73">
        <f t="shared" si="22"/>
        <v>20.000353043060571</v>
      </c>
    </row>
    <row r="124" spans="1:23" x14ac:dyDescent="0.25">
      <c r="A124" s="118">
        <v>3</v>
      </c>
      <c r="B124" s="118">
        <v>1</v>
      </c>
      <c r="C124" s="158">
        <f>S108*$G$10/$W108</f>
        <v>8.1793158992773218</v>
      </c>
      <c r="D124" s="159">
        <f>T108*$G$10/$W108</f>
        <v>6.2034180110112942</v>
      </c>
      <c r="E124" s="159">
        <f>U108*$G$10/$W108</f>
        <v>12.456400440308425</v>
      </c>
      <c r="F124" s="160">
        <f>V108*$G$10/$W108</f>
        <v>6.1608656494029583</v>
      </c>
      <c r="G124" s="73">
        <f t="shared" si="20"/>
        <v>33</v>
      </c>
      <c r="I124" s="118">
        <v>3</v>
      </c>
      <c r="J124" s="118">
        <v>1</v>
      </c>
      <c r="K124" s="158">
        <f>C124*$C$16/C130</f>
        <v>8.1803309923292602</v>
      </c>
      <c r="L124" s="159">
        <f>D124*$D$16/D130</f>
        <v>6.2039810884608242</v>
      </c>
      <c r="M124" s="159">
        <f>E124*$E$16/E130</f>
        <v>12.459944854382904</v>
      </c>
      <c r="N124" s="160">
        <f>F124*$F$16/F130</f>
        <v>6.1581001227079808</v>
      </c>
      <c r="O124" s="73">
        <f t="shared" si="21"/>
        <v>33.002357057880971</v>
      </c>
      <c r="Q124" s="118">
        <v>3</v>
      </c>
      <c r="R124" s="118">
        <v>1</v>
      </c>
      <c r="S124" s="158">
        <f>K124*$C$18/K132</f>
        <v>8.1805922542911862</v>
      </c>
      <c r="T124" s="159">
        <f>L124*$D$18/L132</f>
        <v>6.2039238315202034</v>
      </c>
      <c r="U124" s="159">
        <f>M124*$E$18/M132</f>
        <v>12.459423357901354</v>
      </c>
      <c r="V124" s="160">
        <f>N124*$F$18/N132</f>
        <v>6.1604296835663428</v>
      </c>
      <c r="W124" s="73">
        <f t="shared" si="22"/>
        <v>33.004369127279084</v>
      </c>
    </row>
    <row r="125" spans="1:23" x14ac:dyDescent="0.25">
      <c r="A125" s="118">
        <v>3</v>
      </c>
      <c r="B125" s="118">
        <v>2</v>
      </c>
      <c r="C125" s="161">
        <f>S109*$G$11/$W109</f>
        <v>15.817705953106236</v>
      </c>
      <c r="D125" s="162">
        <f>T109*$G$11/$W109</f>
        <v>9.7951298183479469</v>
      </c>
      <c r="E125" s="162">
        <f>U109*$G$11/$W109</f>
        <v>3.5390481250059147</v>
      </c>
      <c r="F125" s="163">
        <f>V109*$G$11/$W109</f>
        <v>13.848116103539899</v>
      </c>
      <c r="G125" s="73">
        <f t="shared" si="20"/>
        <v>43</v>
      </c>
      <c r="I125" s="118">
        <v>3</v>
      </c>
      <c r="J125" s="118">
        <v>2</v>
      </c>
      <c r="K125" s="161">
        <f>C125*$C$16/C130</f>
        <v>15.81966900767074</v>
      </c>
      <c r="L125" s="162">
        <f>D125*$D$16/D130</f>
        <v>9.7960189115391749</v>
      </c>
      <c r="M125" s="162">
        <f>E125*$E$16/E130</f>
        <v>3.5400551456170968</v>
      </c>
      <c r="N125" s="163">
        <f>F125*$F$16/F130</f>
        <v>13.841899877292018</v>
      </c>
      <c r="O125" s="73">
        <f t="shared" si="21"/>
        <v>42.997642942119029</v>
      </c>
      <c r="Q125" s="118">
        <v>3</v>
      </c>
      <c r="R125" s="118">
        <v>2</v>
      </c>
      <c r="S125" s="161">
        <f>K125*$C$19/K133</f>
        <v>15.81905396940048</v>
      </c>
      <c r="T125" s="162">
        <f>L125*$D$19/L133</f>
        <v>9.7961274034485442</v>
      </c>
      <c r="U125" s="162">
        <f>M125*$E$19/M133</f>
        <v>3.5402107320962686</v>
      </c>
      <c r="V125" s="163">
        <f>N125*$F$19/N133</f>
        <v>13.845631078693838</v>
      </c>
      <c r="W125" s="73">
        <f t="shared" si="22"/>
        <v>43.001023183639134</v>
      </c>
    </row>
    <row r="126" spans="1:23" x14ac:dyDescent="0.25">
      <c r="C126" s="164">
        <f>SUM(C120:C125)</f>
        <v>50.999722645454376</v>
      </c>
      <c r="D126" s="164">
        <f>SUM(D120:D125)</f>
        <v>44.000317565259813</v>
      </c>
      <c r="E126" s="164">
        <f>SUM(E120:E125)</f>
        <v>40.998205320834295</v>
      </c>
      <c r="F126" s="164">
        <f>SUM(F120:F125)</f>
        <v>39.001754468451502</v>
      </c>
      <c r="G126" s="166">
        <f>SUM(G120:G125)</f>
        <v>175</v>
      </c>
      <c r="K126" s="164">
        <f>SUM(K120:K125)</f>
        <v>51</v>
      </c>
      <c r="L126" s="164">
        <f>SUM(L120:L125)</f>
        <v>44</v>
      </c>
      <c r="M126" s="164">
        <f>SUM(M120:M125)</f>
        <v>41</v>
      </c>
      <c r="N126" s="164">
        <f>SUM(N120:N125)</f>
        <v>38.987642777236815</v>
      </c>
      <c r="O126" s="166">
        <f>SUM(O120:O125)</f>
        <v>174.98764277723683</v>
      </c>
      <c r="S126" s="164">
        <f>SUM(S120:S125)</f>
        <v>50.999999999999993</v>
      </c>
      <c r="T126" s="164">
        <f>SUM(T120:T125)</f>
        <v>43.999999999999993</v>
      </c>
      <c r="U126" s="164">
        <f>SUM(U120:U125)</f>
        <v>41</v>
      </c>
      <c r="V126" s="164">
        <f>SUM(V120:V125)</f>
        <v>39</v>
      </c>
      <c r="W126" s="166">
        <f>SUM(W120:W125)</f>
        <v>175</v>
      </c>
    </row>
    <row r="128" spans="1:23" x14ac:dyDescent="0.25">
      <c r="A128" s="118">
        <v>1</v>
      </c>
      <c r="C128" s="148">
        <f>SUMIF(A120:A125,A128,C120:C125)</f>
        <v>12.003568491418202</v>
      </c>
      <c r="D128" s="149">
        <f>SUMIF(A120:A125,A128,D120:D125)</f>
        <v>14.003484450662381</v>
      </c>
      <c r="E128" s="149">
        <f>SUMIF(A120:A125,A128,E120:E125)</f>
        <v>12.003063719144411</v>
      </c>
      <c r="F128" s="150">
        <f>SUMIF(A120:A125,A128,F120:F125)</f>
        <v>11.989883338775005</v>
      </c>
      <c r="G128" s="165">
        <f>SUM(C128:F128)</f>
        <v>50</v>
      </c>
      <c r="I128" s="118">
        <v>1</v>
      </c>
      <c r="K128" s="148">
        <f>SUMIF(I120:I125,I128,K120:K125)</f>
        <v>12</v>
      </c>
      <c r="L128" s="149">
        <f>SUMIF(I120:I125,I128,L120:L125)</f>
        <v>14</v>
      </c>
      <c r="M128" s="149">
        <f>SUMIF(I120:I125,I128,M120:M125)</f>
        <v>12</v>
      </c>
      <c r="N128" s="150">
        <f>SUMIF(I120:I125,I128,N120:N125)</f>
        <v>11.987642777236818</v>
      </c>
      <c r="O128" s="165">
        <f>SUM(K128:N128)</f>
        <v>49.987642777236815</v>
      </c>
      <c r="Q128" s="118">
        <v>1</v>
      </c>
      <c r="S128" s="148">
        <f>SUMIF(Q120:Q125,Q128,S120:S125)</f>
        <v>12.000044757043739</v>
      </c>
      <c r="T128" s="149">
        <f>SUMIF(Q120:Q125,Q128,T120:T125)</f>
        <v>14.000019560895138</v>
      </c>
      <c r="U128" s="149">
        <f>SUMIF(Q120:Q125,Q128,U120:U125)</f>
        <v>12.00008303637847</v>
      </c>
      <c r="V128" s="150">
        <f>SUMIF(Q120:Q125,Q128,V120:V125)</f>
        <v>11.991843845677227</v>
      </c>
      <c r="W128" s="165">
        <f>SUM(S128:V128)</f>
        <v>49.991991199994573</v>
      </c>
    </row>
    <row r="129" spans="1:23" x14ac:dyDescent="0.25">
      <c r="A129" s="118">
        <v>2</v>
      </c>
      <c r="C129" s="151">
        <f>SUMIF(A120:A125,A129,C120:C125)</f>
        <v>14.999132301652621</v>
      </c>
      <c r="D129" s="73">
        <f>SUMIF(A120:A125,A129,D120:D125)</f>
        <v>13.998285285238193</v>
      </c>
      <c r="E129" s="73">
        <f>SUMIF(A120:A125,A129,E120:E125)</f>
        <v>12.999693036375549</v>
      </c>
      <c r="F129" s="70">
        <f>SUMIF(A120:A125,A129,F120:F125)</f>
        <v>7.0028893767336351</v>
      </c>
      <c r="G129" s="165">
        <f>SUM(C129:F129)</f>
        <v>48.999999999999993</v>
      </c>
      <c r="I129" s="118">
        <v>2</v>
      </c>
      <c r="K129" s="151">
        <f>SUMIF(I120:I125,I129,K120:K125)</f>
        <v>15.000000000000002</v>
      </c>
      <c r="L129" s="73">
        <f>SUMIF(I120:I125,I129,L120:L125)</f>
        <v>14</v>
      </c>
      <c r="M129" s="73">
        <f>SUMIF(I120:I125,I129,M120:M125)</f>
        <v>13</v>
      </c>
      <c r="N129" s="70">
        <f>SUMIF(I120:I125,I129,N120:N125)</f>
        <v>7</v>
      </c>
      <c r="O129" s="165">
        <f>SUM(K129:N129)</f>
        <v>49</v>
      </c>
      <c r="Q129" s="118">
        <v>2</v>
      </c>
      <c r="S129" s="151">
        <f>SUMIF(Q120:Q125,Q129,S120:S125)</f>
        <v>15.000309019264591</v>
      </c>
      <c r="T129" s="73">
        <f>SUMIF(Q120:Q125,Q129,T120:T125)</f>
        <v>13.999929204136112</v>
      </c>
      <c r="U129" s="73">
        <f>SUMIF(Q120:Q125,Q129,U120:U125)</f>
        <v>13.000282873623906</v>
      </c>
      <c r="V129" s="70">
        <f>SUMIF(Q120:Q125,Q129,V120:V125)</f>
        <v>7.0020953920625946</v>
      </c>
      <c r="W129" s="165">
        <f>SUM(S129:V129)</f>
        <v>49.002616489087202</v>
      </c>
    </row>
    <row r="130" spans="1:23" x14ac:dyDescent="0.25">
      <c r="A130" s="118">
        <v>3</v>
      </c>
      <c r="C130" s="152">
        <f>SUMIF(A120:A125,A130,C120:C125)</f>
        <v>23.997021852383558</v>
      </c>
      <c r="D130" s="153">
        <f>SUMIF(A120:A125,A130,D120:D125)</f>
        <v>15.998547829359241</v>
      </c>
      <c r="E130" s="153">
        <f>SUMIF(A120:A125,A130,E120:E125)</f>
        <v>15.995448565314339</v>
      </c>
      <c r="F130" s="154">
        <f>SUMIF(A120:A125,A130,F120:F125)</f>
        <v>20.008981752942859</v>
      </c>
      <c r="G130" s="165">
        <f>SUM(C130:F130)</f>
        <v>76</v>
      </c>
      <c r="I130" s="118">
        <v>3</v>
      </c>
      <c r="K130" s="152">
        <f>SUMIF(I120:I125,I130,K120:K125)</f>
        <v>24</v>
      </c>
      <c r="L130" s="153">
        <f>SUMIF(I120:I125,I130,L120:L125)</f>
        <v>16</v>
      </c>
      <c r="M130" s="153">
        <f>SUMIF(I120:I125,I130,M120:M125)</f>
        <v>16</v>
      </c>
      <c r="N130" s="154">
        <f>SUMIF(I120:I125,I130,N120:N125)</f>
        <v>20</v>
      </c>
      <c r="O130" s="165">
        <f>SUM(K130:N130)</f>
        <v>76</v>
      </c>
      <c r="Q130" s="118">
        <v>3</v>
      </c>
      <c r="S130" s="152">
        <f>SUMIF(Q120:Q125,Q130,S120:S125)</f>
        <v>23.999646223691666</v>
      </c>
      <c r="T130" s="153">
        <f>SUMIF(Q120:Q125,Q130,T120:T125)</f>
        <v>16.000051234968748</v>
      </c>
      <c r="U130" s="153">
        <f>SUMIF(Q120:Q125,Q130,U120:U125)</f>
        <v>15.999634089997622</v>
      </c>
      <c r="V130" s="154">
        <f>SUMIF(Q120:Q125,Q130,V120:V125)</f>
        <v>20.00606076226018</v>
      </c>
      <c r="W130" s="165">
        <f>SUM(S130:V130)</f>
        <v>76.005392310918211</v>
      </c>
    </row>
    <row r="132" spans="1:23" x14ac:dyDescent="0.25">
      <c r="B132" s="118">
        <v>1</v>
      </c>
      <c r="C132" s="148">
        <f>SUMIF(B120:B125,B132,C120:C125)</f>
        <v>27.999508938914325</v>
      </c>
      <c r="D132" s="149">
        <f>SUMIF(B120:B125,B132,D120:D125)</f>
        <v>23.999956905541481</v>
      </c>
      <c r="E132" s="149">
        <f>SUMIF(B120:B125,B132,E120:E125)</f>
        <v>20.998577379082697</v>
      </c>
      <c r="F132" s="150">
        <f>SUMIF(B120:B125,B132,F120:F125)</f>
        <v>17.001956776461501</v>
      </c>
      <c r="G132" s="165">
        <f>SUM(C132:F132)</f>
        <v>90</v>
      </c>
      <c r="J132" s="118">
        <v>1</v>
      </c>
      <c r="K132" s="148">
        <f>SUMIF(J120:J125,J132,K120:K125)</f>
        <v>27.999105769520526</v>
      </c>
      <c r="L132" s="149">
        <f>SUMIF(J120:J125,J132,L120:L125)</f>
        <v>24.00022149958836</v>
      </c>
      <c r="M132" s="149">
        <f>SUMIF(J120:J125,J132,M120:M125)</f>
        <v>21.000878967332433</v>
      </c>
      <c r="N132" s="150">
        <f>SUMIF(J120:J125,J132,N120:N125)</f>
        <v>16.993571465526536</v>
      </c>
      <c r="O132" s="165">
        <f>SUM(K132:N132)</f>
        <v>89.993777701967872</v>
      </c>
      <c r="R132" s="118">
        <v>1</v>
      </c>
      <c r="S132" s="148">
        <f>SUMIF(R120:R125,R132,S120:S125)</f>
        <v>28</v>
      </c>
      <c r="T132" s="149">
        <f>SUMIF(R120:R125,R132,T120:T125)</f>
        <v>23.999999999999996</v>
      </c>
      <c r="U132" s="149">
        <f>SUMIF(R120:R125,R132,U120:U125)</f>
        <v>21</v>
      </c>
      <c r="V132" s="150">
        <f>SUMIF(R120:R125,R132,V120:V125)</f>
        <v>17</v>
      </c>
      <c r="W132" s="165">
        <f>SUM(S132:V132)</f>
        <v>90</v>
      </c>
    </row>
    <row r="133" spans="1:23" x14ac:dyDescent="0.25">
      <c r="B133" s="118">
        <v>2</v>
      </c>
      <c r="C133" s="152">
        <f>SUMIF(B120:B125,B133,C120:C125)</f>
        <v>23.000213706540059</v>
      </c>
      <c r="D133" s="153">
        <f>SUMIF(B120:B125,B133,D120:D125)</f>
        <v>20.000360659718332</v>
      </c>
      <c r="E133" s="153">
        <f>SUMIF(B120:B125,B133,E120:E125)</f>
        <v>19.999627941751605</v>
      </c>
      <c r="F133" s="154">
        <f>SUMIF(B120:B125,B133,F120:F125)</f>
        <v>21.999797691989997</v>
      </c>
      <c r="G133" s="165">
        <f>SUM(C133:F133)</f>
        <v>85</v>
      </c>
      <c r="J133" s="118">
        <v>2</v>
      </c>
      <c r="K133" s="152">
        <f>SUMIF(J120:J125,J133,K120:K125)</f>
        <v>23.000894230479478</v>
      </c>
      <c r="L133" s="153">
        <f>SUMIF(J120:J125,J133,L120:L125)</f>
        <v>19.99977850041164</v>
      </c>
      <c r="M133" s="153">
        <f>SUMIF(J120:J125,J133,M120:M125)</f>
        <v>19.999121032667567</v>
      </c>
      <c r="N133" s="154">
        <f>SUMIF(J120:J125,J133,N120:N125)</f>
        <v>21.994071311710279</v>
      </c>
      <c r="O133" s="165">
        <f>SUM(K133:N133)</f>
        <v>84.993865075268957</v>
      </c>
      <c r="R133" s="118">
        <v>2</v>
      </c>
      <c r="S133" s="152">
        <f>SUMIF(R120:R125,R133,S120:S125)</f>
        <v>23</v>
      </c>
      <c r="T133" s="153">
        <f>SUMIF(R120:R125,R133,T120:T125)</f>
        <v>20</v>
      </c>
      <c r="U133" s="153">
        <f>SUMIF(R120:R125,R133,U120:U125)</f>
        <v>20</v>
      </c>
      <c r="V133" s="154">
        <f>SUMIF(R120:R125,R133,V120:V125)</f>
        <v>22</v>
      </c>
      <c r="W133" s="165">
        <f>SUM(S133:V133)</f>
        <v>85</v>
      </c>
    </row>
    <row r="135" spans="1:23" x14ac:dyDescent="0.25">
      <c r="A135" s="118" t="s">
        <v>21</v>
      </c>
      <c r="B135" s="118" t="s">
        <v>340</v>
      </c>
      <c r="C135">
        <v>1</v>
      </c>
      <c r="D135">
        <f>C135+1</f>
        <v>2</v>
      </c>
      <c r="E135">
        <f>D135+1</f>
        <v>3</v>
      </c>
      <c r="F135">
        <f>E135+1</f>
        <v>4</v>
      </c>
      <c r="I135" s="118" t="s">
        <v>21</v>
      </c>
      <c r="J135" s="118" t="s">
        <v>340</v>
      </c>
      <c r="K135">
        <v>1</v>
      </c>
      <c r="L135">
        <f>K135+1</f>
        <v>2</v>
      </c>
      <c r="M135">
        <f>L135+1</f>
        <v>3</v>
      </c>
      <c r="N135">
        <f>M135+1</f>
        <v>4</v>
      </c>
      <c r="Q135" s="118" t="s">
        <v>21</v>
      </c>
      <c r="R135" s="118" t="s">
        <v>340</v>
      </c>
      <c r="S135">
        <v>1</v>
      </c>
      <c r="T135">
        <f>S135+1</f>
        <v>2</v>
      </c>
      <c r="U135">
        <f>T135+1</f>
        <v>3</v>
      </c>
      <c r="V135">
        <f>U135+1</f>
        <v>4</v>
      </c>
    </row>
    <row r="136" spans="1:23" x14ac:dyDescent="0.25">
      <c r="A136" s="118">
        <v>1</v>
      </c>
      <c r="B136" s="118">
        <v>1</v>
      </c>
      <c r="C136" s="155">
        <f>S120*$G$6/$W120</f>
        <v>7.2219859281930701</v>
      </c>
      <c r="D136" s="156">
        <f>T120*$G$6/$W120</f>
        <v>6.6745604167668455</v>
      </c>
      <c r="E136" s="156">
        <f>U120*$G$6/$W120</f>
        <v>5.1798656257551601</v>
      </c>
      <c r="F136" s="157">
        <f>V120*$G$6/$W120</f>
        <v>8.9235880292849252</v>
      </c>
      <c r="G136" s="73">
        <f t="shared" ref="G136:G141" si="23">SUM(C136:F136)</f>
        <v>28</v>
      </c>
      <c r="I136" s="118">
        <v>1</v>
      </c>
      <c r="J136" s="118">
        <v>1</v>
      </c>
      <c r="K136" s="155">
        <f>C136*$C$14/C144</f>
        <v>7.2207496728562628</v>
      </c>
      <c r="L136" s="156">
        <f>D136*$D$14/D144</f>
        <v>6.6735789277442565</v>
      </c>
      <c r="M136" s="156">
        <f>E136*$E$14/E144</f>
        <v>5.1791160445481044</v>
      </c>
      <c r="N136" s="157">
        <f>F136*F128/F144</f>
        <v>8.9204138588482031</v>
      </c>
      <c r="O136" s="73">
        <f t="shared" ref="O136:O141" si="24">SUM(K136:N136)</f>
        <v>27.99385850399683</v>
      </c>
      <c r="Q136" s="118">
        <v>1</v>
      </c>
      <c r="R136" s="118">
        <v>1</v>
      </c>
      <c r="S136" s="155">
        <f>K136*$C$18/K148</f>
        <v>7.2208455683619643</v>
      </c>
      <c r="T136" s="156">
        <f>L136*$D$18/L148</f>
        <v>6.673555174440982</v>
      </c>
      <c r="U136" s="156">
        <f>M136*$E$18/M148</f>
        <v>5.1790570330745327</v>
      </c>
      <c r="V136" s="157">
        <f>N136*$F$18/N148</f>
        <v>8.922538245578151</v>
      </c>
      <c r="W136" s="73">
        <f t="shared" ref="W136:W141" si="25">SUM(S136:V136)</f>
        <v>27.995996021455632</v>
      </c>
    </row>
    <row r="137" spans="1:23" x14ac:dyDescent="0.25">
      <c r="A137" s="118">
        <v>1</v>
      </c>
      <c r="B137" s="118">
        <v>2</v>
      </c>
      <c r="C137" s="158">
        <f>S121*$G$7/$W121</f>
        <v>4.7800685764932576</v>
      </c>
      <c r="D137" s="159">
        <f>T121*$G$7/$W121</f>
        <v>7.3274985753369446</v>
      </c>
      <c r="E137" s="159">
        <f>U121*$G$7/$W121</f>
        <v>6.8218711521828723</v>
      </c>
      <c r="F137" s="160">
        <f>V121*$G$7/$W121</f>
        <v>3.0705616959869282</v>
      </c>
      <c r="G137" s="73">
        <f t="shared" si="23"/>
        <v>22.000000000000004</v>
      </c>
      <c r="I137" s="118">
        <v>1</v>
      </c>
      <c r="J137" s="118">
        <v>2</v>
      </c>
      <c r="K137" s="158">
        <f>C137*$C$14/C144</f>
        <v>4.7792503271437372</v>
      </c>
      <c r="L137" s="159">
        <f>D137*$D$14/D144</f>
        <v>7.3264210722557426</v>
      </c>
      <c r="M137" s="159">
        <f>E137*$E$14/E144</f>
        <v>6.8208839554518974</v>
      </c>
      <c r="N137" s="160">
        <f>F137*$F$14/F144</f>
        <v>3.0720593952738895</v>
      </c>
      <c r="O137" s="73">
        <f t="shared" si="24"/>
        <v>21.998614750125267</v>
      </c>
      <c r="Q137" s="118">
        <v>1</v>
      </c>
      <c r="R137" s="118">
        <v>2</v>
      </c>
      <c r="S137" s="158">
        <f>K137*$C$19/K149</f>
        <v>4.7791730603040552</v>
      </c>
      <c r="T137" s="159">
        <f>L137*$D$19/L149</f>
        <v>7.3264523648619289</v>
      </c>
      <c r="U137" s="159">
        <f>M137*$E$19/M149</f>
        <v>6.820965561232196</v>
      </c>
      <c r="V137" s="160">
        <f>N137*$F$19/N149</f>
        <v>3.0725453013495057</v>
      </c>
      <c r="W137" s="73">
        <f t="shared" si="25"/>
        <v>21.999136287747689</v>
      </c>
    </row>
    <row r="138" spans="1:23" x14ac:dyDescent="0.25">
      <c r="A138" s="118">
        <v>2</v>
      </c>
      <c r="B138" s="118">
        <v>1</v>
      </c>
      <c r="C138" s="158">
        <f>S122*$G$8/$W122</f>
        <v>12.59814926051641</v>
      </c>
      <c r="D138" s="159">
        <f>T122*$G$8/$W122</f>
        <v>11.122228717258583</v>
      </c>
      <c r="E138" s="159">
        <f>U122*$G$8/$W122</f>
        <v>3.3616756322522909</v>
      </c>
      <c r="F138" s="160">
        <f>V122*$G$8/$W122</f>
        <v>1.9179463899727172</v>
      </c>
      <c r="G138" s="73">
        <f t="shared" si="23"/>
        <v>29</v>
      </c>
      <c r="I138" s="118">
        <v>2</v>
      </c>
      <c r="J138" s="118">
        <v>1</v>
      </c>
      <c r="K138" s="158">
        <f>C138*$C$15/C145</f>
        <v>12.598751186638493</v>
      </c>
      <c r="L138" s="159">
        <f>D138*$D$15/D145</f>
        <v>11.123015007702817</v>
      </c>
      <c r="M138" s="159">
        <f>E138*$E$15/E145</f>
        <v>3.3617143279720114</v>
      </c>
      <c r="N138" s="160">
        <f>F138*$F$15/F145</f>
        <v>1.9174380074005548</v>
      </c>
      <c r="O138" s="73">
        <f t="shared" si="24"/>
        <v>29.000918529713879</v>
      </c>
      <c r="Q138" s="118">
        <v>2</v>
      </c>
      <c r="R138" s="118">
        <v>1</v>
      </c>
      <c r="S138" s="158">
        <f>K138*$C$18/K148</f>
        <v>12.598918504946285</v>
      </c>
      <c r="T138" s="159">
        <f>L138*$D$18/L148</f>
        <v>11.12297541749917</v>
      </c>
      <c r="U138" s="159">
        <f>M138*$E$18/M148</f>
        <v>3.3616760241930432</v>
      </c>
      <c r="V138" s="160">
        <f>N138*$F$18/N148</f>
        <v>1.9178946431489488</v>
      </c>
      <c r="W138" s="73">
        <f t="shared" si="25"/>
        <v>29.001464589787446</v>
      </c>
    </row>
    <row r="139" spans="1:23" x14ac:dyDescent="0.25">
      <c r="A139" s="118">
        <v>2</v>
      </c>
      <c r="B139" s="118">
        <v>2</v>
      </c>
      <c r="C139" s="158">
        <f>S123*$G$9/$W123</f>
        <v>2.401134089738111</v>
      </c>
      <c r="D139" s="159">
        <f>T123*$G$9/$W123</f>
        <v>2.8767816170606975</v>
      </c>
      <c r="E139" s="159">
        <f>U123*$G$9/$W123</f>
        <v>9.6381747285138868</v>
      </c>
      <c r="F139" s="160">
        <f>V123*$G$9/$W123</f>
        <v>5.0839095646873034</v>
      </c>
      <c r="G139" s="73">
        <f t="shared" si="23"/>
        <v>20</v>
      </c>
      <c r="I139" s="118">
        <v>2</v>
      </c>
      <c r="J139" s="118">
        <v>2</v>
      </c>
      <c r="K139" s="158">
        <f>C139*$C$15/C145</f>
        <v>2.4012488133615064</v>
      </c>
      <c r="L139" s="159">
        <f>D139*$D$15/D145</f>
        <v>2.8769849922971851</v>
      </c>
      <c r="M139" s="159">
        <f>E139*$E$15/E145</f>
        <v>9.6382856720279886</v>
      </c>
      <c r="N139" s="160">
        <f>F139*$F$15/F145</f>
        <v>5.0825619925994454</v>
      </c>
      <c r="O139" s="73">
        <f t="shared" si="24"/>
        <v>19.999081470286125</v>
      </c>
      <c r="Q139" s="118">
        <v>2</v>
      </c>
      <c r="R139" s="118">
        <v>2</v>
      </c>
      <c r="S139" s="158">
        <f>K139*$C$19/K149</f>
        <v>2.4012099920204175</v>
      </c>
      <c r="T139" s="159">
        <f>L139*$D$19/L149</f>
        <v>2.8769972804741109</v>
      </c>
      <c r="U139" s="159">
        <f>M139*$E$19/M149</f>
        <v>9.6384009855017467</v>
      </c>
      <c r="V139" s="160">
        <f>N139*$F$19/N149</f>
        <v>5.0833658988506389</v>
      </c>
      <c r="W139" s="73">
        <f t="shared" si="25"/>
        <v>19.999974156846914</v>
      </c>
    </row>
    <row r="140" spans="1:23" x14ac:dyDescent="0.25">
      <c r="A140" s="118">
        <v>3</v>
      </c>
      <c r="B140" s="118">
        <v>1</v>
      </c>
      <c r="C140" s="158">
        <f>S124*$G$10/$W124</f>
        <v>8.1795093052840571</v>
      </c>
      <c r="D140" s="159">
        <f>T124*$G$10/$W124</f>
        <v>6.2031025544115534</v>
      </c>
      <c r="E140" s="159">
        <f>U124*$G$10/$W124</f>
        <v>12.45777397607967</v>
      </c>
      <c r="F140" s="160">
        <f>V124*$G$10/$W124</f>
        <v>6.1596141642247204</v>
      </c>
      <c r="G140" s="73">
        <f t="shared" si="23"/>
        <v>33</v>
      </c>
      <c r="I140" s="118">
        <v>3</v>
      </c>
      <c r="J140" s="118">
        <v>1</v>
      </c>
      <c r="K140" s="158">
        <f>C140*$C$16/C146</f>
        <v>8.180127290126471</v>
      </c>
      <c r="L140" s="159">
        <f>D140*$D$16/D146</f>
        <v>6.2034914881785186</v>
      </c>
      <c r="M140" s="159">
        <f>E140*$E$16/E146</f>
        <v>12.459408906741938</v>
      </c>
      <c r="N140" s="160">
        <f>F140*$F$16/F146</f>
        <v>6.1581005664094013</v>
      </c>
      <c r="O140" s="73">
        <f t="shared" si="24"/>
        <v>33.001128251456329</v>
      </c>
      <c r="Q140" s="118">
        <v>3</v>
      </c>
      <c r="R140" s="118">
        <v>1</v>
      </c>
      <c r="S140" s="158">
        <f>K140*$C$18/K148</f>
        <v>8.1802359266917488</v>
      </c>
      <c r="T140" s="159">
        <f>L140*$D$18/L148</f>
        <v>6.2034694080598483</v>
      </c>
      <c r="U140" s="159">
        <f>M140*$E$18/M148</f>
        <v>12.459266942732425</v>
      </c>
      <c r="V140" s="160">
        <f>N140*$F$18/N148</f>
        <v>6.1595671112728985</v>
      </c>
      <c r="W140" s="73">
        <f t="shared" si="25"/>
        <v>33.002539388756922</v>
      </c>
    </row>
    <row r="141" spans="1:23" x14ac:dyDescent="0.25">
      <c r="A141" s="118">
        <v>3</v>
      </c>
      <c r="B141" s="118">
        <v>2</v>
      </c>
      <c r="C141" s="161">
        <f>S125*$G$11/$W125</f>
        <v>15.818677564468464</v>
      </c>
      <c r="D141" s="162">
        <f>T125*$G$11/$W125</f>
        <v>9.7958943104534484</v>
      </c>
      <c r="E141" s="162">
        <f>U125*$G$11/$W125</f>
        <v>3.5401264948983604</v>
      </c>
      <c r="F141" s="163">
        <f>V125*$G$11/$W125</f>
        <v>13.845301630179724</v>
      </c>
      <c r="G141" s="73">
        <f t="shared" si="23"/>
        <v>43</v>
      </c>
      <c r="I141" s="118">
        <v>3</v>
      </c>
      <c r="J141" s="118">
        <v>2</v>
      </c>
      <c r="K141" s="161">
        <f>C141*$C$16/C146</f>
        <v>15.819872709873527</v>
      </c>
      <c r="L141" s="162">
        <f>D141*$D$16/D146</f>
        <v>9.7965085118214805</v>
      </c>
      <c r="M141" s="162">
        <f>E141*$E$16/E146</f>
        <v>3.5405910932580618</v>
      </c>
      <c r="N141" s="163">
        <f>F141*$F$16/F146</f>
        <v>13.841899433590596</v>
      </c>
      <c r="O141" s="73">
        <f t="shared" si="24"/>
        <v>42.998871748543664</v>
      </c>
      <c r="Q141" s="118">
        <v>3</v>
      </c>
      <c r="R141" s="118">
        <v>2</v>
      </c>
      <c r="S141" s="161">
        <f>K141*$C$19/K149</f>
        <v>15.819616947675529</v>
      </c>
      <c r="T141" s="162">
        <f>L141*$D$19/L149</f>
        <v>9.7965503546639603</v>
      </c>
      <c r="U141" s="162">
        <f>M141*$E$19/M149</f>
        <v>3.5406334532660564</v>
      </c>
      <c r="V141" s="163">
        <f>N141*$F$19/N149</f>
        <v>13.844088799799854</v>
      </c>
      <c r="W141" s="73">
        <f t="shared" si="25"/>
        <v>43.000889555405401</v>
      </c>
    </row>
    <row r="142" spans="1:23" x14ac:dyDescent="0.25">
      <c r="C142" s="164">
        <f>SUM(C136:C141)</f>
        <v>50.999524724693366</v>
      </c>
      <c r="D142" s="164">
        <f>SUM(D136:D141)</f>
        <v>44.00006619128807</v>
      </c>
      <c r="E142" s="164">
        <f>SUM(E136:E141)</f>
        <v>40.999487609682241</v>
      </c>
      <c r="F142" s="164">
        <f>SUM(F136:F141)</f>
        <v>39.000921474336323</v>
      </c>
      <c r="G142" s="166">
        <f>SUM(G136:G141)</f>
        <v>175</v>
      </c>
      <c r="K142" s="164">
        <f>SUM(K136:K141)</f>
        <v>51</v>
      </c>
      <c r="L142" s="164">
        <f>SUM(L136:L141)</f>
        <v>44</v>
      </c>
      <c r="M142" s="164">
        <f>SUM(M136:M141)</f>
        <v>41</v>
      </c>
      <c r="N142" s="164">
        <f>SUM(N136:N141)</f>
        <v>38.992473254122089</v>
      </c>
      <c r="O142" s="166">
        <f>SUM(O136:O141)</f>
        <v>174.9924732541221</v>
      </c>
      <c r="S142" s="164">
        <f>SUM(S136:S141)</f>
        <v>51</v>
      </c>
      <c r="T142" s="164">
        <f>SUM(T136:T141)</f>
        <v>44</v>
      </c>
      <c r="U142" s="164">
        <f>SUM(U136:U141)</f>
        <v>41</v>
      </c>
      <c r="V142" s="164">
        <f>SUM(V136:V141)</f>
        <v>39</v>
      </c>
      <c r="W142" s="166">
        <f>SUM(W136:W141)</f>
        <v>175</v>
      </c>
    </row>
    <row r="144" spans="1:23" x14ac:dyDescent="0.25">
      <c r="A144" s="118">
        <v>1</v>
      </c>
      <c r="C144" s="148">
        <f>SUMIF(A136:A141,A144,C136:C141)</f>
        <v>12.002054504686328</v>
      </c>
      <c r="D144" s="149">
        <f>SUMIF(A136:A141,A144,D136:D141)</f>
        <v>14.002058992103791</v>
      </c>
      <c r="E144" s="149">
        <f>SUMIF(A136:A141,A144,E136:E141)</f>
        <v>12.001736777938032</v>
      </c>
      <c r="F144" s="150">
        <f>SUMIF(A136:A141,A144,F136:F141)</f>
        <v>11.994149725271853</v>
      </c>
      <c r="G144" s="165">
        <f>SUM(C144:F144)</f>
        <v>50</v>
      </c>
      <c r="I144" s="118">
        <v>1</v>
      </c>
      <c r="K144" s="148">
        <f>SUMIF(I136:I141,I144,K136:K141)</f>
        <v>12</v>
      </c>
      <c r="L144" s="149">
        <f>SUMIF(I136:I141,I144,L136:L141)</f>
        <v>14</v>
      </c>
      <c r="M144" s="149">
        <f>SUMIF(I136:I141,I144,M136:M141)</f>
        <v>12.000000000000002</v>
      </c>
      <c r="N144" s="150">
        <f>SUMIF(I136:I141,I144,N136:N141)</f>
        <v>11.992473254122093</v>
      </c>
      <c r="O144" s="165">
        <f>SUM(K144:N144)</f>
        <v>49.992473254122089</v>
      </c>
      <c r="Q144" s="118">
        <v>1</v>
      </c>
      <c r="S144" s="148">
        <f>SUMIF(Q136:Q141,Q144,S136:S141)</f>
        <v>12.00001862866602</v>
      </c>
      <c r="T144" s="149">
        <f>SUMIF(Q136:Q141,Q144,T136:T141)</f>
        <v>14.00000753930291</v>
      </c>
      <c r="U144" s="149">
        <f>SUMIF(Q136:Q141,Q144,U136:U141)</f>
        <v>12.000022594306728</v>
      </c>
      <c r="V144" s="150">
        <f>SUMIF(Q136:Q141,Q144,V136:V141)</f>
        <v>11.995083546927656</v>
      </c>
      <c r="W144" s="165">
        <f>SUM(S144:V144)</f>
        <v>49.995132309203314</v>
      </c>
    </row>
    <row r="145" spans="1:23" x14ac:dyDescent="0.25">
      <c r="A145" s="118">
        <v>2</v>
      </c>
      <c r="C145" s="151">
        <f>SUMIF(A136:A141,A145,C136:C141)</f>
        <v>14.999283350254521</v>
      </c>
      <c r="D145" s="73">
        <f>SUMIF(A136:A141,A145,D136:D141)</f>
        <v>13.99901033431928</v>
      </c>
      <c r="E145" s="73">
        <f>SUMIF(A136:A141,A145,E136:E141)</f>
        <v>12.999850360766178</v>
      </c>
      <c r="F145" s="70">
        <f>SUMIF(A136:A141,A145,F136:F141)</f>
        <v>7.0018559546600203</v>
      </c>
      <c r="G145" s="165">
        <f>SUM(C145:F145)</f>
        <v>49.000000000000007</v>
      </c>
      <c r="I145" s="118">
        <v>2</v>
      </c>
      <c r="K145" s="151">
        <f>SUMIF(I136:I141,I145,K136:K141)</f>
        <v>15</v>
      </c>
      <c r="L145" s="73">
        <f>SUMIF(I136:I141,I145,L136:L141)</f>
        <v>14.000000000000002</v>
      </c>
      <c r="M145" s="73">
        <f>SUMIF(I136:I141,I145,M136:M141)</f>
        <v>13</v>
      </c>
      <c r="N145" s="70">
        <f>SUMIF(I136:I141,I145,N136:N141)</f>
        <v>7</v>
      </c>
      <c r="O145" s="165">
        <f>SUM(K145:N145)</f>
        <v>49</v>
      </c>
      <c r="Q145" s="118">
        <v>2</v>
      </c>
      <c r="S145" s="151">
        <f>SUMIF(Q136:Q141,Q145,S136:S141)</f>
        <v>15.000128496966703</v>
      </c>
      <c r="T145" s="73">
        <f>SUMIF(Q136:Q141,Q145,T136:T141)</f>
        <v>13.999972697973281</v>
      </c>
      <c r="U145" s="73">
        <f>SUMIF(Q136:Q141,Q145,U136:U141)</f>
        <v>13.00007700969479</v>
      </c>
      <c r="V145" s="70">
        <f>SUMIF(Q136:Q141,Q145,V136:V141)</f>
        <v>7.0012605419995877</v>
      </c>
      <c r="W145" s="165">
        <f>SUM(S145:V145)</f>
        <v>49.001438746634356</v>
      </c>
    </row>
    <row r="146" spans="1:23" x14ac:dyDescent="0.25">
      <c r="A146" s="118">
        <v>3</v>
      </c>
      <c r="C146" s="152">
        <f>SUMIF(A136:A141,A146,C136:C141)</f>
        <v>23.998186869752523</v>
      </c>
      <c r="D146" s="153">
        <f>SUMIF(A136:A141,A146,D136:D141)</f>
        <v>15.998996864865003</v>
      </c>
      <c r="E146" s="153">
        <f>SUMIF(A136:A141,A146,E136:E141)</f>
        <v>15.997900470978031</v>
      </c>
      <c r="F146" s="154">
        <f>SUMIF(A136:A141,A146,F136:F141)</f>
        <v>20.004915794404447</v>
      </c>
      <c r="G146" s="165">
        <f>SUM(C146:F146)</f>
        <v>76</v>
      </c>
      <c r="I146" s="118">
        <v>3</v>
      </c>
      <c r="K146" s="152">
        <f>SUMIF(I136:I141,I146,K136:K141)</f>
        <v>24</v>
      </c>
      <c r="L146" s="153">
        <f>SUMIF(I136:I141,I146,L136:L141)</f>
        <v>16</v>
      </c>
      <c r="M146" s="153">
        <f>SUMIF(I136:I141,I146,M136:M141)</f>
        <v>16</v>
      </c>
      <c r="N146" s="154">
        <f>SUMIF(I136:I141,I146,N136:N141)</f>
        <v>19.999999999999996</v>
      </c>
      <c r="O146" s="165">
        <f>SUM(K146:N146)</f>
        <v>76</v>
      </c>
      <c r="Q146" s="118">
        <v>3</v>
      </c>
      <c r="S146" s="152">
        <f>SUMIF(Q136:Q141,Q146,S136:S141)</f>
        <v>23.999852874367278</v>
      </c>
      <c r="T146" s="153">
        <f>SUMIF(Q136:Q141,Q146,T136:T141)</f>
        <v>16.000019762723809</v>
      </c>
      <c r="U146" s="153">
        <f>SUMIF(Q136:Q141,Q146,U136:U141)</f>
        <v>15.99990039599848</v>
      </c>
      <c r="V146" s="154">
        <f>SUMIF(Q136:Q141,Q146,V136:V141)</f>
        <v>20.003655911072752</v>
      </c>
      <c r="W146" s="165">
        <f>SUM(S146:V146)</f>
        <v>76.003428944162323</v>
      </c>
    </row>
    <row r="148" spans="1:23" x14ac:dyDescent="0.25">
      <c r="B148" s="118">
        <v>1</v>
      </c>
      <c r="C148" s="148">
        <f>SUMIF(B136:B141,B148,C136:C141)</f>
        <v>27.999644493993536</v>
      </c>
      <c r="D148" s="149">
        <f>SUMIF(B136:B141,B148,D136:D141)</f>
        <v>23.999891688436982</v>
      </c>
      <c r="E148" s="149">
        <f>SUMIF(B136:B141,B148,E136:E141)</f>
        <v>20.999315234087121</v>
      </c>
      <c r="F148" s="150">
        <f>SUMIF(B136:B141,B148,F136:F141)</f>
        <v>17.001148583482362</v>
      </c>
      <c r="G148" s="165">
        <f>SUM(C148:F148)</f>
        <v>90</v>
      </c>
      <c r="J148" s="118">
        <v>1</v>
      </c>
      <c r="K148" s="148">
        <f>SUMIF(J136:J141,J148,K136:K141)</f>
        <v>27.999628149621227</v>
      </c>
      <c r="L148" s="149">
        <f>SUMIF(J136:J141,J148,L136:L141)</f>
        <v>24.000085423625592</v>
      </c>
      <c r="M148" s="149">
        <f>SUMIF(J136:J141,J148,M136:M141)</f>
        <v>21.000239279262054</v>
      </c>
      <c r="N148" s="150">
        <f>SUMIF(J136:J141,J148,N136:N141)</f>
        <v>16.995952432658161</v>
      </c>
      <c r="O148" s="165">
        <f>SUM(K148:N148)</f>
        <v>89.995905285167026</v>
      </c>
      <c r="R148" s="118">
        <v>1</v>
      </c>
      <c r="S148" s="148">
        <f>SUMIF(R136:R141,R148,S136:S141)</f>
        <v>28</v>
      </c>
      <c r="T148" s="149">
        <f>SUMIF(R136:R141,R148,T136:T141)</f>
        <v>24</v>
      </c>
      <c r="U148" s="149">
        <f>SUMIF(R136:R141,R148,U136:U141)</f>
        <v>21</v>
      </c>
      <c r="V148" s="150">
        <f>SUMIF(R136:R141,R148,V136:V141)</f>
        <v>17</v>
      </c>
      <c r="W148" s="165">
        <f>SUM(S148:V148)</f>
        <v>90</v>
      </c>
    </row>
    <row r="149" spans="1:23" x14ac:dyDescent="0.25">
      <c r="B149" s="118">
        <v>2</v>
      </c>
      <c r="C149" s="152">
        <f>SUMIF(B136:B141,B149,C136:C141)</f>
        <v>22.999880230699834</v>
      </c>
      <c r="D149" s="153">
        <f>SUMIF(B136:B141,B149,D136:D141)</f>
        <v>20.000174502851088</v>
      </c>
      <c r="E149" s="153">
        <f>SUMIF(B136:B141,B149,E136:E141)</f>
        <v>20.00017237559512</v>
      </c>
      <c r="F149" s="154">
        <f>SUMIF(B136:B141,B149,F136:F141)</f>
        <v>21.999772890853954</v>
      </c>
      <c r="G149" s="165">
        <f>SUM(C149:F149)</f>
        <v>85</v>
      </c>
      <c r="J149" s="118">
        <v>2</v>
      </c>
      <c r="K149" s="152">
        <f>SUMIF(J136:J141,J149,K136:K141)</f>
        <v>23.00037185037877</v>
      </c>
      <c r="L149" s="153">
        <f>SUMIF(J136:J141,J149,L136:L141)</f>
        <v>19.999914576374408</v>
      </c>
      <c r="M149" s="153">
        <f>SUMIF(J136:J141,J149,M136:M141)</f>
        <v>19.99976072073795</v>
      </c>
      <c r="N149" s="154">
        <f>SUMIF(J136:J141,J149,N136:N141)</f>
        <v>21.996520821463932</v>
      </c>
      <c r="O149" s="165">
        <f>SUM(K149:N149)</f>
        <v>84.996567968955063</v>
      </c>
      <c r="R149" s="118">
        <v>2</v>
      </c>
      <c r="S149" s="152">
        <f>SUMIF(R136:R141,R149,S136:S141)</f>
        <v>23</v>
      </c>
      <c r="T149" s="153">
        <f>SUMIF(R136:R141,R149,T136:T141)</f>
        <v>20</v>
      </c>
      <c r="U149" s="153">
        <f>SUMIF(R136:R141,R149,U136:U141)</f>
        <v>20</v>
      </c>
      <c r="V149" s="154">
        <f>SUMIF(R136:R141,R149,V136:V141)</f>
        <v>22</v>
      </c>
      <c r="W149" s="165">
        <f>SUM(S149:V149)</f>
        <v>85</v>
      </c>
    </row>
    <row r="151" spans="1:23" x14ac:dyDescent="0.25">
      <c r="A151" s="118" t="s">
        <v>21</v>
      </c>
      <c r="B151" s="118" t="s">
        <v>340</v>
      </c>
      <c r="C151">
        <v>1</v>
      </c>
      <c r="D151">
        <f>C151+1</f>
        <v>2</v>
      </c>
      <c r="E151">
        <f>D151+1</f>
        <v>3</v>
      </c>
      <c r="F151">
        <f>E151+1</f>
        <v>4</v>
      </c>
      <c r="I151" s="118" t="s">
        <v>21</v>
      </c>
      <c r="J151" s="118" t="s">
        <v>340</v>
      </c>
      <c r="K151">
        <v>1</v>
      </c>
      <c r="L151">
        <f>K151+1</f>
        <v>2</v>
      </c>
      <c r="M151">
        <f>L151+1</f>
        <v>3</v>
      </c>
      <c r="N151">
        <f>M151+1</f>
        <v>4</v>
      </c>
      <c r="Q151" s="118" t="s">
        <v>21</v>
      </c>
      <c r="R151" s="118" t="s">
        <v>340</v>
      </c>
      <c r="S151">
        <v>1</v>
      </c>
      <c r="T151">
        <f>S151+1</f>
        <v>2</v>
      </c>
      <c r="U151">
        <f>T151+1</f>
        <v>3</v>
      </c>
      <c r="V151">
        <f>U151+1</f>
        <v>4</v>
      </c>
    </row>
    <row r="152" spans="1:23" x14ac:dyDescent="0.25">
      <c r="A152" s="118">
        <v>1</v>
      </c>
      <c r="B152" s="118">
        <v>1</v>
      </c>
      <c r="C152" s="155">
        <f>S136*$G$6/$W136</f>
        <v>7.2218782914237103</v>
      </c>
      <c r="D152" s="156">
        <f>T136*$G$6/$W136</f>
        <v>6.6745096242027486</v>
      </c>
      <c r="E152" s="156">
        <f>U136*$G$6/$W136</f>
        <v>5.1797977401822415</v>
      </c>
      <c r="F152" s="157">
        <f>V136*$G$6/$W136</f>
        <v>8.923814344191296</v>
      </c>
      <c r="G152" s="73">
        <f t="shared" ref="G152:G157" si="26">SUM(C152:F152)</f>
        <v>27.999999999999996</v>
      </c>
      <c r="I152" s="118">
        <v>1</v>
      </c>
      <c r="J152" s="118">
        <v>1</v>
      </c>
      <c r="K152" s="155">
        <f>C152*$C$14/C160</f>
        <v>7.2211327168449371</v>
      </c>
      <c r="L152" s="156">
        <f>D152*$D$14/D160</f>
        <v>6.6739139133653973</v>
      </c>
      <c r="M152" s="156">
        <f>E152*$E$14/E160</f>
        <v>5.1793527040275267</v>
      </c>
      <c r="N152" s="157">
        <f>F152*F144/F160</f>
        <v>8.9220807178821371</v>
      </c>
      <c r="O152" s="73">
        <f t="shared" ref="O152:O157" si="27">SUM(K152:N152)</f>
        <v>27.996480052119999</v>
      </c>
      <c r="Q152" s="118">
        <v>1</v>
      </c>
      <c r="R152" s="118">
        <v>1</v>
      </c>
      <c r="S152" s="155">
        <f>K152*$C$18/K164</f>
        <v>7.2211787398351364</v>
      </c>
      <c r="T152" s="156">
        <f>L152*$D$18/L164</f>
        <v>6.6739026003320125</v>
      </c>
      <c r="U152" s="156">
        <f>M152*$E$18/M164</f>
        <v>5.1793356592354209</v>
      </c>
      <c r="V152" s="157">
        <f>N152*$F$18/N164</f>
        <v>8.923256734792492</v>
      </c>
      <c r="W152" s="73">
        <f t="shared" ref="W152:W157" si="28">SUM(S152:V152)</f>
        <v>27.997673734195061</v>
      </c>
    </row>
    <row r="153" spans="1:23" x14ac:dyDescent="0.25">
      <c r="A153" s="118">
        <v>1</v>
      </c>
      <c r="B153" s="118">
        <v>2</v>
      </c>
      <c r="C153" s="158">
        <f>S137*$G$7/$W137</f>
        <v>4.7793606963218567</v>
      </c>
      <c r="D153" s="159">
        <f>T137*$G$7/$W137</f>
        <v>7.3267400100944844</v>
      </c>
      <c r="E153" s="159">
        <f>U137*$G$7/$W137</f>
        <v>6.8212333604517088</v>
      </c>
      <c r="F153" s="160">
        <f>V137*$G$7/$W137</f>
        <v>3.072665933131947</v>
      </c>
      <c r="G153" s="73">
        <f t="shared" si="26"/>
        <v>21.999999999999996</v>
      </c>
      <c r="I153" s="118">
        <v>1</v>
      </c>
      <c r="J153" s="118">
        <v>2</v>
      </c>
      <c r="K153" s="158">
        <f>C153*$C$14/C160</f>
        <v>4.7788672831550638</v>
      </c>
      <c r="L153" s="159">
        <f>D153*$D$14/D160</f>
        <v>7.3260860866346036</v>
      </c>
      <c r="M153" s="159">
        <f>E153*$E$14/E160</f>
        <v>6.8206472959724733</v>
      </c>
      <c r="N153" s="160">
        <f>F153*$F$14/F160</f>
        <v>3.0735674418839252</v>
      </c>
      <c r="O153" s="73">
        <f t="shared" si="27"/>
        <v>21.999168107646064</v>
      </c>
      <c r="Q153" s="118">
        <v>1</v>
      </c>
      <c r="R153" s="118">
        <v>2</v>
      </c>
      <c r="S153" s="158">
        <f>K153*$C$19/K165</f>
        <v>4.778830204964458</v>
      </c>
      <c r="T153" s="159">
        <f>L153*$D$19/L165</f>
        <v>7.3261009889363056</v>
      </c>
      <c r="U153" s="159">
        <f>M153*$E$19/M165</f>
        <v>6.8206708645864405</v>
      </c>
      <c r="V153" s="160">
        <f>N153*$F$19/N165</f>
        <v>3.0738624447111826</v>
      </c>
      <c r="W153" s="73">
        <f t="shared" si="28"/>
        <v>21.999464503198386</v>
      </c>
    </row>
    <row r="154" spans="1:23" x14ac:dyDescent="0.25">
      <c r="A154" s="118">
        <v>2</v>
      </c>
      <c r="B154" s="118">
        <v>1</v>
      </c>
      <c r="C154" s="158">
        <f>S138*$G$8/$W138</f>
        <v>12.598282252686746</v>
      </c>
      <c r="D154" s="159">
        <f>T138*$G$8/$W138</f>
        <v>11.122413701170947</v>
      </c>
      <c r="E154" s="159">
        <f>U138*$G$8/$W138</f>
        <v>3.3615062577194053</v>
      </c>
      <c r="F154" s="160">
        <f>V138*$G$8/$W138</f>
        <v>1.9177977884229036</v>
      </c>
      <c r="G154" s="73">
        <f t="shared" si="26"/>
        <v>29</v>
      </c>
      <c r="I154" s="118">
        <v>2</v>
      </c>
      <c r="J154" s="118">
        <v>1</v>
      </c>
      <c r="K154" s="158">
        <f>C154*$C$15/C161</f>
        <v>12.598706117295443</v>
      </c>
      <c r="L154" s="159">
        <f>D154*$D$15/D161</f>
        <v>11.122878717598846</v>
      </c>
      <c r="M154" s="159">
        <f>E154*$E$15/E161</f>
        <v>3.3615270222413689</v>
      </c>
      <c r="N154" s="160">
        <f>F154*$F$15/F161</f>
        <v>1.9174772257329324</v>
      </c>
      <c r="O154" s="73">
        <f t="shared" si="27"/>
        <v>29.000589082868586</v>
      </c>
      <c r="Q154" s="118">
        <v>2</v>
      </c>
      <c r="R154" s="118">
        <v>1</v>
      </c>
      <c r="S154" s="158">
        <f>K154*$C$18/K164</f>
        <v>12.598786413580097</v>
      </c>
      <c r="T154" s="159">
        <f>L154*$D$18/L164</f>
        <v>11.122859863070619</v>
      </c>
      <c r="U154" s="159">
        <f>M154*$E$18/M164</f>
        <v>3.36151595975296</v>
      </c>
      <c r="V154" s="160">
        <f>N154*$F$18/N164</f>
        <v>1.9177299678582269</v>
      </c>
      <c r="W154" s="73">
        <f t="shared" si="28"/>
        <v>29.000892204261902</v>
      </c>
    </row>
    <row r="155" spans="1:23" x14ac:dyDescent="0.25">
      <c r="A155" s="118">
        <v>2</v>
      </c>
      <c r="B155" s="118">
        <v>2</v>
      </c>
      <c r="C155" s="158">
        <f>S139*$G$9/$W139</f>
        <v>2.4012130947662977</v>
      </c>
      <c r="D155" s="159">
        <f>T139*$G$9/$W139</f>
        <v>2.877000998012972</v>
      </c>
      <c r="E155" s="159">
        <f>U139*$G$9/$W139</f>
        <v>9.6384134398514476</v>
      </c>
      <c r="F155" s="160">
        <f>V139*$G$9/$W139</f>
        <v>5.0833724673692817</v>
      </c>
      <c r="G155" s="73">
        <f t="shared" si="26"/>
        <v>20</v>
      </c>
      <c r="I155" s="118">
        <v>2</v>
      </c>
      <c r="J155" s="118">
        <v>2</v>
      </c>
      <c r="K155" s="158">
        <f>C155*$C$15/C161</f>
        <v>2.4012938827045573</v>
      </c>
      <c r="L155" s="159">
        <f>D155*$D$15/D161</f>
        <v>2.8771212824011547</v>
      </c>
      <c r="M155" s="159">
        <f>E155*$E$15/E161</f>
        <v>9.6384729777586315</v>
      </c>
      <c r="N155" s="160">
        <f>F155*$F$15/F161</f>
        <v>5.0825227742670673</v>
      </c>
      <c r="O155" s="73">
        <f t="shared" si="27"/>
        <v>19.999410917131414</v>
      </c>
      <c r="Q155" s="118">
        <v>2</v>
      </c>
      <c r="R155" s="118">
        <v>2</v>
      </c>
      <c r="S155" s="158">
        <f>K155*$C$19/K165</f>
        <v>2.4012752515882263</v>
      </c>
      <c r="T155" s="159">
        <f>L155*$D$19/L165</f>
        <v>2.8771271348752969</v>
      </c>
      <c r="U155" s="159">
        <f>M155*$E$19/M165</f>
        <v>9.638506283314392</v>
      </c>
      <c r="V155" s="160">
        <f>N155*$F$19/N165</f>
        <v>5.0830105978194569</v>
      </c>
      <c r="W155" s="73">
        <f t="shared" si="28"/>
        <v>19.99991926759737</v>
      </c>
    </row>
    <row r="156" spans="1:23" x14ac:dyDescent="0.25">
      <c r="A156" s="118">
        <v>3</v>
      </c>
      <c r="B156" s="118">
        <v>1</v>
      </c>
      <c r="C156" s="158">
        <f>S140*$G$10/$W140</f>
        <v>8.179606496365297</v>
      </c>
      <c r="D156" s="159">
        <f>T140*$G$10/$W140</f>
        <v>6.2029920805341332</v>
      </c>
      <c r="E156" s="159">
        <f>U140*$G$10/$W140</f>
        <v>12.458308261280033</v>
      </c>
      <c r="F156" s="160">
        <f>V140*$G$10/$W140</f>
        <v>6.159093161820536</v>
      </c>
      <c r="G156" s="73">
        <f t="shared" si="26"/>
        <v>33</v>
      </c>
      <c r="I156" s="118">
        <v>3</v>
      </c>
      <c r="J156" s="118">
        <v>1</v>
      </c>
      <c r="K156" s="158">
        <f>C156*$C$16/C162</f>
        <v>8.1799827124835147</v>
      </c>
      <c r="L156" s="159">
        <f>D156*$D$16/D162</f>
        <v>6.2032480517992763</v>
      </c>
      <c r="M156" s="159">
        <f>E156*$E$16/E162</f>
        <v>12.459189383102999</v>
      </c>
      <c r="N156" s="160">
        <f>F156*$F$16/F162</f>
        <v>6.1582015865575723</v>
      </c>
      <c r="O156" s="73">
        <f t="shared" si="27"/>
        <v>33.000621733943362</v>
      </c>
      <c r="Q156" s="118">
        <v>3</v>
      </c>
      <c r="R156" s="118">
        <v>1</v>
      </c>
      <c r="S156" s="158">
        <f>K156*$C$18/K164</f>
        <v>8.1800348465847659</v>
      </c>
      <c r="T156" s="159">
        <f>L156*$D$18/L164</f>
        <v>6.2032375365973698</v>
      </c>
      <c r="U156" s="159">
        <f>M156*$E$18/M164</f>
        <v>12.459148381011621</v>
      </c>
      <c r="V156" s="160">
        <f>N156*$F$18/N164</f>
        <v>6.1590132973492775</v>
      </c>
      <c r="W156" s="73">
        <f t="shared" si="28"/>
        <v>33.00143406154303</v>
      </c>
    </row>
    <row r="157" spans="1:23" x14ac:dyDescent="0.25">
      <c r="A157" s="118">
        <v>3</v>
      </c>
      <c r="B157" s="118">
        <v>2</v>
      </c>
      <c r="C157" s="161">
        <f>S141*$G$11/$W141</f>
        <v>15.819289688730128</v>
      </c>
      <c r="D157" s="162">
        <f>T141*$G$11/$W141</f>
        <v>9.7963476943373387</v>
      </c>
      <c r="E157" s="162">
        <f>U141*$G$11/$W141</f>
        <v>3.540560208510902</v>
      </c>
      <c r="F157" s="163">
        <f>V141*$G$11/$W141</f>
        <v>13.843802408421627</v>
      </c>
      <c r="G157" s="73">
        <f t="shared" si="26"/>
        <v>43</v>
      </c>
      <c r="I157" s="118">
        <v>3</v>
      </c>
      <c r="J157" s="118">
        <v>2</v>
      </c>
      <c r="K157" s="161">
        <f>C157*$C$16/C162</f>
        <v>15.820017287516485</v>
      </c>
      <c r="L157" s="162">
        <f>D157*$D$16/D162</f>
        <v>9.7967519482007237</v>
      </c>
      <c r="M157" s="162">
        <f>E157*$E$16/E162</f>
        <v>3.5408106168970019</v>
      </c>
      <c r="N157" s="163">
        <f>F157*$F$16/F162</f>
        <v>13.841798413442428</v>
      </c>
      <c r="O157" s="73">
        <f t="shared" si="27"/>
        <v>42.999378266056638</v>
      </c>
      <c r="Q157" s="118">
        <v>3</v>
      </c>
      <c r="R157" s="118">
        <v>2</v>
      </c>
      <c r="S157" s="161">
        <f>K157*$C$19/K165</f>
        <v>15.819894543447313</v>
      </c>
      <c r="T157" s="162">
        <f>L157*$D$19/L165</f>
        <v>9.796771876188398</v>
      </c>
      <c r="U157" s="162">
        <f>M157*$E$19/M165</f>
        <v>3.5408228520991667</v>
      </c>
      <c r="V157" s="163">
        <f>N157*$F$19/N165</f>
        <v>13.843126957469362</v>
      </c>
      <c r="W157" s="73">
        <f t="shared" si="28"/>
        <v>43.00061622920424</v>
      </c>
    </row>
    <row r="158" spans="1:23" x14ac:dyDescent="0.25">
      <c r="C158" s="164">
        <f>SUM(C152:C157)</f>
        <v>50.999630520294033</v>
      </c>
      <c r="D158" s="164">
        <f>SUM(D152:D157)</f>
        <v>44.000004108352627</v>
      </c>
      <c r="E158" s="164">
        <f>SUM(E152:E157)</f>
        <v>40.99981926799574</v>
      </c>
      <c r="F158" s="164">
        <f>SUM(F152:F157)</f>
        <v>39.000546103357593</v>
      </c>
      <c r="G158" s="166">
        <f>SUM(G152:G157)</f>
        <v>175</v>
      </c>
      <c r="K158" s="164">
        <f>SUM(K152:K157)</f>
        <v>51</v>
      </c>
      <c r="L158" s="164">
        <f>SUM(L152:L157)</f>
        <v>44</v>
      </c>
      <c r="M158" s="164">
        <f>SUM(M152:M157)</f>
        <v>41</v>
      </c>
      <c r="N158" s="164">
        <f>SUM(N152:N157)</f>
        <v>38.995648159766063</v>
      </c>
      <c r="O158" s="166">
        <f>SUM(O152:O157)</f>
        <v>174.99564815976606</v>
      </c>
      <c r="S158" s="164">
        <f>SUM(S152:S157)</f>
        <v>50.999999999999993</v>
      </c>
      <c r="T158" s="164">
        <f>SUM(T152:T157)</f>
        <v>44</v>
      </c>
      <c r="U158" s="164">
        <f>SUM(U152:U157)</f>
        <v>41.000000000000007</v>
      </c>
      <c r="V158" s="164">
        <f>SUM(V152:V157)</f>
        <v>39</v>
      </c>
      <c r="W158" s="166">
        <f>SUM(W152:W157)</f>
        <v>174.99999999999997</v>
      </c>
    </row>
    <row r="160" spans="1:23" x14ac:dyDescent="0.25">
      <c r="A160" s="118">
        <v>1</v>
      </c>
      <c r="C160" s="148">
        <f>SUMIF(A152:A157,A160,C152:C157)</f>
        <v>12.001238987745566</v>
      </c>
      <c r="D160" s="149">
        <f>SUMIF(A152:A157,A160,D152:D157)</f>
        <v>14.001249634297233</v>
      </c>
      <c r="E160" s="149">
        <f>SUMIF(A152:A157,A160,E152:E157)</f>
        <v>12.00103110063395</v>
      </c>
      <c r="F160" s="150">
        <f>SUMIF(A152:A157,A160,F152:F157)</f>
        <v>11.996480277323244</v>
      </c>
      <c r="G160" s="165">
        <f>SUM(C160:F160)</f>
        <v>49.999999999999993</v>
      </c>
      <c r="I160" s="118">
        <v>1</v>
      </c>
      <c r="K160" s="148">
        <f>SUMIF(I152:I157,I160,K152:K157)</f>
        <v>12</v>
      </c>
      <c r="L160" s="149">
        <f>SUMIF(I152:I157,I160,L152:L157)</f>
        <v>14</v>
      </c>
      <c r="M160" s="149">
        <f>SUMIF(I152:I157,I160,M152:M157)</f>
        <v>12</v>
      </c>
      <c r="N160" s="150">
        <f>SUMIF(I152:I157,I160,N152:N157)</f>
        <v>11.995648159766063</v>
      </c>
      <c r="O160" s="165">
        <f>SUM(K160:N160)</f>
        <v>49.995648159766063</v>
      </c>
      <c r="Q160" s="118">
        <v>1</v>
      </c>
      <c r="S160" s="148">
        <f>SUMIF(Q152:Q157,Q160,S152:S157)</f>
        <v>12.000008944799594</v>
      </c>
      <c r="T160" s="149">
        <f>SUMIF(Q152:Q157,Q160,T152:T157)</f>
        <v>14.000003589268317</v>
      </c>
      <c r="U160" s="149">
        <f>SUMIF(Q152:Q157,Q160,U152:U157)</f>
        <v>12.000006523821861</v>
      </c>
      <c r="V160" s="150">
        <f>SUMIF(Q152:Q157,Q160,V152:V157)</f>
        <v>11.997119179503674</v>
      </c>
      <c r="W160" s="165">
        <f>SUM(S160:V160)</f>
        <v>49.997138237393443</v>
      </c>
    </row>
    <row r="161" spans="1:23" x14ac:dyDescent="0.25">
      <c r="A161" s="118">
        <v>2</v>
      </c>
      <c r="C161" s="151">
        <f>SUMIF(A152:A157,A161,C152:C157)</f>
        <v>14.999495347453044</v>
      </c>
      <c r="D161" s="73">
        <f>SUMIF(A152:A157,A161,D152:D157)</f>
        <v>13.999414699183919</v>
      </c>
      <c r="E161" s="73">
        <f>SUMIF(A152:A157,A161,E152:E157)</f>
        <v>12.999919697570853</v>
      </c>
      <c r="F161" s="70">
        <f>SUMIF(A152:A157,A161,F152:F157)</f>
        <v>7.0011702557921858</v>
      </c>
      <c r="G161" s="165">
        <f>SUM(C161:F161)</f>
        <v>49</v>
      </c>
      <c r="I161" s="118">
        <v>2</v>
      </c>
      <c r="K161" s="151">
        <f>SUMIF(I152:I157,I161,K152:K157)</f>
        <v>15</v>
      </c>
      <c r="L161" s="73">
        <f>SUMIF(I152:I157,I161,L152:L157)</f>
        <v>14</v>
      </c>
      <c r="M161" s="73">
        <f>SUMIF(I152:I157,I161,M152:M157)</f>
        <v>13</v>
      </c>
      <c r="N161" s="70">
        <f>SUMIF(I152:I157,I161,N152:N157)</f>
        <v>7</v>
      </c>
      <c r="O161" s="165">
        <f>SUM(K161:N161)</f>
        <v>49</v>
      </c>
      <c r="Q161" s="118">
        <v>2</v>
      </c>
      <c r="S161" s="151">
        <f>SUMIF(Q152:Q157,Q161,S152:S157)</f>
        <v>15.000061665168323</v>
      </c>
      <c r="T161" s="73">
        <f>SUMIF(Q152:Q157,Q161,T152:T157)</f>
        <v>13.999986997945916</v>
      </c>
      <c r="U161" s="73">
        <f>SUMIF(Q152:Q157,Q161,U152:U157)</f>
        <v>13.000022243067352</v>
      </c>
      <c r="V161" s="70">
        <f>SUMIF(Q152:Q157,Q161,V152:V157)</f>
        <v>7.0007405656776838</v>
      </c>
      <c r="W161" s="165">
        <f>SUM(S161:V161)</f>
        <v>49.000811471859272</v>
      </c>
    </row>
    <row r="162" spans="1:23" x14ac:dyDescent="0.25">
      <c r="A162" s="118">
        <v>3</v>
      </c>
      <c r="C162" s="152">
        <f>SUMIF(A152:A157,A162,C152:C157)</f>
        <v>23.998896185095425</v>
      </c>
      <c r="D162" s="153">
        <f>SUMIF(A152:A157,A162,D152:D157)</f>
        <v>15.999339774871473</v>
      </c>
      <c r="E162" s="153">
        <f>SUMIF(A152:A157,A162,E152:E157)</f>
        <v>15.998868469790935</v>
      </c>
      <c r="F162" s="154">
        <f>SUMIF(A152:A157,A162,F152:F157)</f>
        <v>20.002895570242163</v>
      </c>
      <c r="G162" s="165">
        <f>SUM(C162:F162)</f>
        <v>76</v>
      </c>
      <c r="I162" s="118">
        <v>3</v>
      </c>
      <c r="K162" s="152">
        <f>SUMIF(I152:I157,I162,K152:K157)</f>
        <v>24</v>
      </c>
      <c r="L162" s="153">
        <f>SUMIF(I152:I157,I162,L152:L157)</f>
        <v>16</v>
      </c>
      <c r="M162" s="153">
        <f>SUMIF(I152:I157,I162,M152:M157)</f>
        <v>16</v>
      </c>
      <c r="N162" s="154">
        <f>SUMIF(I152:I157,I162,N152:N157)</f>
        <v>20</v>
      </c>
      <c r="O162" s="165">
        <f>SUM(K162:N162)</f>
        <v>76</v>
      </c>
      <c r="Q162" s="118">
        <v>3</v>
      </c>
      <c r="S162" s="152">
        <f>SUMIF(Q152:Q157,Q162,S152:S157)</f>
        <v>23.999929390032079</v>
      </c>
      <c r="T162" s="153">
        <f>SUMIF(Q152:Q157,Q162,T152:T157)</f>
        <v>16.000009412785769</v>
      </c>
      <c r="U162" s="153">
        <f>SUMIF(Q152:Q157,Q162,U152:U157)</f>
        <v>15.999971233110788</v>
      </c>
      <c r="V162" s="154">
        <f>SUMIF(Q152:Q157,Q162,V152:V157)</f>
        <v>20.002140254818642</v>
      </c>
      <c r="W162" s="165">
        <f>SUM(S162:V162)</f>
        <v>76.002050290747277</v>
      </c>
    </row>
    <row r="164" spans="1:23" x14ac:dyDescent="0.25">
      <c r="B164" s="118">
        <v>1</v>
      </c>
      <c r="C164" s="148">
        <f>SUMIF(B152:B157,B164,C152:C157)</f>
        <v>27.999767040475753</v>
      </c>
      <c r="D164" s="149">
        <f>SUMIF(B152:B157,B164,D152:D157)</f>
        <v>23.999915405907831</v>
      </c>
      <c r="E164" s="149">
        <f>SUMIF(B152:B157,B164,E152:E157)</f>
        <v>20.999612259181681</v>
      </c>
      <c r="F164" s="150">
        <f>SUMIF(B152:B157,B164,F152:F157)</f>
        <v>17.000705294434738</v>
      </c>
      <c r="G164" s="165">
        <f>SUM(C164:F164)</f>
        <v>90</v>
      </c>
      <c r="J164" s="118">
        <v>1</v>
      </c>
      <c r="K164" s="148">
        <f>SUMIF(J152:J157,J164,K152:K157)</f>
        <v>27.999821546623895</v>
      </c>
      <c r="L164" s="149">
        <f>SUMIF(J152:J157,J164,L152:L157)</f>
        <v>24.000040682763519</v>
      </c>
      <c r="M164" s="149">
        <f>SUMIF(J152:J157,J164,M152:M157)</f>
        <v>21.000069109371893</v>
      </c>
      <c r="N164" s="150">
        <f>SUMIF(J152:J157,J164,N152:N157)</f>
        <v>16.997759530172644</v>
      </c>
      <c r="O164" s="165">
        <f>SUM(K164:N164)</f>
        <v>89.997690868931954</v>
      </c>
      <c r="R164" s="118">
        <v>1</v>
      </c>
      <c r="S164" s="148">
        <f>SUMIF(R152:R157,R164,S152:S157)</f>
        <v>28</v>
      </c>
      <c r="T164" s="149">
        <f>SUMIF(R152:R157,R164,T152:T157)</f>
        <v>24.000000000000004</v>
      </c>
      <c r="U164" s="149">
        <f>SUMIF(R152:R157,R164,U152:U157)</f>
        <v>21</v>
      </c>
      <c r="V164" s="150">
        <f>SUMIF(R152:R157,R164,V152:V157)</f>
        <v>16.999999999999996</v>
      </c>
      <c r="W164" s="165">
        <f>SUM(S164:V164)</f>
        <v>90</v>
      </c>
    </row>
    <row r="165" spans="1:23" x14ac:dyDescent="0.25">
      <c r="B165" s="118">
        <v>2</v>
      </c>
      <c r="C165" s="152">
        <f>SUMIF(B152:B157,B165,C152:C157)</f>
        <v>22.999863479818281</v>
      </c>
      <c r="D165" s="153">
        <f>SUMIF(B152:B157,B165,D152:D157)</f>
        <v>20.000088702444796</v>
      </c>
      <c r="E165" s="153">
        <f>SUMIF(B152:B157,B165,E152:E157)</f>
        <v>20.000207008814058</v>
      </c>
      <c r="F165" s="154">
        <f>SUMIF(B152:B157,B165,F152:F157)</f>
        <v>21.999840808922855</v>
      </c>
      <c r="G165" s="165">
        <f>SUM(C165:F165)</f>
        <v>84.999999999999986</v>
      </c>
      <c r="J165" s="118">
        <v>2</v>
      </c>
      <c r="K165" s="152">
        <f>SUMIF(J152:J157,J165,K152:K157)</f>
        <v>23.000178453376108</v>
      </c>
      <c r="L165" s="153">
        <f>SUMIF(J152:J157,J165,L152:L157)</f>
        <v>19.999959317236481</v>
      </c>
      <c r="M165" s="153">
        <f>SUMIF(J152:J157,J165,M152:M157)</f>
        <v>19.999930890628107</v>
      </c>
      <c r="N165" s="154">
        <f>SUMIF(J152:J157,J165,N152:N157)</f>
        <v>21.997888629593419</v>
      </c>
      <c r="O165" s="165">
        <f>SUM(K165:N165)</f>
        <v>84.997957290834108</v>
      </c>
      <c r="R165" s="118">
        <v>2</v>
      </c>
      <c r="S165" s="152">
        <f>SUMIF(R152:R157,R165,S152:S157)</f>
        <v>23</v>
      </c>
      <c r="T165" s="153">
        <f>SUMIF(R152:R157,R165,T152:T157)</f>
        <v>20</v>
      </c>
      <c r="U165" s="153">
        <f>SUMIF(R152:R157,R165,U152:U157)</f>
        <v>20</v>
      </c>
      <c r="V165" s="154">
        <f>SUMIF(R152:R157,R165,V152:V157)</f>
        <v>22</v>
      </c>
      <c r="W165" s="165">
        <f>SUM(S165:V165)</f>
        <v>85</v>
      </c>
    </row>
    <row r="167" spans="1:23" x14ac:dyDescent="0.25">
      <c r="A167" s="118" t="s">
        <v>21</v>
      </c>
      <c r="B167" s="118" t="s">
        <v>340</v>
      </c>
      <c r="C167">
        <v>1</v>
      </c>
      <c r="D167">
        <f>C167+1</f>
        <v>2</v>
      </c>
      <c r="E167">
        <f>D167+1</f>
        <v>3</v>
      </c>
      <c r="F167">
        <f>E167+1</f>
        <v>4</v>
      </c>
      <c r="I167" s="118" t="s">
        <v>21</v>
      </c>
      <c r="J167" s="118" t="s">
        <v>340</v>
      </c>
      <c r="K167">
        <v>1</v>
      </c>
      <c r="L167">
        <f>K167+1</f>
        <v>2</v>
      </c>
      <c r="M167">
        <f>L167+1</f>
        <v>3</v>
      </c>
      <c r="N167">
        <f>M167+1</f>
        <v>4</v>
      </c>
      <c r="Q167" s="118" t="s">
        <v>21</v>
      </c>
      <c r="R167" s="118" t="s">
        <v>340</v>
      </c>
      <c r="S167">
        <v>1</v>
      </c>
      <c r="T167">
        <f>S167+1</f>
        <v>2</v>
      </c>
      <c r="U167">
        <f>T167+1</f>
        <v>3</v>
      </c>
      <c r="V167">
        <f>U167+1</f>
        <v>4</v>
      </c>
    </row>
    <row r="168" spans="1:23" x14ac:dyDescent="0.25">
      <c r="A168" s="118">
        <v>1</v>
      </c>
      <c r="B168" s="118">
        <v>1</v>
      </c>
      <c r="C168" s="155">
        <f>S152*$G$6/$W152</f>
        <v>7.2217787318678068</v>
      </c>
      <c r="D168" s="156">
        <f>T152*$G$6/$W152</f>
        <v>6.6744571203807865</v>
      </c>
      <c r="E168" s="156">
        <f>U152*$G$6/$W152</f>
        <v>5.1797659989683131</v>
      </c>
      <c r="F168" s="157">
        <f>V152*$G$6/$W152</f>
        <v>8.9239981487830953</v>
      </c>
      <c r="G168" s="73">
        <f t="shared" ref="G168:G173" si="29">SUM(C168:F168)</f>
        <v>28.000000000000004</v>
      </c>
      <c r="I168" s="118">
        <v>1</v>
      </c>
      <c r="J168" s="118">
        <v>1</v>
      </c>
      <c r="K168" s="155">
        <f>C168*$C$14/C176</f>
        <v>7.2213422859512493</v>
      </c>
      <c r="L168" s="156">
        <f>D168*$D$14/D176</f>
        <v>6.6741060449782559</v>
      </c>
      <c r="M168" s="156">
        <f>E168*$E$14/E176</f>
        <v>5.1795057771736506</v>
      </c>
      <c r="N168" s="157">
        <f>F168*F160/F176</f>
        <v>8.9229158250563589</v>
      </c>
      <c r="O168" s="73">
        <f t="shared" ref="O168:O173" si="30">SUM(K168:N168)</f>
        <v>27.997869933159514</v>
      </c>
      <c r="Q168" s="118">
        <v>1</v>
      </c>
      <c r="R168" s="118">
        <v>1</v>
      </c>
      <c r="S168" s="155">
        <f>K168*$C$18/K180</f>
        <v>7.2213658615812832</v>
      </c>
      <c r="T168" s="156">
        <f>L168*$D$18/L180</f>
        <v>6.6741004968687196</v>
      </c>
      <c r="U168" s="156">
        <f>M168*$E$18/M180</f>
        <v>5.1795009116336166</v>
      </c>
      <c r="V168" s="157">
        <f>N168*$F$18/N180</f>
        <v>8.9236377897803205</v>
      </c>
      <c r="W168" s="73">
        <f t="shared" ref="W168:W173" si="31">SUM(S168:V168)</f>
        <v>27.998605059863941</v>
      </c>
    </row>
    <row r="169" spans="1:23" x14ac:dyDescent="0.25">
      <c r="A169" s="118">
        <v>1</v>
      </c>
      <c r="B169" s="118">
        <v>2</v>
      </c>
      <c r="C169" s="158">
        <f>S153*$G$7/$W153</f>
        <v>4.7789465281726811</v>
      </c>
      <c r="D169" s="159">
        <f>T153*$G$7/$W153</f>
        <v>7.3262793161700115</v>
      </c>
      <c r="E169" s="159">
        <f>U153*$G$7/$W153</f>
        <v>6.8208368889654576</v>
      </c>
      <c r="F169" s="160">
        <f>V153*$G$7/$W153</f>
        <v>3.0739372666918494</v>
      </c>
      <c r="G169" s="73">
        <f t="shared" si="29"/>
        <v>22</v>
      </c>
      <c r="I169" s="118">
        <v>1</v>
      </c>
      <c r="J169" s="118">
        <v>2</v>
      </c>
      <c r="K169" s="158">
        <f>C169*$C$14/C176</f>
        <v>4.7786577140487498</v>
      </c>
      <c r="L169" s="159">
        <f>D169*$D$14/D176</f>
        <v>7.3258939550217432</v>
      </c>
      <c r="M169" s="159">
        <f>E169*$E$14/E176</f>
        <v>6.8204942228263494</v>
      </c>
      <c r="N169" s="160">
        <f>F169*$F$14/F176</f>
        <v>3.0744662246410326</v>
      </c>
      <c r="O169" s="73">
        <f t="shared" si="30"/>
        <v>21.999512116537876</v>
      </c>
      <c r="Q169" s="118">
        <v>1</v>
      </c>
      <c r="R169" s="118">
        <v>2</v>
      </c>
      <c r="S169" s="158">
        <f>K169*$C$19/K181</f>
        <v>4.7786387217141773</v>
      </c>
      <c r="T169" s="159">
        <f>L169*$D$19/L181</f>
        <v>7.3259012629553322</v>
      </c>
      <c r="U169" s="159">
        <f>M169*$E$19/M181</f>
        <v>6.8205009502489409</v>
      </c>
      <c r="V169" s="160">
        <f>N169*$F$19/N181</f>
        <v>3.0746398816260707</v>
      </c>
      <c r="W169" s="73">
        <f t="shared" si="31"/>
        <v>21.999680816544519</v>
      </c>
    </row>
    <row r="170" spans="1:23" x14ac:dyDescent="0.25">
      <c r="A170" s="118">
        <v>2</v>
      </c>
      <c r="B170" s="118">
        <v>1</v>
      </c>
      <c r="C170" s="158">
        <f>S154*$G$8/$W154</f>
        <v>12.598398815472638</v>
      </c>
      <c r="D170" s="159">
        <f>T154*$G$8/$W154</f>
        <v>11.122517671426843</v>
      </c>
      <c r="E170" s="159">
        <f>U154*$G$8/$W154</f>
        <v>3.3614125436633921</v>
      </c>
      <c r="F170" s="160">
        <f>V154*$G$8/$W154</f>
        <v>1.9176709694371283</v>
      </c>
      <c r="G170" s="73">
        <f t="shared" si="29"/>
        <v>29.000000000000004</v>
      </c>
      <c r="I170" s="118">
        <v>2</v>
      </c>
      <c r="J170" s="118">
        <v>1</v>
      </c>
      <c r="K170" s="158">
        <f>C170*$C$15/C177</f>
        <v>12.598664428800996</v>
      </c>
      <c r="L170" s="159">
        <f>D170*$D$15/D177</f>
        <v>11.122790640425396</v>
      </c>
      <c r="M170" s="159">
        <f>E170*$E$15/E177</f>
        <v>3.3614234723949226</v>
      </c>
      <c r="N170" s="160">
        <f>F170*$F$15/F177</f>
        <v>1.9174786502943106</v>
      </c>
      <c r="O170" s="73">
        <f t="shared" si="30"/>
        <v>29.000357191915626</v>
      </c>
      <c r="Q170" s="118">
        <v>2</v>
      </c>
      <c r="R170" s="118">
        <v>1</v>
      </c>
      <c r="S170" s="158">
        <f>K170*$C$18/K180</f>
        <v>12.598705559859425</v>
      </c>
      <c r="T170" s="159">
        <f>L170*$D$18/L180</f>
        <v>11.122781394174229</v>
      </c>
      <c r="U170" s="159">
        <f>M170*$E$18/M180</f>
        <v>3.3614203147306245</v>
      </c>
      <c r="V170" s="160">
        <f>N170*$F$18/N180</f>
        <v>1.9176337959856524</v>
      </c>
      <c r="W170" s="73">
        <f t="shared" si="31"/>
        <v>29.000541064749932</v>
      </c>
    </row>
    <row r="171" spans="1:23" x14ac:dyDescent="0.25">
      <c r="A171" s="118">
        <v>2</v>
      </c>
      <c r="B171" s="118">
        <v>2</v>
      </c>
      <c r="C171" s="158">
        <f>S155*$G$9/$W155</f>
        <v>2.4012849446633751</v>
      </c>
      <c r="D171" s="159">
        <f>T155*$G$9/$W155</f>
        <v>2.8771387487914915</v>
      </c>
      <c r="E171" s="159">
        <f>U155*$G$9/$W155</f>
        <v>9.6385451904599453</v>
      </c>
      <c r="F171" s="160">
        <f>V155*$G$9/$W155</f>
        <v>5.0830311160851886</v>
      </c>
      <c r="G171" s="73">
        <f t="shared" si="29"/>
        <v>20</v>
      </c>
      <c r="I171" s="118">
        <v>2</v>
      </c>
      <c r="J171" s="118">
        <v>2</v>
      </c>
      <c r="K171" s="158">
        <f>C171*$C$15/C177</f>
        <v>2.4013355711990032</v>
      </c>
      <c r="L171" s="159">
        <f>D171*$D$15/D177</f>
        <v>2.8772093595746036</v>
      </c>
      <c r="M171" s="159">
        <f>E171*$E$15/E177</f>
        <v>9.6385765276050765</v>
      </c>
      <c r="N171" s="160">
        <f>F171*$F$15/F177</f>
        <v>5.08252134970569</v>
      </c>
      <c r="O171" s="73">
        <f t="shared" si="30"/>
        <v>19.999642808084374</v>
      </c>
      <c r="Q171" s="118">
        <v>2</v>
      </c>
      <c r="R171" s="118">
        <v>2</v>
      </c>
      <c r="S171" s="158">
        <f>K171*$C$19/K181</f>
        <v>2.401326027312138</v>
      </c>
      <c r="T171" s="159">
        <f>L171*$D$19/L181</f>
        <v>2.8772122297301164</v>
      </c>
      <c r="U171" s="159">
        <f>M171*$E$19/M181</f>
        <v>9.6385860346547645</v>
      </c>
      <c r="V171" s="160">
        <f>N171*$F$19/N181</f>
        <v>5.0828084289153788</v>
      </c>
      <c r="W171" s="73">
        <f t="shared" si="31"/>
        <v>19.999932720612396</v>
      </c>
    </row>
    <row r="172" spans="1:23" x14ac:dyDescent="0.25">
      <c r="A172" s="118">
        <v>3</v>
      </c>
      <c r="B172" s="118">
        <v>1</v>
      </c>
      <c r="C172" s="158">
        <f>S156*$G$10/$W156</f>
        <v>8.179679387080423</v>
      </c>
      <c r="D172" s="159">
        <f>T156*$G$10/$W156</f>
        <v>6.2029679778752564</v>
      </c>
      <c r="E172" s="159">
        <f>U156*$G$10/$W156</f>
        <v>12.458606974673982</v>
      </c>
      <c r="F172" s="160">
        <f>V156*$G$10/$W156</f>
        <v>6.158745660370343</v>
      </c>
      <c r="G172" s="73">
        <f t="shared" si="29"/>
        <v>33.000000000000007</v>
      </c>
      <c r="I172" s="118">
        <v>3</v>
      </c>
      <c r="J172" s="118">
        <v>1</v>
      </c>
      <c r="K172" s="158">
        <f>C172*$C$16/C178</f>
        <v>8.1799018735046563</v>
      </c>
      <c r="L172" s="159">
        <f>D172*$D$16/D178</f>
        <v>6.2031232655438844</v>
      </c>
      <c r="M172" s="159">
        <f>E172*$E$16/E178</f>
        <v>12.459090477494412</v>
      </c>
      <c r="N172" s="160">
        <f>F172*$F$16/F178</f>
        <v>6.1582301438240998</v>
      </c>
      <c r="O172" s="73">
        <f t="shared" si="30"/>
        <v>33.000345760367054</v>
      </c>
      <c r="Q172" s="118">
        <v>3</v>
      </c>
      <c r="R172" s="118">
        <v>1</v>
      </c>
      <c r="S172" s="158">
        <f>K172*$C$18/K180</f>
        <v>8.1799285785592915</v>
      </c>
      <c r="T172" s="159">
        <f>L172*$D$18/L180</f>
        <v>6.2031181089570531</v>
      </c>
      <c r="U172" s="159">
        <f>M172*$E$18/M180</f>
        <v>12.45907877363576</v>
      </c>
      <c r="V172" s="160">
        <f>N172*$F$18/N180</f>
        <v>6.1587284142340257</v>
      </c>
      <c r="W172" s="73">
        <f t="shared" si="31"/>
        <v>33.000853875386127</v>
      </c>
    </row>
    <row r="173" spans="1:23" x14ac:dyDescent="0.25">
      <c r="A173" s="118">
        <v>3</v>
      </c>
      <c r="B173" s="118">
        <v>2</v>
      </c>
      <c r="C173" s="161">
        <f>S157*$G$11/$W157</f>
        <v>15.819667833184052</v>
      </c>
      <c r="D173" s="162">
        <f>T157*$G$11/$W157</f>
        <v>9.7966314815274202</v>
      </c>
      <c r="E173" s="162">
        <f>U157*$G$11/$W157</f>
        <v>3.5407721096066203</v>
      </c>
      <c r="F173" s="163">
        <f>V157*$G$11/$W157</f>
        <v>13.842928575681908</v>
      </c>
      <c r="G173" s="73">
        <f t="shared" si="29"/>
        <v>43</v>
      </c>
      <c r="I173" s="118">
        <v>3</v>
      </c>
      <c r="J173" s="118">
        <v>2</v>
      </c>
      <c r="K173" s="161">
        <f>C173*$C$16/C178</f>
        <v>15.820098126495342</v>
      </c>
      <c r="L173" s="162">
        <f>D173*$D$16/D178</f>
        <v>9.7968767344561147</v>
      </c>
      <c r="M173" s="162">
        <f>E173*$E$16/E178</f>
        <v>3.5409095225055887</v>
      </c>
      <c r="N173" s="163">
        <f>F173*$F$16/F178</f>
        <v>13.841769856175898</v>
      </c>
      <c r="O173" s="73">
        <f t="shared" si="30"/>
        <v>42.999654239632946</v>
      </c>
      <c r="Q173" s="118">
        <v>3</v>
      </c>
      <c r="R173" s="118">
        <v>2</v>
      </c>
      <c r="S173" s="161">
        <f>K173*$C$19/K181</f>
        <v>15.820035250973683</v>
      </c>
      <c r="T173" s="162">
        <f>L173*$D$19/L181</f>
        <v>9.7968865073145519</v>
      </c>
      <c r="U173" s="162">
        <f>M173*$E$19/M181</f>
        <v>3.540913015096292</v>
      </c>
      <c r="V173" s="163">
        <f>N173*$F$19/N181</f>
        <v>13.842551689458551</v>
      </c>
      <c r="W173" s="73">
        <f t="shared" si="31"/>
        <v>43.000386462843082</v>
      </c>
    </row>
    <row r="174" spans="1:23" x14ac:dyDescent="0.25">
      <c r="C174" s="164">
        <f>SUM(C168:C173)</f>
        <v>50.999756240440973</v>
      </c>
      <c r="D174" s="164">
        <f>SUM(D168:D173)</f>
        <v>43.999992316171813</v>
      </c>
      <c r="E174" s="164">
        <f>SUM(E168:E173)</f>
        <v>40.999939706337713</v>
      </c>
      <c r="F174" s="164">
        <f>SUM(F168:F173)</f>
        <v>39.000311737049515</v>
      </c>
      <c r="G174" s="166">
        <f>SUM(G168:G173)</f>
        <v>175</v>
      </c>
      <c r="K174" s="164">
        <f>SUM(K168:K173)</f>
        <v>51</v>
      </c>
      <c r="L174" s="164">
        <f>SUM(L168:L173)</f>
        <v>44</v>
      </c>
      <c r="M174" s="164">
        <f>SUM(M168:M173)</f>
        <v>41</v>
      </c>
      <c r="N174" s="164">
        <f>SUM(N168:N173)</f>
        <v>38.997382049697393</v>
      </c>
      <c r="O174" s="166">
        <f>SUM(O168:O173)</f>
        <v>174.99738204969739</v>
      </c>
      <c r="S174" s="164">
        <f>SUM(S168:S173)</f>
        <v>50.999999999999993</v>
      </c>
      <c r="T174" s="164">
        <f>SUM(T168:T173)</f>
        <v>44</v>
      </c>
      <c r="U174" s="164">
        <f>SUM(U168:U173)</f>
        <v>41</v>
      </c>
      <c r="V174" s="164">
        <f>SUM(V168:V173)</f>
        <v>39</v>
      </c>
      <c r="W174" s="166">
        <f>SUM(W168:W173)</f>
        <v>175</v>
      </c>
    </row>
    <row r="176" spans="1:23" x14ac:dyDescent="0.25">
      <c r="A176" s="118">
        <v>1</v>
      </c>
      <c r="C176" s="148">
        <f>SUMIF(A168:A173,A176,C168:C173)</f>
        <v>12.000725260040488</v>
      </c>
      <c r="D176" s="149">
        <f>SUMIF(A168:A173,A176,D168:D173)</f>
        <v>14.000736436550799</v>
      </c>
      <c r="E176" s="149">
        <f>SUMIF(A168:A173,A176,E168:E173)</f>
        <v>12.00060288793377</v>
      </c>
      <c r="F176" s="150">
        <f>SUMIF(A168:A173,A176,F168:F173)</f>
        <v>11.997935415474945</v>
      </c>
      <c r="G176" s="165">
        <f>SUM(C176:F176)</f>
        <v>50</v>
      </c>
      <c r="I176" s="118">
        <v>1</v>
      </c>
      <c r="K176" s="148">
        <f>SUMIF(I168:I173,I176,K168:K173)</f>
        <v>12</v>
      </c>
      <c r="L176" s="149">
        <f>SUMIF(I168:I173,I176,L168:L173)</f>
        <v>14</v>
      </c>
      <c r="M176" s="149">
        <f>SUMIF(I168:I173,I176,M168:M173)</f>
        <v>12</v>
      </c>
      <c r="N176" s="150">
        <f>SUMIF(I168:I173,I176,N168:N173)</f>
        <v>11.997382049697391</v>
      </c>
      <c r="O176" s="165">
        <f>SUM(K176:N176)</f>
        <v>49.997382049697393</v>
      </c>
      <c r="Q176" s="118">
        <v>1</v>
      </c>
      <c r="S176" s="148">
        <f>SUMIF(Q168:Q173,Q176,S168:S173)</f>
        <v>12.00000458329546</v>
      </c>
      <c r="T176" s="149">
        <f>SUMIF(Q168:Q173,Q176,T168:T173)</f>
        <v>14.000001759824052</v>
      </c>
      <c r="U176" s="149">
        <f>SUMIF(Q168:Q173,Q176,U168:U173)</f>
        <v>12.000001861882557</v>
      </c>
      <c r="V176" s="150">
        <f>SUMIF(Q168:Q173,Q176,V168:V173)</f>
        <v>11.998277671406392</v>
      </c>
      <c r="W176" s="165">
        <f>SUM(S176:V176)</f>
        <v>49.99828587640846</v>
      </c>
    </row>
    <row r="177" spans="1:23" x14ac:dyDescent="0.25">
      <c r="A177" s="118">
        <v>2</v>
      </c>
      <c r="C177" s="151">
        <f>SUMIF(A168:A173,A177,C168:C173)</f>
        <v>14.999683760136014</v>
      </c>
      <c r="D177" s="73">
        <f>SUMIF(A168:A173,A177,D168:D173)</f>
        <v>13.999656420218335</v>
      </c>
      <c r="E177" s="73">
        <f>SUMIF(A168:A173,A177,E168:E173)</f>
        <v>12.999957734123338</v>
      </c>
      <c r="F177" s="70">
        <f>SUMIF(A168:A173,A177,F168:F173)</f>
        <v>7.0007020855223168</v>
      </c>
      <c r="G177" s="165">
        <f>SUM(C177:F177)</f>
        <v>49</v>
      </c>
      <c r="I177" s="118">
        <v>2</v>
      </c>
      <c r="K177" s="151">
        <f>SUMIF(I168:I173,I177,K168:K173)</f>
        <v>15</v>
      </c>
      <c r="L177" s="73">
        <f>SUMIF(I168:I173,I177,L168:L173)</f>
        <v>14</v>
      </c>
      <c r="M177" s="73">
        <f>SUMIF(I168:I173,I177,M168:M173)</f>
        <v>13</v>
      </c>
      <c r="N177" s="70">
        <f>SUMIF(I168:I173,I177,N168:N173)</f>
        <v>7.0000000000000009</v>
      </c>
      <c r="O177" s="165">
        <f>SUM(K177:N177)</f>
        <v>49</v>
      </c>
      <c r="Q177" s="118">
        <v>2</v>
      </c>
      <c r="S177" s="151">
        <f>SUMIF(Q168:Q173,Q177,S168:S173)</f>
        <v>15.000031587171563</v>
      </c>
      <c r="T177" s="73">
        <f>SUMIF(Q168:Q173,Q177,T168:T173)</f>
        <v>13.999993623904345</v>
      </c>
      <c r="U177" s="73">
        <f>SUMIF(Q168:Q173,Q177,U168:U173)</f>
        <v>13.000006349385389</v>
      </c>
      <c r="V177" s="70">
        <f>SUMIF(Q168:Q173,Q177,V168:V173)</f>
        <v>7.0004422249010307</v>
      </c>
      <c r="W177" s="165">
        <f>SUM(S177:V177)</f>
        <v>49.000473785362324</v>
      </c>
    </row>
    <row r="178" spans="1:23" x14ac:dyDescent="0.25">
      <c r="A178" s="118">
        <v>3</v>
      </c>
      <c r="C178" s="152">
        <f>SUMIF(A168:A173,A178,C168:C173)</f>
        <v>23.999347220264475</v>
      </c>
      <c r="D178" s="153">
        <f>SUMIF(A168:A173,A178,D168:D173)</f>
        <v>15.999599459402678</v>
      </c>
      <c r="E178" s="153">
        <f>SUMIF(A168:A173,A178,E168:E173)</f>
        <v>15.999379084280601</v>
      </c>
      <c r="F178" s="154">
        <f>SUMIF(A168:A173,A178,F168:F173)</f>
        <v>20.001674236052253</v>
      </c>
      <c r="G178" s="165">
        <f>SUM(C178:F178)</f>
        <v>76.000000000000014</v>
      </c>
      <c r="I178" s="118">
        <v>3</v>
      </c>
      <c r="K178" s="152">
        <f>SUMIF(I168:I173,I178,K168:K173)</f>
        <v>24</v>
      </c>
      <c r="L178" s="153">
        <f>SUMIF(I168:I173,I178,L168:L173)</f>
        <v>16</v>
      </c>
      <c r="M178" s="153">
        <f>SUMIF(I168:I173,I178,M168:M173)</f>
        <v>16</v>
      </c>
      <c r="N178" s="154">
        <f>SUMIF(I168:I173,I178,N168:N173)</f>
        <v>19.999999999999996</v>
      </c>
      <c r="O178" s="165">
        <f>SUM(K178:N178)</f>
        <v>76</v>
      </c>
      <c r="Q178" s="118">
        <v>3</v>
      </c>
      <c r="S178" s="152">
        <f>SUMIF(Q168:Q173,Q178,S168:S173)</f>
        <v>23.999963829532973</v>
      </c>
      <c r="T178" s="153">
        <f>SUMIF(Q168:Q173,Q178,T168:T173)</f>
        <v>16.000004616271603</v>
      </c>
      <c r="U178" s="153">
        <f>SUMIF(Q168:Q173,Q178,U168:U173)</f>
        <v>15.999991788732052</v>
      </c>
      <c r="V178" s="154">
        <f>SUMIF(Q168:Q173,Q178,V168:V173)</f>
        <v>20.001280103692576</v>
      </c>
      <c r="W178" s="165">
        <f>SUM(S178:V178)</f>
        <v>76.001240338229209</v>
      </c>
    </row>
    <row r="180" spans="1:23" x14ac:dyDescent="0.25">
      <c r="B180" s="118">
        <v>1</v>
      </c>
      <c r="C180" s="148">
        <f>SUMIF(B168:B173,B180,C168:C173)</f>
        <v>27.999856934420869</v>
      </c>
      <c r="D180" s="149">
        <f>SUMIF(B168:B173,B180,D168:D173)</f>
        <v>23.999942769682885</v>
      </c>
      <c r="E180" s="149">
        <f>SUMIF(B168:B173,B180,E168:E173)</f>
        <v>20.999785517305689</v>
      </c>
      <c r="F180" s="150">
        <f>SUMIF(B168:B173,B180,F168:F173)</f>
        <v>17.000414778590567</v>
      </c>
      <c r="G180" s="165">
        <f>SUM(C180:F180)</f>
        <v>90</v>
      </c>
      <c r="J180" s="118">
        <v>1</v>
      </c>
      <c r="K180" s="148">
        <f>SUMIF(J168:J173,J180,K168:K173)</f>
        <v>27.999908588256901</v>
      </c>
      <c r="L180" s="149">
        <f>SUMIF(J168:J173,J180,L168:L173)</f>
        <v>24.000019950947536</v>
      </c>
      <c r="M180" s="149">
        <f>SUMIF(J168:J173,J180,M168:M173)</f>
        <v>21.000019727062984</v>
      </c>
      <c r="N180" s="150">
        <f>SUMIF(J168:J173,J180,N168:N173)</f>
        <v>16.99862461917477</v>
      </c>
      <c r="O180" s="165">
        <f>SUM(K180:N180)</f>
        <v>89.998572885442172</v>
      </c>
      <c r="R180" s="118">
        <v>1</v>
      </c>
      <c r="S180" s="148">
        <f>SUMIF(R168:R173,R180,S168:S173)</f>
        <v>28</v>
      </c>
      <c r="T180" s="149">
        <f>SUMIF(R168:R173,R180,T168:T173)</f>
        <v>24.000000000000004</v>
      </c>
      <c r="U180" s="149">
        <f>SUMIF(R168:R173,R180,U168:U173)</f>
        <v>21</v>
      </c>
      <c r="V180" s="150">
        <f>SUMIF(R168:R173,R180,V168:V173)</f>
        <v>17</v>
      </c>
      <c r="W180" s="165">
        <f>SUM(S180:V180)</f>
        <v>90</v>
      </c>
    </row>
    <row r="181" spans="1:23" x14ac:dyDescent="0.25">
      <c r="B181" s="118">
        <v>2</v>
      </c>
      <c r="C181" s="152">
        <f>SUMIF(B168:B173,B181,C168:C173)</f>
        <v>22.999899306020108</v>
      </c>
      <c r="D181" s="153">
        <f>SUMIF(B168:B173,B181,D168:D173)</f>
        <v>20.000049546488924</v>
      </c>
      <c r="E181" s="153">
        <f>SUMIF(B168:B173,B181,E168:E173)</f>
        <v>20.000154189032024</v>
      </c>
      <c r="F181" s="154">
        <f>SUMIF(B168:B173,B181,F168:F173)</f>
        <v>21.999896958458947</v>
      </c>
      <c r="G181" s="165">
        <f>SUM(C181:F181)</f>
        <v>85</v>
      </c>
      <c r="J181" s="118">
        <v>2</v>
      </c>
      <c r="K181" s="152">
        <f>SUMIF(J168:J173,J181,K168:K173)</f>
        <v>23.000091411743096</v>
      </c>
      <c r="L181" s="153">
        <f>SUMIF(J168:J173,J181,L168:L173)</f>
        <v>19.999980049052461</v>
      </c>
      <c r="M181" s="153">
        <f>SUMIF(J168:J173,J181,M168:M173)</f>
        <v>19.999980272937016</v>
      </c>
      <c r="N181" s="154">
        <f>SUMIF(J168:J173,J181,N168:N173)</f>
        <v>21.99875743052262</v>
      </c>
      <c r="O181" s="165">
        <f>SUM(K181:N181)</f>
        <v>84.998809164255192</v>
      </c>
      <c r="R181" s="118">
        <v>2</v>
      </c>
      <c r="S181" s="152">
        <f>SUMIF(R168:R173,R181,S168:S173)</f>
        <v>23</v>
      </c>
      <c r="T181" s="153">
        <f>SUMIF(R168:R173,R181,T168:T173)</f>
        <v>20</v>
      </c>
      <c r="U181" s="153">
        <f>SUMIF(R168:R173,R181,U168:U173)</f>
        <v>20</v>
      </c>
      <c r="V181" s="154">
        <f>SUMIF(R168:R173,R181,V168:V173)</f>
        <v>22</v>
      </c>
      <c r="W181" s="165">
        <f>SUM(S181:V181)</f>
        <v>85</v>
      </c>
    </row>
    <row r="183" spans="1:23" x14ac:dyDescent="0.25">
      <c r="A183" s="118" t="s">
        <v>21</v>
      </c>
      <c r="B183" s="118" t="s">
        <v>340</v>
      </c>
      <c r="C183">
        <v>1</v>
      </c>
      <c r="D183">
        <f>C183+1</f>
        <v>2</v>
      </c>
      <c r="E183">
        <f>D183+1</f>
        <v>3</v>
      </c>
      <c r="F183">
        <f>E183+1</f>
        <v>4</v>
      </c>
      <c r="I183" s="118" t="s">
        <v>21</v>
      </c>
      <c r="J183" s="118" t="s">
        <v>340</v>
      </c>
      <c r="K183">
        <v>1</v>
      </c>
      <c r="L183">
        <f>K183+1</f>
        <v>2</v>
      </c>
      <c r="M183">
        <f>L183+1</f>
        <v>3</v>
      </c>
      <c r="N183">
        <f>M183+1</f>
        <v>4</v>
      </c>
      <c r="Q183" s="118" t="s">
        <v>21</v>
      </c>
      <c r="R183" s="118" t="s">
        <v>340</v>
      </c>
      <c r="S183">
        <v>1</v>
      </c>
      <c r="T183">
        <f>S183+1</f>
        <v>2</v>
      </c>
      <c r="U183">
        <f>T183+1</f>
        <v>3</v>
      </c>
      <c r="V183">
        <f>U183+1</f>
        <v>4</v>
      </c>
    </row>
    <row r="184" spans="1:23" x14ac:dyDescent="0.25">
      <c r="A184" s="118">
        <v>1</v>
      </c>
      <c r="B184" s="118">
        <v>1</v>
      </c>
      <c r="C184" s="155">
        <f>S168*$G$6/$W168</f>
        <v>7.2217256428295258</v>
      </c>
      <c r="D184" s="156">
        <f>T168*$G$6/$W168</f>
        <v>6.6744330123863778</v>
      </c>
      <c r="E184" s="156">
        <f>U168*$G$6/$W168</f>
        <v>5.1797589635505226</v>
      </c>
      <c r="F184" s="157">
        <f>V168*$G$6/$W168</f>
        <v>8.924082381233573</v>
      </c>
      <c r="G184" s="73">
        <f t="shared" ref="G184:G189" si="32">SUM(C184:F184)</f>
        <v>28</v>
      </c>
      <c r="I184" s="118">
        <v>1</v>
      </c>
      <c r="J184" s="118">
        <v>1</v>
      </c>
      <c r="K184" s="155">
        <f>C184*$C$14/C192</f>
        <v>7.2214646496733348</v>
      </c>
      <c r="L184" s="156">
        <f>D184*$D$14/D192</f>
        <v>6.6742229824351744</v>
      </c>
      <c r="M184" s="156">
        <f>E184*$E$14/E192</f>
        <v>5.1796040634447422</v>
      </c>
      <c r="N184" s="157">
        <f>F184*F176/F192</f>
        <v>8.9234639859045384</v>
      </c>
      <c r="O184" s="73">
        <f t="shared" ref="O184:O189" si="33">SUM(K184:N184)</f>
        <v>27.998755681457787</v>
      </c>
      <c r="Q184" s="118">
        <v>1</v>
      </c>
      <c r="R184" s="118">
        <v>1</v>
      </c>
      <c r="S184" s="155">
        <f>K184*$C$18/K196</f>
        <v>7.2214777732106858</v>
      </c>
      <c r="T184" s="156">
        <f>L184*$D$18/L196</f>
        <v>6.6742198449860028</v>
      </c>
      <c r="U184" s="156">
        <f>M184*$E$18/M196</f>
        <v>5.1796024703771399</v>
      </c>
      <c r="V184" s="157">
        <f>N184*$F$18/N196</f>
        <v>8.9238795978852679</v>
      </c>
      <c r="W184" s="73">
        <f t="shared" ref="W184:W189" si="34">SUM(S184:V184)</f>
        <v>27.999179686459097</v>
      </c>
    </row>
    <row r="185" spans="1:23" x14ac:dyDescent="0.25">
      <c r="A185" s="118">
        <v>1</v>
      </c>
      <c r="B185" s="118">
        <v>2</v>
      </c>
      <c r="C185" s="158">
        <f>S169*$G$7/$W169</f>
        <v>4.7787080528300425</v>
      </c>
      <c r="D185" s="159">
        <f>T169*$G$7/$W169</f>
        <v>7.3260075511555618</v>
      </c>
      <c r="E185" s="159">
        <f>U169*$G$7/$W169</f>
        <v>6.8205999058237765</v>
      </c>
      <c r="F185" s="160">
        <f>V169*$G$7/$W169</f>
        <v>3.0746844901906205</v>
      </c>
      <c r="G185" s="73">
        <f t="shared" si="32"/>
        <v>22</v>
      </c>
      <c r="I185" s="118">
        <v>1</v>
      </c>
      <c r="J185" s="118">
        <v>2</v>
      </c>
      <c r="K185" s="158">
        <f>C185*$C$14/C192</f>
        <v>4.7785353503266652</v>
      </c>
      <c r="L185" s="159">
        <f>D185*$D$14/D192</f>
        <v>7.3257770175648247</v>
      </c>
      <c r="M185" s="159">
        <f>E185*$E$14/E192</f>
        <v>6.8203959365552578</v>
      </c>
      <c r="N185" s="160">
        <f>F185*$F$14/F192</f>
        <v>3.0750004794374384</v>
      </c>
      <c r="O185" s="73">
        <f t="shared" si="33"/>
        <v>21.999708783884184</v>
      </c>
      <c r="Q185" s="118">
        <v>1</v>
      </c>
      <c r="R185" s="118">
        <v>2</v>
      </c>
      <c r="S185" s="158">
        <f>K185*$C$19/K197</f>
        <v>4.7785247785283227</v>
      </c>
      <c r="T185" s="159">
        <f>L185*$D$19/L197</f>
        <v>7.3257811500506964</v>
      </c>
      <c r="U185" s="159">
        <f>M185*$E$19/M197</f>
        <v>6.8203981391611794</v>
      </c>
      <c r="V185" s="160">
        <f>N185*$F$19/N197</f>
        <v>3.0751044450004379</v>
      </c>
      <c r="W185" s="73">
        <f t="shared" si="34"/>
        <v>21.999808512740639</v>
      </c>
    </row>
    <row r="186" spans="1:23" x14ac:dyDescent="0.25">
      <c r="A186" s="118">
        <v>2</v>
      </c>
      <c r="B186" s="118">
        <v>1</v>
      </c>
      <c r="C186" s="158">
        <f>S170*$G$8/$W170</f>
        <v>12.598470505090688</v>
      </c>
      <c r="D186" s="159">
        <f>T170*$G$8/$W170</f>
        <v>11.122573875806895</v>
      </c>
      <c r="E186" s="159">
        <f>U170*$G$8/$W170</f>
        <v>3.3613576005199501</v>
      </c>
      <c r="F186" s="160">
        <f>V170*$G$8/$W170</f>
        <v>1.9175980185824664</v>
      </c>
      <c r="G186" s="73">
        <f t="shared" si="32"/>
        <v>29</v>
      </c>
      <c r="I186" s="118">
        <v>2</v>
      </c>
      <c r="J186" s="118">
        <v>1</v>
      </c>
      <c r="K186" s="158">
        <f>C186*$C$15/C193</f>
        <v>12.598634614554744</v>
      </c>
      <c r="L186" s="159">
        <f>D186*$D$15/D193</f>
        <v>11.12273612123334</v>
      </c>
      <c r="M186" s="159">
        <f>E186*$E$15/E193</f>
        <v>3.3613637908095559</v>
      </c>
      <c r="N186" s="160">
        <f>F186*$F$15/F193</f>
        <v>1.9174819983299332</v>
      </c>
      <c r="O186" s="73">
        <f t="shared" si="33"/>
        <v>29.000216524927573</v>
      </c>
      <c r="Q186" s="118">
        <v>2</v>
      </c>
      <c r="R186" s="118">
        <v>1</v>
      </c>
      <c r="S186" s="158">
        <f>K186*$C$18/K196</f>
        <v>12.598657510000468</v>
      </c>
      <c r="T186" s="159">
        <f>L186*$D$18/L196</f>
        <v>11.122730892606828</v>
      </c>
      <c r="U186" s="159">
        <f>M186*$E$18/M196</f>
        <v>3.3613627569699633</v>
      </c>
      <c r="V186" s="160">
        <f>N186*$F$18/N196</f>
        <v>1.9175713054076107</v>
      </c>
      <c r="W186" s="73">
        <f t="shared" si="34"/>
        <v>29.000322464984869</v>
      </c>
    </row>
    <row r="187" spans="1:23" x14ac:dyDescent="0.25">
      <c r="A187" s="118">
        <v>2</v>
      </c>
      <c r="B187" s="118">
        <v>2</v>
      </c>
      <c r="C187" s="158">
        <f>S171*$G$9/$W171</f>
        <v>2.4013341053265398</v>
      </c>
      <c r="D187" s="159">
        <f>T171*$G$9/$W171</f>
        <v>2.8772219086165167</v>
      </c>
      <c r="E187" s="159">
        <f>U171*$G$9/$W171</f>
        <v>9.6386184586721271</v>
      </c>
      <c r="F187" s="160">
        <f>V171*$G$9/$W171</f>
        <v>5.0828255273848173</v>
      </c>
      <c r="G187" s="73">
        <f t="shared" si="32"/>
        <v>20</v>
      </c>
      <c r="I187" s="118">
        <v>2</v>
      </c>
      <c r="J187" s="118">
        <v>2</v>
      </c>
      <c r="K187" s="158">
        <f>C187*$C$15/C193</f>
        <v>2.4013653854452559</v>
      </c>
      <c r="L187" s="159">
        <f>D187*$D$15/D193</f>
        <v>2.8772638787666596</v>
      </c>
      <c r="M187" s="159">
        <f>E187*$E$15/E193</f>
        <v>9.6386362091904445</v>
      </c>
      <c r="N187" s="160">
        <f>F187*$F$15/F193</f>
        <v>5.0825180016700662</v>
      </c>
      <c r="O187" s="73">
        <f t="shared" si="33"/>
        <v>19.999783475072427</v>
      </c>
      <c r="Q187" s="118">
        <v>2</v>
      </c>
      <c r="R187" s="118">
        <v>2</v>
      </c>
      <c r="S187" s="158">
        <f>K187*$C$19/K197</f>
        <v>2.401360072781701</v>
      </c>
      <c r="T187" s="159">
        <f>L187*$D$19/L197</f>
        <v>2.8772655018371269</v>
      </c>
      <c r="U187" s="159">
        <f>M187*$E$19/M197</f>
        <v>9.6386393219301425</v>
      </c>
      <c r="V187" s="160">
        <f>N187*$F$19/N197</f>
        <v>5.0826898412678263</v>
      </c>
      <c r="W187" s="73">
        <f t="shared" si="34"/>
        <v>19.999954737816797</v>
      </c>
    </row>
    <row r="188" spans="1:23" x14ac:dyDescent="0.25">
      <c r="A188" s="118">
        <v>3</v>
      </c>
      <c r="B188" s="118">
        <v>1</v>
      </c>
      <c r="C188" s="158">
        <f>S172*$G$10/$W172</f>
        <v>8.1797169282880624</v>
      </c>
      <c r="D188" s="159">
        <f>T172*$G$10/$W172</f>
        <v>6.2029576073563835</v>
      </c>
      <c r="E188" s="159">
        <f>U172*$G$10/$W172</f>
        <v>12.458756403168051</v>
      </c>
      <c r="F188" s="160">
        <f>V172*$G$10/$W172</f>
        <v>6.1585690611875066</v>
      </c>
      <c r="G188" s="73">
        <f t="shared" si="32"/>
        <v>33</v>
      </c>
      <c r="I188" s="118">
        <v>3</v>
      </c>
      <c r="J188" s="118">
        <v>1</v>
      </c>
      <c r="K188" s="158">
        <f>C188*$C$16/C194</f>
        <v>8.1798498515820999</v>
      </c>
      <c r="L188" s="159">
        <f>D188*$D$16/D194</f>
        <v>6.2030521783662218</v>
      </c>
      <c r="M188" s="159">
        <f>E188*$E$16/E194</f>
        <v>12.459038604623547</v>
      </c>
      <c r="N188" s="160">
        <f>F188*$F$16/F194</f>
        <v>6.1582622745060345</v>
      </c>
      <c r="O188" s="73">
        <f t="shared" si="33"/>
        <v>33.000202909077906</v>
      </c>
      <c r="Q188" s="118">
        <v>3</v>
      </c>
      <c r="R188" s="118">
        <v>1</v>
      </c>
      <c r="S188" s="158">
        <f>K188*$C$18/K196</f>
        <v>8.1798647167888507</v>
      </c>
      <c r="T188" s="159">
        <f>L188*$D$18/L196</f>
        <v>6.2030492624071707</v>
      </c>
      <c r="U188" s="159">
        <f>M188*$E$18/M196</f>
        <v>12.459034772652897</v>
      </c>
      <c r="V188" s="160">
        <f>N188*$F$18/N196</f>
        <v>6.1585490967071213</v>
      </c>
      <c r="W188" s="73">
        <f t="shared" si="34"/>
        <v>33.000497848556037</v>
      </c>
    </row>
    <row r="189" spans="1:23" x14ac:dyDescent="0.25">
      <c r="A189" s="118">
        <v>3</v>
      </c>
      <c r="B189" s="118">
        <v>2</v>
      </c>
      <c r="C189" s="161">
        <f>S173*$G$11/$W173</f>
        <v>15.8198930695585</v>
      </c>
      <c r="D189" s="162">
        <f>T173*$G$11/$W173</f>
        <v>9.7967984585102403</v>
      </c>
      <c r="E189" s="162">
        <f>U173*$G$11/$W173</f>
        <v>3.5408811913983325</v>
      </c>
      <c r="F189" s="163">
        <f>V173*$G$11/$W173</f>
        <v>13.842427280532924</v>
      </c>
      <c r="G189" s="73">
        <f t="shared" si="32"/>
        <v>43</v>
      </c>
      <c r="I189" s="118">
        <v>3</v>
      </c>
      <c r="J189" s="118">
        <v>2</v>
      </c>
      <c r="K189" s="161">
        <f>C189*$C$16/C194</f>
        <v>15.820150148417898</v>
      </c>
      <c r="L189" s="162">
        <f>D189*$D$16/D194</f>
        <v>9.7969478216337773</v>
      </c>
      <c r="M189" s="162">
        <f>E189*$E$16/E194</f>
        <v>3.5409613953764518</v>
      </c>
      <c r="N189" s="163">
        <f>F189*$F$16/F194</f>
        <v>13.841737725493964</v>
      </c>
      <c r="O189" s="73">
        <f t="shared" si="33"/>
        <v>42.999797090922087</v>
      </c>
      <c r="Q189" s="118">
        <v>3</v>
      </c>
      <c r="R189" s="118">
        <v>2</v>
      </c>
      <c r="S189" s="161">
        <f>K189*$C$19/K197</f>
        <v>15.820115148689977</v>
      </c>
      <c r="T189" s="162">
        <f>L189*$D$19/L197</f>
        <v>9.7969533481121793</v>
      </c>
      <c r="U189" s="162">
        <f>M189*$E$19/M197</f>
        <v>3.5409625389086767</v>
      </c>
      <c r="V189" s="163">
        <f>N189*$F$19/N197</f>
        <v>13.842205713731735</v>
      </c>
      <c r="W189" s="73">
        <f t="shared" si="34"/>
        <v>43.000236749442564</v>
      </c>
    </row>
    <row r="190" spans="1:23" x14ac:dyDescent="0.25">
      <c r="C190" s="164">
        <f>SUM(C184:C189)</f>
        <v>50.999848303923358</v>
      </c>
      <c r="D190" s="164">
        <f>SUM(D184:D189)</f>
        <v>43.999992413831976</v>
      </c>
      <c r="E190" s="164">
        <f>SUM(E184:E189)</f>
        <v>40.999972523132762</v>
      </c>
      <c r="F190" s="164">
        <f>SUM(F184:F189)</f>
        <v>39.000186759111912</v>
      </c>
      <c r="G190" s="166">
        <f>SUM(G184:G189)</f>
        <v>175</v>
      </c>
      <c r="K190" s="164">
        <f>SUM(K184:K189)</f>
        <v>51</v>
      </c>
      <c r="L190" s="164">
        <f>SUM(L184:L189)</f>
        <v>44</v>
      </c>
      <c r="M190" s="164">
        <f>SUM(M184:M189)</f>
        <v>40.999999999999993</v>
      </c>
      <c r="N190" s="164">
        <f>SUM(N184:N189)</f>
        <v>38.998464465341975</v>
      </c>
      <c r="O190" s="166">
        <f>SUM(O184:O189)</f>
        <v>174.99846446534195</v>
      </c>
      <c r="S190" s="164">
        <f>SUM(S184:S189)</f>
        <v>51.000000000000007</v>
      </c>
      <c r="T190" s="164">
        <f>SUM(T184:T189)</f>
        <v>44</v>
      </c>
      <c r="U190" s="164">
        <f>SUM(U184:U189)</f>
        <v>41</v>
      </c>
      <c r="V190" s="164">
        <f>SUM(V184:V189)</f>
        <v>39</v>
      </c>
      <c r="W190" s="166">
        <f>SUM(W184:W189)</f>
        <v>175</v>
      </c>
    </row>
    <row r="192" spans="1:23" x14ac:dyDescent="0.25">
      <c r="A192" s="118">
        <v>1</v>
      </c>
      <c r="C192" s="148">
        <f>SUMIF(A184:A189,A192,C184:C189)</f>
        <v>12.000433695659568</v>
      </c>
      <c r="D192" s="149">
        <f>SUMIF(A184:A189,A192,D184:D189)</f>
        <v>14.00044056354194</v>
      </c>
      <c r="E192" s="149">
        <f>SUMIF(A184:A189,A192,E184:E189)</f>
        <v>12.000358869374299</v>
      </c>
      <c r="F192" s="150">
        <f>SUMIF(A184:A189,A192,F184:F189)</f>
        <v>11.998766871424193</v>
      </c>
      <c r="G192" s="165">
        <f>SUM(C192:F192)</f>
        <v>50</v>
      </c>
      <c r="I192" s="118">
        <v>1</v>
      </c>
      <c r="K192" s="148">
        <f>SUMIF(I184:I189,I192,K184:K189)</f>
        <v>12</v>
      </c>
      <c r="L192" s="149">
        <f>SUMIF(I184:I189,I192,L184:L189)</f>
        <v>14</v>
      </c>
      <c r="M192" s="149">
        <f>SUMIF(I184:I189,I192,M184:M189)</f>
        <v>12</v>
      </c>
      <c r="N192" s="150">
        <f>SUMIF(I184:I189,I192,N184:N189)</f>
        <v>11.998464465341977</v>
      </c>
      <c r="O192" s="165">
        <f>SUM(K192:N192)</f>
        <v>49.998464465341975</v>
      </c>
      <c r="Q192" s="118">
        <v>1</v>
      </c>
      <c r="S192" s="148">
        <f>SUMIF(Q184:Q189,Q192,S184:S189)</f>
        <v>12.000002551739009</v>
      </c>
      <c r="T192" s="149">
        <f>SUMIF(Q184:Q189,Q192,T184:T189)</f>
        <v>14.0000009950367</v>
      </c>
      <c r="U192" s="149">
        <f>SUMIF(Q184:Q189,Q192,U184:U189)</f>
        <v>12.000000609538318</v>
      </c>
      <c r="V192" s="150">
        <f>SUMIF(Q184:Q189,Q192,V184:V189)</f>
        <v>11.998984042885706</v>
      </c>
      <c r="W192" s="165">
        <f>SUM(S192:V192)</f>
        <v>49.998988199199729</v>
      </c>
    </row>
    <row r="193" spans="1:23" x14ac:dyDescent="0.25">
      <c r="A193" s="118">
        <v>2</v>
      </c>
      <c r="C193" s="151">
        <f>SUMIF(A184:A189,A193,C184:C189)</f>
        <v>14.999804610417229</v>
      </c>
      <c r="D193" s="73">
        <f>SUMIF(A184:A189,A193,D184:D189)</f>
        <v>13.999795784423412</v>
      </c>
      <c r="E193" s="73">
        <f>SUMIF(A184:A189,A193,E184:E189)</f>
        <v>12.999976059192077</v>
      </c>
      <c r="F193" s="70">
        <f>SUMIF(A184:A189,A193,F184:F189)</f>
        <v>7.0004235459672834</v>
      </c>
      <c r="G193" s="165">
        <f>SUM(C193:F193)</f>
        <v>49</v>
      </c>
      <c r="I193" s="118">
        <v>2</v>
      </c>
      <c r="K193" s="151">
        <f>SUMIF(I184:I189,I193,K184:K189)</f>
        <v>15</v>
      </c>
      <c r="L193" s="73">
        <f>SUMIF(I184:I189,I193,L184:L189)</f>
        <v>14</v>
      </c>
      <c r="M193" s="73">
        <f>SUMIF(I184:I189,I193,M184:M189)</f>
        <v>13</v>
      </c>
      <c r="N193" s="70">
        <f>SUMIF(I184:I189,I193,N184:N189)</f>
        <v>6.9999999999999991</v>
      </c>
      <c r="O193" s="165">
        <f>SUM(K193:N193)</f>
        <v>49</v>
      </c>
      <c r="Q193" s="118">
        <v>2</v>
      </c>
      <c r="S193" s="151">
        <f>SUMIF(Q184:Q189,Q193,S184:S189)</f>
        <v>15.000017582782169</v>
      </c>
      <c r="T193" s="73">
        <f>SUMIF(Q184:Q189,Q193,T184:T189)</f>
        <v>13.999996394443954</v>
      </c>
      <c r="U193" s="73">
        <f>SUMIF(Q184:Q189,Q193,U184:U189)</f>
        <v>13.000002078900106</v>
      </c>
      <c r="V193" s="70">
        <f>SUMIF(Q184:Q189,Q193,V184:V189)</f>
        <v>7.0002611466754372</v>
      </c>
      <c r="W193" s="165">
        <f>SUM(S193:V193)</f>
        <v>49.000277202801662</v>
      </c>
    </row>
    <row r="194" spans="1:23" x14ac:dyDescent="0.25">
      <c r="A194" s="118">
        <v>3</v>
      </c>
      <c r="C194" s="152">
        <f>SUMIF(A184:A189,A194,C184:C189)</f>
        <v>23.999609997846562</v>
      </c>
      <c r="D194" s="153">
        <f>SUMIF(A184:A189,A194,D184:D189)</f>
        <v>15.999756065866624</v>
      </c>
      <c r="E194" s="153">
        <f>SUMIF(A184:A189,A194,E184:E189)</f>
        <v>15.999637594566384</v>
      </c>
      <c r="F194" s="154">
        <f>SUMIF(A184:A189,A194,F184:F189)</f>
        <v>20.00099634172043</v>
      </c>
      <c r="G194" s="165">
        <f>SUM(C194:F194)</f>
        <v>76</v>
      </c>
      <c r="I194" s="118">
        <v>3</v>
      </c>
      <c r="K194" s="152">
        <f>SUMIF(I184:I189,I194,K184:K189)</f>
        <v>24</v>
      </c>
      <c r="L194" s="153">
        <f>SUMIF(I184:I189,I194,L184:L189)</f>
        <v>16</v>
      </c>
      <c r="M194" s="153">
        <f>SUMIF(I184:I189,I194,M184:M189)</f>
        <v>16</v>
      </c>
      <c r="N194" s="154">
        <f>SUMIF(I184:I189,I194,N184:N189)</f>
        <v>20</v>
      </c>
      <c r="O194" s="165">
        <f>SUM(K194:N194)</f>
        <v>76</v>
      </c>
      <c r="Q194" s="118">
        <v>3</v>
      </c>
      <c r="S194" s="152">
        <f>SUMIF(Q184:Q189,Q194,S184:S189)</f>
        <v>23.999979865478828</v>
      </c>
      <c r="T194" s="153">
        <f>SUMIF(Q184:Q189,Q194,T184:T189)</f>
        <v>16.000002610519349</v>
      </c>
      <c r="U194" s="153">
        <f>SUMIF(Q184:Q189,Q194,U184:U189)</f>
        <v>15.999997311561573</v>
      </c>
      <c r="V194" s="154">
        <f>SUMIF(Q184:Q189,Q194,V184:V189)</f>
        <v>20.000754810438856</v>
      </c>
      <c r="W194" s="165">
        <f>SUM(S194:V194)</f>
        <v>76.000734597998616</v>
      </c>
    </row>
    <row r="196" spans="1:23" x14ac:dyDescent="0.25">
      <c r="B196" s="118">
        <v>1</v>
      </c>
      <c r="C196" s="148">
        <f>SUMIF(B184:B189,B196,C184:C189)</f>
        <v>27.999913076208276</v>
      </c>
      <c r="D196" s="149">
        <f>SUMIF(B184:B189,B196,D184:D189)</f>
        <v>23.999964495549655</v>
      </c>
      <c r="E196" s="149">
        <f>SUMIF(B184:B189,B196,E184:E189)</f>
        <v>20.999872967238524</v>
      </c>
      <c r="F196" s="150">
        <f>SUMIF(B184:B189,B196,F184:F189)</f>
        <v>17.000249461003548</v>
      </c>
      <c r="G196" s="165">
        <f>SUM(C196:F196)</f>
        <v>90.000000000000014</v>
      </c>
      <c r="J196" s="118">
        <v>1</v>
      </c>
      <c r="K196" s="148">
        <f>SUMIF(J184:J189,J196,K184:K189)</f>
        <v>27.999949115810175</v>
      </c>
      <c r="L196" s="149">
        <f>SUMIF(J184:J189,J196,L184:L189)</f>
        <v>24.000011282034734</v>
      </c>
      <c r="M196" s="149">
        <f>SUMIF(J184:J189,J196,M184:M189)</f>
        <v>21.000006458877845</v>
      </c>
      <c r="N196" s="150">
        <f>SUMIF(J184:J189,J196,N184:N189)</f>
        <v>16.999208258740506</v>
      </c>
      <c r="O196" s="165">
        <f>SUM(K196:N196)</f>
        <v>89.99917511546326</v>
      </c>
      <c r="R196" s="118">
        <v>1</v>
      </c>
      <c r="S196" s="148">
        <f>SUMIF(R184:R189,R196,S184:S189)</f>
        <v>28.000000000000007</v>
      </c>
      <c r="T196" s="149">
        <f>SUMIF(R184:R189,R196,T184:T189)</f>
        <v>24</v>
      </c>
      <c r="U196" s="149">
        <f>SUMIF(R184:R189,R196,U184:U189)</f>
        <v>21</v>
      </c>
      <c r="V196" s="150">
        <f>SUMIF(R184:R189,R196,V184:V189)</f>
        <v>17</v>
      </c>
      <c r="W196" s="165">
        <f>SUM(S196:V196)</f>
        <v>90</v>
      </c>
    </row>
    <row r="197" spans="1:23" x14ac:dyDescent="0.25">
      <c r="B197" s="118">
        <v>2</v>
      </c>
      <c r="C197" s="152">
        <f>SUMIF(B184:B189,B197,C184:C189)</f>
        <v>22.999935227715081</v>
      </c>
      <c r="D197" s="153">
        <f>SUMIF(B184:B189,B197,D184:D189)</f>
        <v>20.000027918282321</v>
      </c>
      <c r="E197" s="153">
        <f>SUMIF(B184:B189,B197,E184:E189)</f>
        <v>20.000099555894238</v>
      </c>
      <c r="F197" s="154">
        <f>SUMIF(B184:B189,B197,F184:F189)</f>
        <v>21.999937298108364</v>
      </c>
      <c r="G197" s="165">
        <f>SUM(C197:F197)</f>
        <v>85</v>
      </c>
      <c r="J197" s="118">
        <v>2</v>
      </c>
      <c r="K197" s="152">
        <f>SUMIF(J184:J189,J197,K184:K189)</f>
        <v>23.000050884189818</v>
      </c>
      <c r="L197" s="153">
        <f>SUMIF(J184:J189,J197,L184:L189)</f>
        <v>19.999988717965259</v>
      </c>
      <c r="M197" s="153">
        <f>SUMIF(J184:J189,J197,M184:M189)</f>
        <v>19.999993541122155</v>
      </c>
      <c r="N197" s="154">
        <f>SUMIF(J184:J189,J197,N184:N189)</f>
        <v>21.999256206601469</v>
      </c>
      <c r="O197" s="165">
        <f>SUM(K197:N197)</f>
        <v>84.999289349878708</v>
      </c>
      <c r="R197" s="118">
        <v>2</v>
      </c>
      <c r="S197" s="152">
        <f>SUMIF(R184:R189,R197,S184:S189)</f>
        <v>23</v>
      </c>
      <c r="T197" s="153">
        <f>SUMIF(R184:R189,R197,T184:T189)</f>
        <v>20.000000000000004</v>
      </c>
      <c r="U197" s="153">
        <f>SUMIF(R184:R189,R197,U184:U189)</f>
        <v>19.999999999999996</v>
      </c>
      <c r="V197" s="154">
        <f>SUMIF(R184:R189,R197,V184:V189)</f>
        <v>22</v>
      </c>
      <c r="W197" s="165">
        <f>SUM(S197:V197)</f>
        <v>85</v>
      </c>
    </row>
    <row r="199" spans="1:23" x14ac:dyDescent="0.25">
      <c r="A199" s="118" t="s">
        <v>21</v>
      </c>
      <c r="B199" s="118" t="s">
        <v>340</v>
      </c>
      <c r="C199">
        <v>1</v>
      </c>
      <c r="D199">
        <f>C199+1</f>
        <v>2</v>
      </c>
      <c r="E199">
        <f>D199+1</f>
        <v>3</v>
      </c>
      <c r="F199">
        <f>E199+1</f>
        <v>4</v>
      </c>
      <c r="I199" s="118" t="s">
        <v>21</v>
      </c>
      <c r="J199" s="118" t="s">
        <v>340</v>
      </c>
      <c r="K199">
        <v>1</v>
      </c>
      <c r="L199">
        <f>K199+1</f>
        <v>2</v>
      </c>
      <c r="M199">
        <f>L199+1</f>
        <v>3</v>
      </c>
      <c r="N199">
        <f>M199+1</f>
        <v>4</v>
      </c>
      <c r="Q199" s="118" t="s">
        <v>21</v>
      </c>
      <c r="R199" s="118" t="s">
        <v>340</v>
      </c>
      <c r="S199">
        <v>1</v>
      </c>
      <c r="T199">
        <f>S199+1</f>
        <v>2</v>
      </c>
      <c r="U199">
        <f>T199+1</f>
        <v>3</v>
      </c>
      <c r="V199">
        <f>U199+1</f>
        <v>4</v>
      </c>
    </row>
    <row r="200" spans="1:23" x14ac:dyDescent="0.25">
      <c r="A200" s="118">
        <v>1</v>
      </c>
      <c r="B200" s="118">
        <v>1</v>
      </c>
      <c r="C200" s="155">
        <f>S184*$G$6/$W184</f>
        <v>7.2216893464092236</v>
      </c>
      <c r="D200" s="156">
        <f>T184*$G$6/$W184</f>
        <v>6.6744153847473493</v>
      </c>
      <c r="E200" s="156">
        <f>U184*$G$6/$W184</f>
        <v>5.1797542211816463</v>
      </c>
      <c r="F200" s="157">
        <f>V184*$G$6/$W184</f>
        <v>8.9241410476617791</v>
      </c>
      <c r="G200" s="73">
        <f t="shared" ref="G200:G205" si="35">SUM(C200:F200)</f>
        <v>28</v>
      </c>
      <c r="I200" s="118">
        <v>1</v>
      </c>
      <c r="J200" s="118">
        <v>1</v>
      </c>
      <c r="K200" s="155">
        <f>C200*$C$14/C208</f>
        <v>7.221535457042247</v>
      </c>
      <c r="L200" s="156">
        <f>D200*$D$14/D208</f>
        <v>6.6742912912199523</v>
      </c>
      <c r="M200" s="156">
        <f>E200*$E$14/E208</f>
        <v>5.1796628323435412</v>
      </c>
      <c r="N200" s="157">
        <f>F200*F192/F208</f>
        <v>8.9237651794042971</v>
      </c>
      <c r="O200" s="73">
        <f t="shared" ref="O200:O205" si="36">SUM(K200:N200)</f>
        <v>27.999254760010039</v>
      </c>
      <c r="Q200" s="118">
        <v>1</v>
      </c>
      <c r="R200" s="118">
        <v>1</v>
      </c>
      <c r="S200" s="155">
        <f>K200*$C$18/K212</f>
        <v>7.2215429030614668</v>
      </c>
      <c r="T200" s="156">
        <f>L200*$D$18/L212</f>
        <v>6.6742895339803203</v>
      </c>
      <c r="U200" s="156">
        <f>M200*$E$18/M212</f>
        <v>5.1796623021895289</v>
      </c>
      <c r="V200" s="157">
        <f>N200*$F$18/N212</f>
        <v>8.9240160157192729</v>
      </c>
      <c r="W200" s="73">
        <f t="shared" ref="W200:W205" si="37">SUM(S200:V200)</f>
        <v>27.999510754950592</v>
      </c>
    </row>
    <row r="201" spans="1:23" x14ac:dyDescent="0.25">
      <c r="A201" s="118">
        <v>1</v>
      </c>
      <c r="B201" s="118">
        <v>2</v>
      </c>
      <c r="C201" s="158">
        <f>S185*$G$7/$W185</f>
        <v>4.7785663710091431</v>
      </c>
      <c r="D201" s="159">
        <f>T185*$G$7/$W185</f>
        <v>7.3258449139581998</v>
      </c>
      <c r="E201" s="159">
        <f>U185*$G$7/$W185</f>
        <v>6.8204575041936826</v>
      </c>
      <c r="F201" s="160">
        <f>V185*$G$7/$W185</f>
        <v>3.0751312108389719</v>
      </c>
      <c r="G201" s="73">
        <f t="shared" si="35"/>
        <v>21.999999999999996</v>
      </c>
      <c r="I201" s="118">
        <v>1</v>
      </c>
      <c r="J201" s="118">
        <v>2</v>
      </c>
      <c r="K201" s="158">
        <f>C201*$C$14/C208</f>
        <v>4.778464542957753</v>
      </c>
      <c r="L201" s="159">
        <f>D201*$D$14/D208</f>
        <v>7.3257087087800485</v>
      </c>
      <c r="M201" s="159">
        <f>E201*$E$14/E208</f>
        <v>6.8203371676564579</v>
      </c>
      <c r="N201" s="160">
        <f>F201*$F$14/F208</f>
        <v>3.0753177138659518</v>
      </c>
      <c r="O201" s="73">
        <f t="shared" si="36"/>
        <v>21.999828133260213</v>
      </c>
      <c r="Q201" s="118">
        <v>1</v>
      </c>
      <c r="R201" s="118">
        <v>2</v>
      </c>
      <c r="S201" s="158">
        <f>K201*$C$19/K213</f>
        <v>4.7784585448788395</v>
      </c>
      <c r="T201" s="159">
        <f>L201*$D$19/L213</f>
        <v>7.3257110232789335</v>
      </c>
      <c r="U201" s="159">
        <f>M201*$E$19/M213</f>
        <v>6.8203379006426568</v>
      </c>
      <c r="V201" s="160">
        <f>N201*$F$19/N213</f>
        <v>3.0753791194842934</v>
      </c>
      <c r="W201" s="73">
        <f t="shared" si="37"/>
        <v>21.999886588284721</v>
      </c>
    </row>
    <row r="202" spans="1:23" x14ac:dyDescent="0.25">
      <c r="A202" s="118">
        <v>2</v>
      </c>
      <c r="B202" s="118">
        <v>1</v>
      </c>
      <c r="C202" s="158">
        <f>S186*$G$8/$W186</f>
        <v>12.598517421009795</v>
      </c>
      <c r="D202" s="159">
        <f>T186*$G$8/$W186</f>
        <v>11.122607214973472</v>
      </c>
      <c r="E202" s="159">
        <f>U186*$G$8/$W186</f>
        <v>3.3613253807720995</v>
      </c>
      <c r="F202" s="160">
        <f>V186*$G$8/$W186</f>
        <v>1.9175499832446337</v>
      </c>
      <c r="G202" s="73">
        <f t="shared" si="35"/>
        <v>29</v>
      </c>
      <c r="I202" s="118">
        <v>2</v>
      </c>
      <c r="J202" s="118">
        <v>1</v>
      </c>
      <c r="K202" s="158">
        <f>C202*$C$15/C209</f>
        <v>12.598615750397267</v>
      </c>
      <c r="L202" s="159">
        <f>D202*$D$15/D209</f>
        <v>11.122703165455968</v>
      </c>
      <c r="M202" s="159">
        <f>E202*$E$15/E209</f>
        <v>3.3613288672343073</v>
      </c>
      <c r="N202" s="160">
        <f>F202*$F$15/F209</f>
        <v>1.9174811382153916</v>
      </c>
      <c r="O202" s="73">
        <f t="shared" si="36"/>
        <v>29.000128921302931</v>
      </c>
      <c r="Q202" s="118">
        <v>2</v>
      </c>
      <c r="R202" s="118">
        <v>1</v>
      </c>
      <c r="S202" s="158">
        <f>K202*$C$18/K212</f>
        <v>12.598628740645058</v>
      </c>
      <c r="T202" s="159">
        <f>L202*$D$18/L212</f>
        <v>11.122700237016982</v>
      </c>
      <c r="U202" s="159">
        <f>M202*$E$18/M212</f>
        <v>3.3613285231922254</v>
      </c>
      <c r="V202" s="160">
        <f>N202*$F$18/N212</f>
        <v>1.9175350363058365</v>
      </c>
      <c r="W202" s="73">
        <f t="shared" si="37"/>
        <v>29.0001925371601</v>
      </c>
    </row>
    <row r="203" spans="1:23" x14ac:dyDescent="0.25">
      <c r="A203" s="118">
        <v>2</v>
      </c>
      <c r="B203" s="118">
        <v>2</v>
      </c>
      <c r="C203" s="158">
        <f>S187*$G$9/$W187</f>
        <v>2.4013655073339777</v>
      </c>
      <c r="D203" s="159">
        <f>T187*$G$9/$W187</f>
        <v>2.8772720134177767</v>
      </c>
      <c r="E203" s="159">
        <f>U187*$G$9/$W187</f>
        <v>9.6386611352724501</v>
      </c>
      <c r="F203" s="160">
        <f>V187*$G$9/$W187</f>
        <v>5.0827013439757964</v>
      </c>
      <c r="G203" s="73">
        <f t="shared" si="35"/>
        <v>20</v>
      </c>
      <c r="I203" s="118">
        <v>2</v>
      </c>
      <c r="J203" s="118">
        <v>2</v>
      </c>
      <c r="K203" s="158">
        <f>C203*$C$15/C209</f>
        <v>2.4013842496027338</v>
      </c>
      <c r="L203" s="159">
        <f>D203*$D$15/D209</f>
        <v>2.8772968345440311</v>
      </c>
      <c r="M203" s="159">
        <f>E203*$E$15/E209</f>
        <v>9.638671132765694</v>
      </c>
      <c r="N203" s="160">
        <f>F203*$F$15/F209</f>
        <v>5.0825188617846084</v>
      </c>
      <c r="O203" s="73">
        <f t="shared" si="36"/>
        <v>19.999871078697069</v>
      </c>
      <c r="Q203" s="118">
        <v>2</v>
      </c>
      <c r="R203" s="118">
        <v>2</v>
      </c>
      <c r="S203" s="158">
        <f>K203*$C$19/K213</f>
        <v>2.4013812353097319</v>
      </c>
      <c r="T203" s="159">
        <f>L203*$D$19/L213</f>
        <v>2.8772977436028788</v>
      </c>
      <c r="U203" s="159">
        <f>M203*$E$19/M213</f>
        <v>9.6386721686401291</v>
      </c>
      <c r="V203" s="160">
        <f>N203*$F$19/N213</f>
        <v>5.0826203456774879</v>
      </c>
      <c r="W203" s="73">
        <f t="shared" si="37"/>
        <v>19.999971493230227</v>
      </c>
    </row>
    <row r="204" spans="1:23" x14ac:dyDescent="0.25">
      <c r="A204" s="118">
        <v>3</v>
      </c>
      <c r="B204" s="118">
        <v>1</v>
      </c>
      <c r="C204" s="158">
        <f>S188*$G$10/$W188</f>
        <v>8.1797413145948443</v>
      </c>
      <c r="D204" s="159">
        <f>T188*$G$10/$W188</f>
        <v>6.2029556826335419</v>
      </c>
      <c r="E204" s="159">
        <f>U188*$G$10/$W188</f>
        <v>12.458846814504518</v>
      </c>
      <c r="F204" s="160">
        <f>V188*$G$10/$W188</f>
        <v>6.158456188267099</v>
      </c>
      <c r="G204" s="73">
        <f t="shared" si="35"/>
        <v>33</v>
      </c>
      <c r="I204" s="118">
        <v>3</v>
      </c>
      <c r="J204" s="118">
        <v>1</v>
      </c>
      <c r="K204" s="158">
        <f>C204*$C$16/C210</f>
        <v>8.1798199222012027</v>
      </c>
      <c r="L204" s="159">
        <f>D204*$D$16/D210</f>
        <v>6.2030118621616044</v>
      </c>
      <c r="M204" s="159">
        <f>E204*$E$16/E210</f>
        <v>12.459010449835301</v>
      </c>
      <c r="N204" s="160">
        <f>F204*$F$16/F210</f>
        <v>6.1582758462416152</v>
      </c>
      <c r="O204" s="73">
        <f t="shared" si="36"/>
        <v>33.000118080439719</v>
      </c>
      <c r="Q204" s="118">
        <v>3</v>
      </c>
      <c r="R204" s="118">
        <v>1</v>
      </c>
      <c r="S204" s="158">
        <f>K204*$C$18/K212</f>
        <v>8.1798283562934699</v>
      </c>
      <c r="T204" s="159">
        <f>L204*$D$18/L212</f>
        <v>6.2030102290026958</v>
      </c>
      <c r="U204" s="159">
        <f>M204*$E$18/M212</f>
        <v>12.459009174618245</v>
      </c>
      <c r="V204" s="160">
        <f>N204*$F$18/N212</f>
        <v>6.1584489479748896</v>
      </c>
      <c r="W204" s="73">
        <f t="shared" si="37"/>
        <v>33.000296707889305</v>
      </c>
    </row>
    <row r="205" spans="1:23" x14ac:dyDescent="0.25">
      <c r="A205" s="118">
        <v>3</v>
      </c>
      <c r="B205" s="118">
        <v>2</v>
      </c>
      <c r="C205" s="161">
        <f>S189*$G$11/$W189</f>
        <v>15.820028046763897</v>
      </c>
      <c r="D205" s="162">
        <f>T189*$G$11/$W189</f>
        <v>9.7968994083337204</v>
      </c>
      <c r="E205" s="162">
        <f>U189*$G$11/$W189</f>
        <v>3.5409430431809645</v>
      </c>
      <c r="F205" s="163">
        <f>V189*$G$11/$W189</f>
        <v>13.842129501721422</v>
      </c>
      <c r="G205" s="73">
        <f t="shared" si="35"/>
        <v>43</v>
      </c>
      <c r="I205" s="118">
        <v>3</v>
      </c>
      <c r="J205" s="118">
        <v>2</v>
      </c>
      <c r="K205" s="161">
        <f>C205*$C$16/C210</f>
        <v>15.820180077798797</v>
      </c>
      <c r="L205" s="162">
        <f>D205*$D$16/D210</f>
        <v>9.7969881378383956</v>
      </c>
      <c r="M205" s="162">
        <f>E205*$E$16/E210</f>
        <v>3.5409895501646989</v>
      </c>
      <c r="N205" s="163">
        <f>F205*$F$16/F210</f>
        <v>13.841724153758387</v>
      </c>
      <c r="O205" s="73">
        <f t="shared" si="36"/>
        <v>42.999881919560281</v>
      </c>
      <c r="Q205" s="118">
        <v>3</v>
      </c>
      <c r="R205" s="118">
        <v>2</v>
      </c>
      <c r="S205" s="161">
        <f>K205*$C$19/K213</f>
        <v>15.820160219811429</v>
      </c>
      <c r="T205" s="162">
        <f>L205*$D$19/L213</f>
        <v>9.7969912331181881</v>
      </c>
      <c r="U205" s="162">
        <f>M205*$E$19/M213</f>
        <v>3.5409899307172146</v>
      </c>
      <c r="V205" s="163">
        <f>N205*$F$19/N213</f>
        <v>13.842000534838217</v>
      </c>
      <c r="W205" s="73">
        <f t="shared" si="37"/>
        <v>43.000141918485049</v>
      </c>
    </row>
    <row r="206" spans="1:23" x14ac:dyDescent="0.25">
      <c r="C206" s="164">
        <f>SUM(C200:C205)</f>
        <v>50.999908007120879</v>
      </c>
      <c r="D206" s="164">
        <f>SUM(D200:D205)</f>
        <v>43.999994618064058</v>
      </c>
      <c r="E206" s="164">
        <f>SUM(E200:E205)</f>
        <v>40.999988099105366</v>
      </c>
      <c r="F206" s="164">
        <f>SUM(F200:F205)</f>
        <v>39.000109275709704</v>
      </c>
      <c r="G206" s="166">
        <f>SUM(G200:G205)</f>
        <v>175</v>
      </c>
      <c r="K206" s="164">
        <f>SUM(K200:K205)</f>
        <v>51</v>
      </c>
      <c r="L206" s="164">
        <f>SUM(L200:L205)</f>
        <v>44</v>
      </c>
      <c r="M206" s="164">
        <f>SUM(M200:M205)</f>
        <v>41</v>
      </c>
      <c r="N206" s="164">
        <f>SUM(N200:N205)</f>
        <v>38.999082893270248</v>
      </c>
      <c r="O206" s="166">
        <f>SUM(O200:O205)</f>
        <v>174.99908289327027</v>
      </c>
      <c r="S206" s="164">
        <f>SUM(S200:S205)</f>
        <v>50.999999999999993</v>
      </c>
      <c r="T206" s="164">
        <f>SUM(T200:T205)</f>
        <v>44</v>
      </c>
      <c r="U206" s="164">
        <f>SUM(U200:U205)</f>
        <v>41</v>
      </c>
      <c r="V206" s="164">
        <f>SUM(V200:V205)</f>
        <v>39</v>
      </c>
      <c r="W206" s="166">
        <f>SUM(W200:W205)</f>
        <v>175</v>
      </c>
    </row>
    <row r="208" spans="1:23" x14ac:dyDescent="0.25">
      <c r="A208" s="118">
        <v>1</v>
      </c>
      <c r="C208" s="148">
        <f>SUMIF(A200:A205,A208,C200:C205)</f>
        <v>12.000255717418366</v>
      </c>
      <c r="D208" s="149">
        <f>SUMIF(A200:A205,A208,D200:D205)</f>
        <v>14.000260298705548</v>
      </c>
      <c r="E208" s="149">
        <f>SUMIF(A200:A205,A208,E200:E205)</f>
        <v>12.00021172537533</v>
      </c>
      <c r="F208" s="150">
        <f>SUMIF(A200:A205,A208,F200:F205)</f>
        <v>11.999272258500751</v>
      </c>
      <c r="G208" s="165">
        <f>SUM(C208:F208)</f>
        <v>50</v>
      </c>
      <c r="I208" s="118">
        <v>1</v>
      </c>
      <c r="K208" s="148">
        <f>SUMIF(I200:I205,I208,K200:K205)</f>
        <v>12</v>
      </c>
      <c r="L208" s="149">
        <f>SUMIF(I200:I205,I208,L200:L205)</f>
        <v>14</v>
      </c>
      <c r="M208" s="149">
        <f>SUMIF(I200:I205,I208,M200:M205)</f>
        <v>12</v>
      </c>
      <c r="N208" s="150">
        <f>SUMIF(I200:I205,I208,N200:N205)</f>
        <v>11.999082893270248</v>
      </c>
      <c r="O208" s="165">
        <f>SUM(K208:N208)</f>
        <v>49.999082893270248</v>
      </c>
      <c r="Q208" s="118">
        <v>1</v>
      </c>
      <c r="S208" s="148">
        <f>SUMIF(Q200:Q205,Q208,S200:S205)</f>
        <v>12.000001447940306</v>
      </c>
      <c r="T208" s="149">
        <f>SUMIF(Q200:Q205,Q208,T200:T205)</f>
        <v>14.000000557259254</v>
      </c>
      <c r="U208" s="149">
        <f>SUMIF(Q200:Q205,Q208,U200:U205)</f>
        <v>12.000000202832187</v>
      </c>
      <c r="V208" s="150">
        <f>SUMIF(Q200:Q205,Q208,V200:V205)</f>
        <v>11.999395135203567</v>
      </c>
      <c r="W208" s="165">
        <f>SUM(S208:V208)</f>
        <v>49.999397343235316</v>
      </c>
    </row>
    <row r="209" spans="1:23" x14ac:dyDescent="0.25">
      <c r="A209" s="118">
        <v>2</v>
      </c>
      <c r="C209" s="151">
        <f>SUMIF(A200:A205,A209,C200:C205)</f>
        <v>14.999882928343773</v>
      </c>
      <c r="D209" s="73">
        <f>SUMIF(A200:A205,A209,D200:D205)</f>
        <v>13.999879228391249</v>
      </c>
      <c r="E209" s="73">
        <f>SUMIF(A200:A205,A209,E200:E205)</f>
        <v>12.999986516044549</v>
      </c>
      <c r="F209" s="70">
        <f>SUMIF(A200:A205,A209,F200:F205)</f>
        <v>7.0002513272204299</v>
      </c>
      <c r="G209" s="165">
        <f>SUM(C209:F209)</f>
        <v>49.000000000000007</v>
      </c>
      <c r="I209" s="118">
        <v>2</v>
      </c>
      <c r="K209" s="151">
        <f>SUMIF(I200:I205,I209,K200:K205)</f>
        <v>15</v>
      </c>
      <c r="L209" s="73">
        <f>SUMIF(I200:I205,I209,L200:L205)</f>
        <v>14</v>
      </c>
      <c r="M209" s="73">
        <f>SUMIF(I200:I205,I209,M200:M205)</f>
        <v>13.000000000000002</v>
      </c>
      <c r="N209" s="70">
        <f>SUMIF(I200:I205,I209,N200:N205)</f>
        <v>7</v>
      </c>
      <c r="O209" s="165">
        <f>SUM(K209:N209)</f>
        <v>49</v>
      </c>
      <c r="Q209" s="118">
        <v>2</v>
      </c>
      <c r="S209" s="151">
        <f>SUMIF(Q200:Q205,Q209,S200:S205)</f>
        <v>15.000009975954789</v>
      </c>
      <c r="T209" s="73">
        <f>SUMIF(Q200:Q205,Q209,T200:T205)</f>
        <v>13.999997980619861</v>
      </c>
      <c r="U209" s="73">
        <f>SUMIF(Q200:Q205,Q209,U200:U205)</f>
        <v>13.000000691832355</v>
      </c>
      <c r="V209" s="70">
        <f>SUMIF(Q200:Q205,Q209,V200:V205)</f>
        <v>7.0001553819833244</v>
      </c>
      <c r="W209" s="165">
        <f>SUM(S209:V209)</f>
        <v>49.00016403039033</v>
      </c>
    </row>
    <row r="210" spans="1:23" x14ac:dyDescent="0.25">
      <c r="A210" s="118">
        <v>3</v>
      </c>
      <c r="C210" s="152">
        <f>SUMIF(A200:A205,A210,C200:C205)</f>
        <v>23.999769361358741</v>
      </c>
      <c r="D210" s="153">
        <f>SUMIF(A200:A205,A210,D200:D205)</f>
        <v>15.999855090967262</v>
      </c>
      <c r="E210" s="153">
        <f>SUMIF(A200:A205,A210,E200:E205)</f>
        <v>15.999789857685483</v>
      </c>
      <c r="F210" s="154">
        <f>SUMIF(A200:A205,A210,F200:F205)</f>
        <v>20.000585689988519</v>
      </c>
      <c r="G210" s="165">
        <f>SUM(C210:F210)</f>
        <v>76</v>
      </c>
      <c r="I210" s="118">
        <v>3</v>
      </c>
      <c r="K210" s="152">
        <f>SUMIF(I200:I205,I210,K200:K205)</f>
        <v>24</v>
      </c>
      <c r="L210" s="153">
        <f>SUMIF(I200:I205,I210,L200:L205)</f>
        <v>16</v>
      </c>
      <c r="M210" s="153">
        <f>SUMIF(I200:I205,I210,M200:M205)</f>
        <v>16</v>
      </c>
      <c r="N210" s="154">
        <f>SUMIF(I200:I205,I210,N200:N205)</f>
        <v>20</v>
      </c>
      <c r="O210" s="165">
        <f>SUM(K210:N210)</f>
        <v>76</v>
      </c>
      <c r="Q210" s="118">
        <v>3</v>
      </c>
      <c r="S210" s="152">
        <f>SUMIF(Q200:Q205,Q210,S200:S205)</f>
        <v>23.999988576104897</v>
      </c>
      <c r="T210" s="153">
        <f>SUMIF(Q200:Q205,Q210,T200:T205)</f>
        <v>16.000001462120885</v>
      </c>
      <c r="U210" s="153">
        <f>SUMIF(Q200:Q205,Q210,U200:U205)</f>
        <v>15.99999910533546</v>
      </c>
      <c r="V210" s="154">
        <f>SUMIF(Q200:Q205,Q210,V200:V205)</f>
        <v>20.000449482813107</v>
      </c>
      <c r="W210" s="165">
        <f>SUM(S210:V210)</f>
        <v>76.000438626374347</v>
      </c>
    </row>
    <row r="212" spans="1:23" x14ac:dyDescent="0.25">
      <c r="B212" s="118">
        <v>1</v>
      </c>
      <c r="C212" s="148">
        <f>SUMIF(B200:B205,B212,C200:C205)</f>
        <v>27.999948082013866</v>
      </c>
      <c r="D212" s="149">
        <f>SUMIF(B200:B205,B212,D200:D205)</f>
        <v>23.999978282354363</v>
      </c>
      <c r="E212" s="149">
        <f>SUMIF(B200:B205,B212,E200:E205)</f>
        <v>20.999926416458266</v>
      </c>
      <c r="F212" s="150">
        <f>SUMIF(B200:B205,B212,F200:F205)</f>
        <v>17.000147219173513</v>
      </c>
      <c r="G212" s="165">
        <f>SUM(C212:F212)</f>
        <v>90.000000000000014</v>
      </c>
      <c r="J212" s="118">
        <v>1</v>
      </c>
      <c r="K212" s="148">
        <f>SUMIF(J200:J205,J212,K200:K205)</f>
        <v>27.99997112964072</v>
      </c>
      <c r="L212" s="149">
        <f>SUMIF(J200:J205,J212,L200:L205)</f>
        <v>24.000006318837528</v>
      </c>
      <c r="M212" s="149">
        <f>SUMIF(J200:J205,J212,M200:M205)</f>
        <v>21.000002149413149</v>
      </c>
      <c r="N212" s="150">
        <f>SUMIF(J200:J205,J212,N200:N205)</f>
        <v>16.999522163861304</v>
      </c>
      <c r="O212" s="165">
        <f>SUM(K212:N212)</f>
        <v>89.999501761752697</v>
      </c>
      <c r="R212" s="118">
        <v>1</v>
      </c>
      <c r="S212" s="148">
        <f>SUMIF(R200:R205,R212,S200:S205)</f>
        <v>27.999999999999993</v>
      </c>
      <c r="T212" s="149">
        <f>SUMIF(R200:R205,R212,T200:T205)</f>
        <v>24</v>
      </c>
      <c r="U212" s="149">
        <f>SUMIF(R200:R205,R212,U200:U205)</f>
        <v>21</v>
      </c>
      <c r="V212" s="150">
        <f>SUMIF(R200:R205,R212,V200:V205)</f>
        <v>17</v>
      </c>
      <c r="W212" s="165">
        <f>SUM(S212:V212)</f>
        <v>90</v>
      </c>
    </row>
    <row r="213" spans="1:23" x14ac:dyDescent="0.25">
      <c r="B213" s="118">
        <v>2</v>
      </c>
      <c r="C213" s="152">
        <f>SUMIF(B200:B205,B213,C200:C205)</f>
        <v>22.999959925107017</v>
      </c>
      <c r="D213" s="153">
        <f>SUMIF(B200:B205,B213,D200:D205)</f>
        <v>20.000016335709695</v>
      </c>
      <c r="E213" s="153">
        <f>SUMIF(B200:B205,B213,E200:E205)</f>
        <v>20.000061682647097</v>
      </c>
      <c r="F213" s="154">
        <f>SUMIF(B200:B205,B213,F200:F205)</f>
        <v>21.999962056536191</v>
      </c>
      <c r="G213" s="165">
        <f>SUM(C213:F213)</f>
        <v>85</v>
      </c>
      <c r="J213" s="118">
        <v>2</v>
      </c>
      <c r="K213" s="152">
        <f>SUMIF(J200:J205,J213,K200:K205)</f>
        <v>23.000028870359284</v>
      </c>
      <c r="L213" s="153">
        <f>SUMIF(J200:J205,J213,L200:L205)</f>
        <v>19.999993681162476</v>
      </c>
      <c r="M213" s="153">
        <f>SUMIF(J200:J205,J213,M200:M205)</f>
        <v>19.999997850586851</v>
      </c>
      <c r="N213" s="154">
        <f>SUMIF(J200:J205,J213,N200:N205)</f>
        <v>21.999560729408948</v>
      </c>
      <c r="O213" s="165">
        <f>SUM(K213:N213)</f>
        <v>84.999581131517559</v>
      </c>
      <c r="R213" s="118">
        <v>2</v>
      </c>
      <c r="S213" s="152">
        <f>SUMIF(R200:R205,R213,S200:S205)</f>
        <v>23</v>
      </c>
      <c r="T213" s="153">
        <f>SUMIF(R200:R205,R213,T200:T205)</f>
        <v>20</v>
      </c>
      <c r="U213" s="153">
        <f>SUMIF(R200:R205,R213,U200:U205)</f>
        <v>20</v>
      </c>
      <c r="V213" s="154">
        <f>SUMIF(R200:R205,R213,V200:V205)</f>
        <v>22</v>
      </c>
      <c r="W213" s="165">
        <f>SUM(S213:V213)</f>
        <v>85</v>
      </c>
    </row>
    <row r="215" spans="1:23" x14ac:dyDescent="0.25">
      <c r="A215" s="118" t="s">
        <v>21</v>
      </c>
      <c r="B215" s="118" t="s">
        <v>340</v>
      </c>
      <c r="C215">
        <v>1</v>
      </c>
      <c r="D215">
        <f>C215+1</f>
        <v>2</v>
      </c>
      <c r="E215">
        <f>D215+1</f>
        <v>3</v>
      </c>
      <c r="F215">
        <f>E215+1</f>
        <v>4</v>
      </c>
      <c r="I215" s="118" t="s">
        <v>21</v>
      </c>
      <c r="J215" s="118" t="s">
        <v>340</v>
      </c>
      <c r="K215">
        <v>1</v>
      </c>
      <c r="L215">
        <f>K215+1</f>
        <v>2</v>
      </c>
      <c r="M215">
        <f>L215+1</f>
        <v>3</v>
      </c>
      <c r="N215">
        <f>M215+1</f>
        <v>4</v>
      </c>
      <c r="Q215" s="118" t="s">
        <v>21</v>
      </c>
      <c r="R215" s="118" t="s">
        <v>340</v>
      </c>
      <c r="S215">
        <v>1</v>
      </c>
      <c r="T215">
        <f>S215+1</f>
        <v>2</v>
      </c>
      <c r="U215">
        <f>T215+1</f>
        <v>3</v>
      </c>
      <c r="V215">
        <f>U215+1</f>
        <v>4</v>
      </c>
    </row>
    <row r="216" spans="1:23" x14ac:dyDescent="0.25">
      <c r="A216" s="118">
        <v>1</v>
      </c>
      <c r="B216" s="118">
        <v>1</v>
      </c>
      <c r="C216" s="155">
        <f>S200*$G$6/$W200</f>
        <v>7.2216690875560934</v>
      </c>
      <c r="D216" s="156">
        <f>T200*$G$6/$W200</f>
        <v>6.6744061561292352</v>
      </c>
      <c r="E216" s="156">
        <f>U200*$G$6/$W200</f>
        <v>5.1797528082044781</v>
      </c>
      <c r="F216" s="157">
        <f>V200*$G$6/$W200</f>
        <v>8.9241719481101907</v>
      </c>
      <c r="G216" s="73">
        <f t="shared" ref="G216:G221" si="38">SUM(C216:F216)</f>
        <v>28</v>
      </c>
      <c r="I216" s="118">
        <v>1</v>
      </c>
      <c r="J216" s="118">
        <v>1</v>
      </c>
      <c r="K216" s="155">
        <f>C216*$C$14/C224</f>
        <v>7.2215774542306042</v>
      </c>
      <c r="L216" s="156">
        <f>D216*$D$14/D224</f>
        <v>6.6743322883311871</v>
      </c>
      <c r="M216" s="156">
        <f>E216*$E$14/E224</f>
        <v>5.1796984781736093</v>
      </c>
      <c r="N216" s="157">
        <f>F216*F208/F224</f>
        <v>8.9239528049321262</v>
      </c>
      <c r="O216" s="73">
        <f t="shared" ref="O216:O221" si="39">SUM(K216:N216)</f>
        <v>27.999561025667525</v>
      </c>
      <c r="Q216" s="118">
        <v>1</v>
      </c>
      <c r="R216" s="118">
        <v>1</v>
      </c>
      <c r="S216" s="155">
        <f>K216*$C$18/K228</f>
        <v>7.221581808738784</v>
      </c>
      <c r="T216" s="156">
        <f>L216*$D$18/L228</f>
        <v>6.6743312475584311</v>
      </c>
      <c r="U216" s="156">
        <f>M216*$E$18/M228</f>
        <v>5.1796982551512158</v>
      </c>
      <c r="V216" s="157">
        <f>N216*$F$18/N228</f>
        <v>8.9240996109490798</v>
      </c>
      <c r="W216" s="73">
        <f t="shared" ref="W216:W221" si="40">SUM(S216:V216)</f>
        <v>27.999710922397512</v>
      </c>
    </row>
    <row r="217" spans="1:23" x14ac:dyDescent="0.25">
      <c r="A217" s="118">
        <v>1</v>
      </c>
      <c r="B217" s="118">
        <v>2</v>
      </c>
      <c r="C217" s="158">
        <f>S201*$G$7/$W201</f>
        <v>4.7784831783321895</v>
      </c>
      <c r="D217" s="159">
        <f>T201*$G$7/$W201</f>
        <v>7.3257487880851047</v>
      </c>
      <c r="E217" s="159">
        <f>U201*$G$7/$W201</f>
        <v>6.8203730601975483</v>
      </c>
      <c r="F217" s="160">
        <f>V201*$G$7/$W201</f>
        <v>3.0753949733851615</v>
      </c>
      <c r="G217" s="73">
        <f t="shared" si="38"/>
        <v>22.000000000000004</v>
      </c>
      <c r="I217" s="118">
        <v>1</v>
      </c>
      <c r="J217" s="118">
        <v>2</v>
      </c>
      <c r="K217" s="158">
        <f>C217*$C$14/C224</f>
        <v>4.7784225457693967</v>
      </c>
      <c r="L217" s="159">
        <f>D217*$D$14/D224</f>
        <v>7.3256677116688111</v>
      </c>
      <c r="M217" s="159">
        <f>E217*$E$14/E224</f>
        <v>6.8203015218263916</v>
      </c>
      <c r="N217" s="160">
        <f>F217*$F$14/F224</f>
        <v>3.0755059680122998</v>
      </c>
      <c r="O217" s="73">
        <f t="shared" si="39"/>
        <v>21.999897747276901</v>
      </c>
      <c r="Q217" s="118">
        <v>1</v>
      </c>
      <c r="R217" s="118">
        <v>2</v>
      </c>
      <c r="S217" s="158">
        <f>K217*$C$19/K229</f>
        <v>4.7784190380794138</v>
      </c>
      <c r="T217" s="159">
        <f>L217*$D$19/L229</f>
        <v>7.3256690824770363</v>
      </c>
      <c r="U217" s="159">
        <f>M217*$E$19/M229</f>
        <v>6.8203018301713865</v>
      </c>
      <c r="V217" s="160">
        <f>N217*$F$19/N229</f>
        <v>3.0755425345821634</v>
      </c>
      <c r="W217" s="73">
        <f t="shared" si="40"/>
        <v>21.999932485309998</v>
      </c>
    </row>
    <row r="218" spans="1:23" x14ac:dyDescent="0.25">
      <c r="A218" s="118">
        <v>2</v>
      </c>
      <c r="B218" s="118">
        <v>1</v>
      </c>
      <c r="C218" s="158">
        <f>S202*$G$8/$W202</f>
        <v>12.598545096228015</v>
      </c>
      <c r="D218" s="159">
        <f>T202*$G$8/$W202</f>
        <v>11.122626391537731</v>
      </c>
      <c r="E218" s="159">
        <f>U202*$G$8/$W202</f>
        <v>3.3613062067663191</v>
      </c>
      <c r="F218" s="160">
        <f>V202*$G$8/$W202</f>
        <v>1.9175223054679358</v>
      </c>
      <c r="G218" s="73">
        <f t="shared" si="38"/>
        <v>29</v>
      </c>
      <c r="I218" s="118">
        <v>2</v>
      </c>
      <c r="J218" s="118">
        <v>1</v>
      </c>
      <c r="K218" s="158">
        <f>C218*$C$15/C225</f>
        <v>12.598604096059004</v>
      </c>
      <c r="L218" s="159">
        <f>D218*$D$15/D225</f>
        <v>11.122683406198622</v>
      </c>
      <c r="M218" s="159">
        <f>E218*$E$15/E225</f>
        <v>3.3613082458402435</v>
      </c>
      <c r="N218" s="160">
        <f>F218*$F$15/F225</f>
        <v>1.9174812451791929</v>
      </c>
      <c r="O218" s="73">
        <f t="shared" si="39"/>
        <v>29.000076993277059</v>
      </c>
      <c r="Q218" s="118">
        <v>2</v>
      </c>
      <c r="R218" s="118">
        <v>1</v>
      </c>
      <c r="S218" s="158">
        <f>K218*$C$18/K228</f>
        <v>12.598611692837538</v>
      </c>
      <c r="T218" s="159">
        <f>L218*$D$18/L228</f>
        <v>11.122681671765069</v>
      </c>
      <c r="U218" s="159">
        <f>M218*$E$18/M228</f>
        <v>3.3613081011123187</v>
      </c>
      <c r="V218" s="160">
        <f>N218*$F$18/N228</f>
        <v>1.9175127892483224</v>
      </c>
      <c r="W218" s="73">
        <f t="shared" si="40"/>
        <v>29.00011425496325</v>
      </c>
    </row>
    <row r="219" spans="1:23" x14ac:dyDescent="0.25">
      <c r="A219" s="118">
        <v>2</v>
      </c>
      <c r="B219" s="118">
        <v>2</v>
      </c>
      <c r="C219" s="158">
        <f>S203*$G$9/$W203</f>
        <v>2.401384658095711</v>
      </c>
      <c r="D219" s="159">
        <f>T203*$G$9/$W203</f>
        <v>2.8773018447319418</v>
      </c>
      <c r="E219" s="159">
        <f>U203*$G$9/$W203</f>
        <v>9.6386859070301316</v>
      </c>
      <c r="F219" s="160">
        <f>V203*$G$9/$W203</f>
        <v>5.0826275901422155</v>
      </c>
      <c r="G219" s="73">
        <f t="shared" si="38"/>
        <v>20</v>
      </c>
      <c r="I219" s="118">
        <v>2</v>
      </c>
      <c r="J219" s="118">
        <v>2</v>
      </c>
      <c r="K219" s="158">
        <f>C219*$C$15/C225</f>
        <v>2.4013959039409958</v>
      </c>
      <c r="L219" s="159">
        <f>D219*$D$15/D225</f>
        <v>2.8773165938013778</v>
      </c>
      <c r="M219" s="159">
        <f>E219*$E$15/E225</f>
        <v>9.6386917541597565</v>
      </c>
      <c r="N219" s="160">
        <f>F219*$F$15/F225</f>
        <v>5.0825187548208062</v>
      </c>
      <c r="O219" s="73">
        <f t="shared" si="39"/>
        <v>19.999923006722938</v>
      </c>
      <c r="Q219" s="118">
        <v>2</v>
      </c>
      <c r="R219" s="118">
        <v>2</v>
      </c>
      <c r="S219" s="158">
        <f>K219*$C$19/K229</f>
        <v>2.4013941411516493</v>
      </c>
      <c r="T219" s="159">
        <f>L219*$D$19/L229</f>
        <v>2.8773171322163607</v>
      </c>
      <c r="U219" s="159">
        <f>M219*$E$19/M229</f>
        <v>9.6386921899238285</v>
      </c>
      <c r="V219" s="160">
        <f>N219*$F$19/N229</f>
        <v>5.0825791839921566</v>
      </c>
      <c r="W219" s="73">
        <f t="shared" si="40"/>
        <v>19.999982647283996</v>
      </c>
    </row>
    <row r="220" spans="1:23" x14ac:dyDescent="0.25">
      <c r="A220" s="118">
        <v>3</v>
      </c>
      <c r="B220" s="118">
        <v>1</v>
      </c>
      <c r="C220" s="158">
        <f>S204*$G$10/$W204</f>
        <v>8.1797548109060454</v>
      </c>
      <c r="D220" s="159">
        <f>T204*$G$10/$W204</f>
        <v>6.2029544573201356</v>
      </c>
      <c r="E220" s="159">
        <f>U204*$G$10/$W204</f>
        <v>12.458897154828007</v>
      </c>
      <c r="F220" s="160">
        <f>V204*$G$10/$W204</f>
        <v>6.1583935769458069</v>
      </c>
      <c r="G220" s="73">
        <f t="shared" si="38"/>
        <v>32.999999999999993</v>
      </c>
      <c r="I220" s="118">
        <v>3</v>
      </c>
      <c r="J220" s="118">
        <v>1</v>
      </c>
      <c r="K220" s="158">
        <f>C220*$C$16/C226</f>
        <v>8.1798015661200321</v>
      </c>
      <c r="L220" s="159">
        <f>D220*$D$16/D226</f>
        <v>6.2029880479494359</v>
      </c>
      <c r="M220" s="159">
        <f>E220*$E$16/E226</f>
        <v>12.458994180183657</v>
      </c>
      <c r="N220" s="160">
        <f>F220*$F$16/F226</f>
        <v>6.158286291167129</v>
      </c>
      <c r="O220" s="73">
        <f t="shared" si="39"/>
        <v>33.000070085420255</v>
      </c>
      <c r="Q220" s="118">
        <v>3</v>
      </c>
      <c r="R220" s="118">
        <v>1</v>
      </c>
      <c r="S220" s="158">
        <f>K220*$C$18/K228</f>
        <v>8.1798064984236802</v>
      </c>
      <c r="T220" s="159">
        <f>L220*$D$18/L228</f>
        <v>6.2029870806765031</v>
      </c>
      <c r="U220" s="159">
        <f>M220*$E$18/M228</f>
        <v>12.458993643736465</v>
      </c>
      <c r="V220" s="160">
        <f>N220*$F$18/N228</f>
        <v>6.158387599802599</v>
      </c>
      <c r="W220" s="73">
        <f t="shared" si="40"/>
        <v>33.000174822639252</v>
      </c>
    </row>
    <row r="221" spans="1:23" x14ac:dyDescent="0.25">
      <c r="A221" s="118">
        <v>3</v>
      </c>
      <c r="B221" s="118">
        <v>2</v>
      </c>
      <c r="C221" s="161">
        <f>S205*$G$11/$W205</f>
        <v>15.820108006654181</v>
      </c>
      <c r="D221" s="162">
        <f>T205*$G$11/$W205</f>
        <v>9.7969588989422576</v>
      </c>
      <c r="E221" s="162">
        <f>U205*$G$11/$W205</f>
        <v>3.5409782439667969</v>
      </c>
      <c r="F221" s="163">
        <f>V205*$G$11/$W205</f>
        <v>13.841954850436762</v>
      </c>
      <c r="G221" s="73">
        <f t="shared" si="38"/>
        <v>43</v>
      </c>
      <c r="I221" s="118">
        <v>3</v>
      </c>
      <c r="J221" s="118">
        <v>2</v>
      </c>
      <c r="K221" s="161">
        <f>C221*$C$16/C226</f>
        <v>15.820198433879966</v>
      </c>
      <c r="L221" s="162">
        <f>D221*$D$16/D226</f>
        <v>9.7970119520505641</v>
      </c>
      <c r="M221" s="162">
        <f>E221*$E$16/E226</f>
        <v>3.5410058198163443</v>
      </c>
      <c r="N221" s="163">
        <f>F221*$F$16/F226</f>
        <v>13.841713708832868</v>
      </c>
      <c r="O221" s="73">
        <f t="shared" si="39"/>
        <v>42.999929914579745</v>
      </c>
      <c r="Q221" s="118">
        <v>3</v>
      </c>
      <c r="R221" s="118">
        <v>2</v>
      </c>
      <c r="S221" s="161">
        <f>K221*$C$19/K229</f>
        <v>15.820186820768937</v>
      </c>
      <c r="T221" s="162">
        <f>L221*$D$19/L229</f>
        <v>9.7970137853066035</v>
      </c>
      <c r="U221" s="162">
        <f>M221*$E$19/M229</f>
        <v>3.5410059799047828</v>
      </c>
      <c r="V221" s="163">
        <f>N221*$F$19/N229</f>
        <v>13.84187828142568</v>
      </c>
      <c r="W221" s="73">
        <f t="shared" si="40"/>
        <v>43.000084867406002</v>
      </c>
    </row>
    <row r="222" spans="1:23" x14ac:dyDescent="0.25">
      <c r="C222" s="164">
        <f>SUM(C216:C221)</f>
        <v>50.999944837772233</v>
      </c>
      <c r="D222" s="164">
        <f>SUM(D216:D221)</f>
        <v>43.999996536746409</v>
      </c>
      <c r="E222" s="164">
        <f>SUM(E216:E221)</f>
        <v>40.999993380993281</v>
      </c>
      <c r="F222" s="164">
        <f>SUM(F216:F221)</f>
        <v>39.000065244488077</v>
      </c>
      <c r="G222" s="166">
        <f>SUM(G216:G221)</f>
        <v>175</v>
      </c>
      <c r="K222" s="164">
        <f>SUM(K216:K221)</f>
        <v>51</v>
      </c>
      <c r="L222" s="164">
        <f>SUM(L216:L221)</f>
        <v>44</v>
      </c>
      <c r="M222" s="164">
        <f>SUM(M216:M221)</f>
        <v>41</v>
      </c>
      <c r="N222" s="164">
        <f>SUM(N216:N221)</f>
        <v>38.999458772944422</v>
      </c>
      <c r="O222" s="166">
        <f>SUM(O216:O221)</f>
        <v>174.99945877294442</v>
      </c>
      <c r="S222" s="164">
        <f>SUM(S216:S221)</f>
        <v>51</v>
      </c>
      <c r="T222" s="164">
        <f>SUM(T216:T221)</f>
        <v>44</v>
      </c>
      <c r="U222" s="164">
        <f>SUM(U216:U221)</f>
        <v>40.999999999999993</v>
      </c>
      <c r="V222" s="164">
        <f>SUM(V216:V221)</f>
        <v>39</v>
      </c>
      <c r="W222" s="166">
        <f>SUM(W216:W221)</f>
        <v>175.00000000000003</v>
      </c>
    </row>
    <row r="224" spans="1:23" x14ac:dyDescent="0.25">
      <c r="A224" s="118">
        <v>1</v>
      </c>
      <c r="C224" s="148">
        <f>SUMIF(A216:A221,A224,C216:C221)</f>
        <v>12.000152265888282</v>
      </c>
      <c r="D224" s="149">
        <f>SUMIF(A216:A221,A224,D216:D221)</f>
        <v>14.000154944214341</v>
      </c>
      <c r="E224" s="149">
        <f>SUMIF(A216:A221,A224,E216:E221)</f>
        <v>12.000125868402026</v>
      </c>
      <c r="F224" s="150">
        <f>SUMIF(A216:A221,A224,F216:F221)</f>
        <v>11.999566921495353</v>
      </c>
      <c r="G224" s="165">
        <f>SUM(C224:F224)</f>
        <v>50</v>
      </c>
      <c r="I224" s="118">
        <v>1</v>
      </c>
      <c r="K224" s="148">
        <f>SUMIF(I216:I221,I224,K216:K221)</f>
        <v>12</v>
      </c>
      <c r="L224" s="149">
        <f>SUMIF(I216:I221,I224,L216:L221)</f>
        <v>13.999999999999998</v>
      </c>
      <c r="M224" s="149">
        <f>SUMIF(I216:I221,I224,M216:M221)</f>
        <v>12</v>
      </c>
      <c r="N224" s="150">
        <f>SUMIF(I216:I221,I224,N216:N221)</f>
        <v>11.999458772944426</v>
      </c>
      <c r="O224" s="165">
        <f>SUM(K224:N224)</f>
        <v>49.999458772944422</v>
      </c>
      <c r="Q224" s="118">
        <v>1</v>
      </c>
      <c r="S224" s="148">
        <f>SUMIF(Q216:Q221,Q224,S216:S221)</f>
        <v>12.000000846818198</v>
      </c>
      <c r="T224" s="149">
        <f>SUMIF(Q216:Q221,Q224,T216:T221)</f>
        <v>14.000000330035467</v>
      </c>
      <c r="U224" s="149">
        <f>SUMIF(Q216:Q221,Q224,U216:U221)</f>
        <v>12.000000085322602</v>
      </c>
      <c r="V224" s="150">
        <f>SUMIF(Q216:Q221,Q224,V216:V221)</f>
        <v>11.999642145531244</v>
      </c>
      <c r="W224" s="165">
        <f>SUM(S224:V224)</f>
        <v>49.999643407707509</v>
      </c>
    </row>
    <row r="225" spans="1:23" x14ac:dyDescent="0.25">
      <c r="A225" s="118">
        <v>2</v>
      </c>
      <c r="C225" s="151">
        <f>SUMIF(A216:A221,A225,C216:C221)</f>
        <v>14.999929754323727</v>
      </c>
      <c r="D225" s="73">
        <f>SUMIF(A216:A221,A225,D216:D221)</f>
        <v>13.999928236269673</v>
      </c>
      <c r="E225" s="73">
        <f>SUMIF(A216:A221,A225,E216:E221)</f>
        <v>12.99999211379645</v>
      </c>
      <c r="F225" s="70">
        <f>SUMIF(A216:A221,A225,F216:F221)</f>
        <v>7.0001498956101518</v>
      </c>
      <c r="G225" s="165">
        <f>SUM(C225:F225)</f>
        <v>49</v>
      </c>
      <c r="I225" s="118">
        <v>2</v>
      </c>
      <c r="K225" s="151">
        <f>SUMIF(I216:I221,I225,K216:K221)</f>
        <v>15</v>
      </c>
      <c r="L225" s="73">
        <f>SUMIF(I216:I221,I225,L216:L221)</f>
        <v>14</v>
      </c>
      <c r="M225" s="73">
        <f>SUMIF(I216:I221,I225,M216:M221)</f>
        <v>13</v>
      </c>
      <c r="N225" s="70">
        <f>SUMIF(I216:I221,I225,N216:N221)</f>
        <v>6.9999999999999991</v>
      </c>
      <c r="O225" s="165">
        <f>SUM(K225:N225)</f>
        <v>49</v>
      </c>
      <c r="Q225" s="118">
        <v>2</v>
      </c>
      <c r="S225" s="151">
        <f>SUMIF(Q216:Q221,Q225,S216:S221)</f>
        <v>15.000005833989189</v>
      </c>
      <c r="T225" s="73">
        <f>SUMIF(Q216:Q221,Q225,T216:T221)</f>
        <v>13.999998803981429</v>
      </c>
      <c r="U225" s="73">
        <f>SUMIF(Q216:Q221,Q225,U216:U221)</f>
        <v>13.000000291036148</v>
      </c>
      <c r="V225" s="70">
        <f>SUMIF(Q216:Q221,Q225,V216:V221)</f>
        <v>7.0000919732404787</v>
      </c>
      <c r="W225" s="165">
        <f>SUM(S225:V225)</f>
        <v>49.000096902247243</v>
      </c>
    </row>
    <row r="226" spans="1:23" x14ac:dyDescent="0.25">
      <c r="A226" s="118">
        <v>3</v>
      </c>
      <c r="C226" s="152">
        <f>SUMIF(A216:A221,A226,C216:C221)</f>
        <v>23.999862817560228</v>
      </c>
      <c r="D226" s="153">
        <f>SUMIF(A216:A221,A226,D216:D221)</f>
        <v>15.999913356262393</v>
      </c>
      <c r="E226" s="153">
        <f>SUMIF(A216:A221,A226,E216:E221)</f>
        <v>15.999875398794803</v>
      </c>
      <c r="F226" s="154">
        <f>SUMIF(A216:A221,A226,F216:F221)</f>
        <v>20.000348427382569</v>
      </c>
      <c r="G226" s="165">
        <f>SUM(C226:F226)</f>
        <v>76</v>
      </c>
      <c r="I226" s="118">
        <v>3</v>
      </c>
      <c r="K226" s="152">
        <f>SUMIF(I216:I221,I226,K216:K221)</f>
        <v>24</v>
      </c>
      <c r="L226" s="153">
        <f>SUMIF(I216:I221,I226,L216:L221)</f>
        <v>16</v>
      </c>
      <c r="M226" s="153">
        <f>SUMIF(I216:I221,I226,M216:M221)</f>
        <v>16</v>
      </c>
      <c r="N226" s="154">
        <f>SUMIF(I216:I221,I226,N216:N221)</f>
        <v>19.999999999999996</v>
      </c>
      <c r="O226" s="165">
        <f>SUM(K226:N226)</f>
        <v>76</v>
      </c>
      <c r="Q226" s="118">
        <v>3</v>
      </c>
      <c r="S226" s="152">
        <f>SUMIF(Q216:Q221,Q226,S216:S221)</f>
        <v>23.999993319192619</v>
      </c>
      <c r="T226" s="153">
        <f>SUMIF(Q216:Q221,Q226,T216:T221)</f>
        <v>16.000000865983107</v>
      </c>
      <c r="U226" s="153">
        <f>SUMIF(Q216:Q221,Q226,U216:U221)</f>
        <v>15.999999623641248</v>
      </c>
      <c r="V226" s="154">
        <f>SUMIF(Q216:Q221,Q226,V216:V221)</f>
        <v>20.00026588122828</v>
      </c>
      <c r="W226" s="165">
        <f>SUM(S226:V226)</f>
        <v>76.000259690045255</v>
      </c>
    </row>
    <row r="228" spans="1:23" x14ac:dyDescent="0.25">
      <c r="B228" s="118">
        <v>1</v>
      </c>
      <c r="C228" s="148">
        <f>SUMIF(B216:B221,B228,C216:C221)</f>
        <v>27.999968994690157</v>
      </c>
      <c r="D228" s="149">
        <f>SUMIF(B216:B221,B228,D216:D221)</f>
        <v>23.999987004987101</v>
      </c>
      <c r="E228" s="149">
        <f>SUMIF(B216:B221,B228,E216:E221)</f>
        <v>20.999956169798804</v>
      </c>
      <c r="F228" s="150">
        <f>SUMIF(B216:B221,B228,F216:F221)</f>
        <v>17.000087830523931</v>
      </c>
      <c r="G228" s="165">
        <f>SUM(C228:F228)</f>
        <v>90</v>
      </c>
      <c r="J228" s="118">
        <v>1</v>
      </c>
      <c r="K228" s="148">
        <f>SUMIF(J216:J221,J228,K216:K221)</f>
        <v>27.999983116409638</v>
      </c>
      <c r="L228" s="149">
        <f>SUMIF(J216:J221,J228,L216:L221)</f>
        <v>24.000003742479244</v>
      </c>
      <c r="M228" s="149">
        <f>SUMIF(J216:J221,J228,M216:M221)</f>
        <v>21.00000090419751</v>
      </c>
      <c r="N228" s="150">
        <f>SUMIF(J216:J221,J228,N216:N221)</f>
        <v>16.999720341278447</v>
      </c>
      <c r="O228" s="165">
        <f>SUM(K228:N228)</f>
        <v>89.999708104364842</v>
      </c>
      <c r="R228" s="118">
        <v>1</v>
      </c>
      <c r="S228" s="148">
        <f>SUMIF(R216:R221,R228,S216:S221)</f>
        <v>28.000000000000004</v>
      </c>
      <c r="T228" s="149">
        <f>SUMIF(R216:R221,R228,T216:T221)</f>
        <v>24.000000000000004</v>
      </c>
      <c r="U228" s="149">
        <f>SUMIF(R216:R221,R228,U216:U221)</f>
        <v>21</v>
      </c>
      <c r="V228" s="150">
        <f>SUMIF(R216:R221,R228,V216:V221)</f>
        <v>17</v>
      </c>
      <c r="W228" s="165">
        <f>SUM(S228:V228)</f>
        <v>90</v>
      </c>
    </row>
    <row r="229" spans="1:23" x14ac:dyDescent="0.25">
      <c r="B229" s="118">
        <v>2</v>
      </c>
      <c r="C229" s="152">
        <f>SUMIF(B216:B221,B229,C216:C221)</f>
        <v>22.999975843082083</v>
      </c>
      <c r="D229" s="153">
        <f>SUMIF(B216:B221,B229,D216:D221)</f>
        <v>20.000009531759304</v>
      </c>
      <c r="E229" s="153">
        <f>SUMIF(B216:B221,B229,E216:E221)</f>
        <v>20.000037211194478</v>
      </c>
      <c r="F229" s="154">
        <f>SUMIF(B216:B221,B229,F216:F221)</f>
        <v>21.999977413964139</v>
      </c>
      <c r="G229" s="165">
        <f>SUM(C229:F229)</f>
        <v>85</v>
      </c>
      <c r="J229" s="118">
        <v>2</v>
      </c>
      <c r="K229" s="152">
        <f>SUMIF(J216:J221,J229,K216:K221)</f>
        <v>23.000016883590359</v>
      </c>
      <c r="L229" s="153">
        <f>SUMIF(J216:J221,J229,L216:L221)</f>
        <v>19.999996257520753</v>
      </c>
      <c r="M229" s="153">
        <f>SUMIF(J216:J221,J229,M216:M221)</f>
        <v>19.999999095802494</v>
      </c>
      <c r="N229" s="154">
        <f>SUMIF(J216:J221,J229,N216:N221)</f>
        <v>21.999738431665975</v>
      </c>
      <c r="O229" s="165">
        <f>SUM(K229:N229)</f>
        <v>84.99975066857958</v>
      </c>
      <c r="R229" s="118">
        <v>2</v>
      </c>
      <c r="S229" s="152">
        <f>SUMIF(R216:R221,R229,S216:S221)</f>
        <v>23</v>
      </c>
      <c r="T229" s="153">
        <f>SUMIF(R216:R221,R229,T216:T221)</f>
        <v>20</v>
      </c>
      <c r="U229" s="153">
        <f>SUMIF(R216:R221,R229,U216:U221)</f>
        <v>19.999999999999996</v>
      </c>
      <c r="V229" s="154">
        <f>SUMIF(R216:R221,R229,V216:V221)</f>
        <v>22</v>
      </c>
      <c r="W229" s="165">
        <f>SUM(S229:V229)</f>
        <v>85</v>
      </c>
    </row>
    <row r="231" spans="1:23" x14ac:dyDescent="0.25">
      <c r="A231" s="118" t="s">
        <v>21</v>
      </c>
      <c r="B231" s="118" t="s">
        <v>340</v>
      </c>
      <c r="C231">
        <v>1</v>
      </c>
      <c r="D231">
        <f>C231+1</f>
        <v>2</v>
      </c>
      <c r="E231">
        <f>D231+1</f>
        <v>3</v>
      </c>
      <c r="F231">
        <f>E231+1</f>
        <v>4</v>
      </c>
      <c r="I231" s="118" t="s">
        <v>21</v>
      </c>
      <c r="J231" s="118" t="s">
        <v>340</v>
      </c>
      <c r="K231">
        <v>1</v>
      </c>
      <c r="L231">
        <f>K231+1</f>
        <v>2</v>
      </c>
      <c r="M231">
        <f>L231+1</f>
        <v>3</v>
      </c>
      <c r="N231">
        <f>M231+1</f>
        <v>4</v>
      </c>
      <c r="Q231" s="118" t="s">
        <v>21</v>
      </c>
      <c r="R231" s="118" t="s">
        <v>340</v>
      </c>
      <c r="S231">
        <v>1</v>
      </c>
      <c r="T231">
        <f>S231+1</f>
        <v>2</v>
      </c>
      <c r="U231">
        <f>T231+1</f>
        <v>3</v>
      </c>
      <c r="V231">
        <f>U231+1</f>
        <v>4</v>
      </c>
    </row>
    <row r="232" spans="1:23" x14ac:dyDescent="0.25">
      <c r="A232" s="118">
        <v>1</v>
      </c>
      <c r="B232" s="118">
        <v>1</v>
      </c>
      <c r="C232" s="155">
        <f>S216*$G$6/$W216</f>
        <v>7.2216563665640852</v>
      </c>
      <c r="D232" s="156">
        <f>T216*$G$6/$W216</f>
        <v>6.6744001554011092</v>
      </c>
      <c r="E232" s="156">
        <f>U216*$G$6/$W216</f>
        <v>5.1797517319445072</v>
      </c>
      <c r="F232" s="157">
        <f>V216*$G$6/$W216</f>
        <v>8.9241917460902975</v>
      </c>
      <c r="G232" s="73">
        <f t="shared" ref="G232:G237" si="41">SUM(C232:F232)</f>
        <v>28</v>
      </c>
      <c r="I232" s="118">
        <v>1</v>
      </c>
      <c r="J232" s="118">
        <v>1</v>
      </c>
      <c r="K232" s="155">
        <f>C232*$C$14/C240</f>
        <v>7.2216021630612053</v>
      </c>
      <c r="L232" s="156">
        <f>D232*$D$14/D240</f>
        <v>6.6743564291542787</v>
      </c>
      <c r="M232" s="156">
        <f>E232*$E$14/E240</f>
        <v>5.179719577686928</v>
      </c>
      <c r="N232" s="157">
        <f>F232*F224/F240</f>
        <v>8.9240602619876945</v>
      </c>
      <c r="O232" s="73">
        <f t="shared" ref="O232:O237" si="42">SUM(K232:N232)</f>
        <v>27.999738431890105</v>
      </c>
      <c r="Q232" s="118">
        <v>1</v>
      </c>
      <c r="R232" s="118">
        <v>1</v>
      </c>
      <c r="S232" s="155">
        <f>K232*$C$18/K244</f>
        <v>7.22160471325377</v>
      </c>
      <c r="T232" s="156">
        <f>L232*$D$18/L244</f>
        <v>6.6743558225272794</v>
      </c>
      <c r="U232" s="156">
        <f>M232*$E$18/M244</f>
        <v>5.1797194805363507</v>
      </c>
      <c r="V232" s="157">
        <f>N232*$F$18/N244</f>
        <v>8.9241480713706043</v>
      </c>
      <c r="W232" s="73">
        <f t="shared" ref="W232:W237" si="43">SUM(S232:V232)</f>
        <v>27.999828087688002</v>
      </c>
    </row>
    <row r="233" spans="1:23" x14ac:dyDescent="0.25">
      <c r="A233" s="118">
        <v>1</v>
      </c>
      <c r="B233" s="118">
        <v>2</v>
      </c>
      <c r="C233" s="158">
        <f>S217*$G$7/$W217</f>
        <v>4.7784337023735093</v>
      </c>
      <c r="D233" s="159">
        <f>T217*$G$7/$W217</f>
        <v>7.3256915639222626</v>
      </c>
      <c r="E233" s="159">
        <f>U217*$G$7/$W217</f>
        <v>6.8203227607157917</v>
      </c>
      <c r="F233" s="160">
        <f>V217*$G$7/$W217</f>
        <v>3.0755519729884382</v>
      </c>
      <c r="G233" s="73">
        <f t="shared" si="41"/>
        <v>22.000000000000004</v>
      </c>
      <c r="I233" s="118">
        <v>1</v>
      </c>
      <c r="J233" s="118">
        <v>2</v>
      </c>
      <c r="K233" s="158">
        <f>C233*$C$14/C240</f>
        <v>4.7783978369387947</v>
      </c>
      <c r="L233" s="159">
        <f>D233*$D$14/D240</f>
        <v>7.3256435708457213</v>
      </c>
      <c r="M233" s="159">
        <f>E233*$E$14/E240</f>
        <v>6.820280422313072</v>
      </c>
      <c r="N233" s="160">
        <f>F233*$F$14/F240</f>
        <v>3.0756176581656787</v>
      </c>
      <c r="O233" s="73">
        <f t="shared" si="42"/>
        <v>21.999939488263269</v>
      </c>
      <c r="Q233" s="118">
        <v>1</v>
      </c>
      <c r="R233" s="118">
        <v>2</v>
      </c>
      <c r="S233" s="158">
        <f>K233*$C$19/K245</f>
        <v>4.7783957826969283</v>
      </c>
      <c r="T233" s="159">
        <f>L233*$D$19/L245</f>
        <v>7.3256443698322506</v>
      </c>
      <c r="U233" s="159">
        <f>M233*$E$19/M245</f>
        <v>6.8202805566299798</v>
      </c>
      <c r="V233" s="160">
        <f>N233*$F$19/N245</f>
        <v>3.0756393005883758</v>
      </c>
      <c r="W233" s="73">
        <f t="shared" si="43"/>
        <v>21.999960009747536</v>
      </c>
    </row>
    <row r="234" spans="1:23" x14ac:dyDescent="0.25">
      <c r="A234" s="118">
        <v>2</v>
      </c>
      <c r="B234" s="118">
        <v>1</v>
      </c>
      <c r="C234" s="158">
        <f>S218*$G$8/$W218</f>
        <v>12.598562056691167</v>
      </c>
      <c r="D234" s="159">
        <f>T218*$G$8/$W218</f>
        <v>11.122637850503729</v>
      </c>
      <c r="E234" s="159">
        <f>U218*$G$8/$W218</f>
        <v>3.3612948581943707</v>
      </c>
      <c r="F234" s="160">
        <f>V218*$G$8/$W218</f>
        <v>1.9175052346107322</v>
      </c>
      <c r="G234" s="73">
        <f t="shared" si="41"/>
        <v>28.999999999999996</v>
      </c>
      <c r="I234" s="118">
        <v>2</v>
      </c>
      <c r="J234" s="118">
        <v>1</v>
      </c>
      <c r="K234" s="158">
        <f>C234*$C$15/C241</f>
        <v>12.598597096430026</v>
      </c>
      <c r="L234" s="159">
        <f>D234*$D$15/D241</f>
        <v>11.122671632293445</v>
      </c>
      <c r="M234" s="159">
        <f>E234*$E$15/E241</f>
        <v>3.3612960447319096</v>
      </c>
      <c r="N234" s="160">
        <f>F234*$F$15/F241</f>
        <v>1.9174809022069492</v>
      </c>
      <c r="O234" s="73">
        <f t="shared" si="42"/>
        <v>29.000045675662331</v>
      </c>
      <c r="Q234" s="118">
        <v>2</v>
      </c>
      <c r="R234" s="118">
        <v>1</v>
      </c>
      <c r="S234" s="158">
        <f>K234*$C$18/K244</f>
        <v>12.598601545421804</v>
      </c>
      <c r="T234" s="159">
        <f>L234*$D$18/L244</f>
        <v>11.12267062136258</v>
      </c>
      <c r="U234" s="159">
        <f>M234*$E$18/M244</f>
        <v>3.3612959816875989</v>
      </c>
      <c r="V234" s="160">
        <f>N234*$F$18/N244</f>
        <v>1.9174997694949123</v>
      </c>
      <c r="W234" s="73">
        <f t="shared" si="43"/>
        <v>29.000067917966899</v>
      </c>
    </row>
    <row r="235" spans="1:23" x14ac:dyDescent="0.25">
      <c r="A235" s="118">
        <v>2</v>
      </c>
      <c r="B235" s="118">
        <v>2</v>
      </c>
      <c r="C235" s="158">
        <f>S219*$G$9/$W219</f>
        <v>2.4013962246889839</v>
      </c>
      <c r="D235" s="159">
        <f>T219*$G$9/$W219</f>
        <v>2.877319628681879</v>
      </c>
      <c r="E235" s="159">
        <f>U219*$G$9/$W219</f>
        <v>9.6387005528054956</v>
      </c>
      <c r="F235" s="160">
        <f>V219*$G$9/$W219</f>
        <v>5.0825835938236397</v>
      </c>
      <c r="G235" s="73">
        <f t="shared" si="41"/>
        <v>19.999999999999996</v>
      </c>
      <c r="I235" s="118">
        <v>2</v>
      </c>
      <c r="J235" s="118">
        <v>2</v>
      </c>
      <c r="K235" s="158">
        <f>C235*$C$15/C241</f>
        <v>2.4014029035699735</v>
      </c>
      <c r="L235" s="159">
        <f>D235*$D$15/D241</f>
        <v>2.8773283677065558</v>
      </c>
      <c r="M235" s="159">
        <f>E235*$E$15/E241</f>
        <v>9.6387039552680918</v>
      </c>
      <c r="N235" s="160">
        <f>F235*$F$15/F241</f>
        <v>5.0825190977930506</v>
      </c>
      <c r="O235" s="73">
        <f t="shared" si="42"/>
        <v>19.999954324337672</v>
      </c>
      <c r="Q235" s="118">
        <v>2</v>
      </c>
      <c r="R235" s="118">
        <v>2</v>
      </c>
      <c r="S235" s="158">
        <f>K235*$C$19/K245</f>
        <v>2.4014018712025251</v>
      </c>
      <c r="T235" s="159">
        <f>L235*$D$19/L245</f>
        <v>2.8773286815283492</v>
      </c>
      <c r="U235" s="159">
        <f>M235*$E$19/M245</f>
        <v>9.6387041450903315</v>
      </c>
      <c r="V235" s="160">
        <f>N235*$F$19/N245</f>
        <v>5.0825548623252219</v>
      </c>
      <c r="W235" s="73">
        <f t="shared" si="43"/>
        <v>19.999989560146428</v>
      </c>
    </row>
    <row r="236" spans="1:23" x14ac:dyDescent="0.25">
      <c r="A236" s="118">
        <v>3</v>
      </c>
      <c r="B236" s="118">
        <v>1</v>
      </c>
      <c r="C236" s="158">
        <f>S220*$G$10/$W220</f>
        <v>8.1797631648544389</v>
      </c>
      <c r="D236" s="159">
        <f>T220*$G$10/$W220</f>
        <v>6.2029542195605085</v>
      </c>
      <c r="E236" s="159">
        <f>U220*$G$10/$W220</f>
        <v>12.458927640626998</v>
      </c>
      <c r="F236" s="160">
        <f>V220*$G$10/$W220</f>
        <v>6.1583549749580486</v>
      </c>
      <c r="G236" s="73">
        <f t="shared" si="41"/>
        <v>32.999999999999993</v>
      </c>
      <c r="I236" s="118">
        <v>3</v>
      </c>
      <c r="J236" s="118">
        <v>1</v>
      </c>
      <c r="K236" s="158">
        <f>C236*$C$16/C242</f>
        <v>8.179790852762947</v>
      </c>
      <c r="L236" s="159">
        <f>D236*$D$16/D242</f>
        <v>6.2029741198935717</v>
      </c>
      <c r="M236" s="159">
        <f>E236*$E$16/E242</f>
        <v>12.458984771456182</v>
      </c>
      <c r="N236" s="160">
        <f>F236*$F$16/F242</f>
        <v>6.1582915638711038</v>
      </c>
      <c r="O236" s="73">
        <f t="shared" si="42"/>
        <v>33.000041307983807</v>
      </c>
      <c r="Q236" s="118">
        <v>3</v>
      </c>
      <c r="R236" s="118">
        <v>1</v>
      </c>
      <c r="S236" s="158">
        <f>K236*$C$18/K244</f>
        <v>8.1797937413244242</v>
      </c>
      <c r="T236" s="159">
        <f>L236*$D$18/L244</f>
        <v>6.2029735561101402</v>
      </c>
      <c r="U236" s="159">
        <f>M236*$E$18/M244</f>
        <v>12.458984537776049</v>
      </c>
      <c r="V236" s="160">
        <f>N236*$F$18/N244</f>
        <v>6.1583521591344841</v>
      </c>
      <c r="W236" s="73">
        <f t="shared" si="43"/>
        <v>33.000103994345096</v>
      </c>
    </row>
    <row r="237" spans="1:23" x14ac:dyDescent="0.25">
      <c r="A237" s="118">
        <v>3</v>
      </c>
      <c r="B237" s="118">
        <v>2</v>
      </c>
      <c r="C237" s="161">
        <f>S221*$G$11/$W221</f>
        <v>15.820155597151073</v>
      </c>
      <c r="D237" s="162">
        <f>T221*$G$11/$W221</f>
        <v>9.7969944493646146</v>
      </c>
      <c r="E237" s="162">
        <f>U221*$G$11/$W221</f>
        <v>3.5409989911745727</v>
      </c>
      <c r="F237" s="163">
        <f>V221*$G$11/$W221</f>
        <v>13.841850962309739</v>
      </c>
      <c r="G237" s="73">
        <f t="shared" si="41"/>
        <v>43</v>
      </c>
      <c r="I237" s="118">
        <v>3</v>
      </c>
      <c r="J237" s="118">
        <v>2</v>
      </c>
      <c r="K237" s="161">
        <f>C237*$C$16/C242</f>
        <v>15.820209147237051</v>
      </c>
      <c r="L237" s="162">
        <f>D237*$D$16/D242</f>
        <v>9.7970258801064283</v>
      </c>
      <c r="M237" s="162">
        <f>E237*$E$16/E242</f>
        <v>3.5410152285438183</v>
      </c>
      <c r="N237" s="163">
        <f>F237*$F$16/F242</f>
        <v>13.841708436128897</v>
      </c>
      <c r="O237" s="73">
        <f t="shared" si="42"/>
        <v>42.999958692016193</v>
      </c>
      <c r="Q237" s="118">
        <v>3</v>
      </c>
      <c r="R237" s="118">
        <v>2</v>
      </c>
      <c r="S237" s="161">
        <f>K237*$C$19/K245</f>
        <v>15.820202346100547</v>
      </c>
      <c r="T237" s="162">
        <f>L237*$D$19/L245</f>
        <v>9.7970269486394006</v>
      </c>
      <c r="U237" s="162">
        <f>M237*$E$19/M245</f>
        <v>3.5410152982796923</v>
      </c>
      <c r="V237" s="163">
        <f>N237*$F$19/N245</f>
        <v>13.841805837086403</v>
      </c>
      <c r="W237" s="73">
        <f t="shared" si="43"/>
        <v>43.000050430106043</v>
      </c>
    </row>
    <row r="238" spans="1:23" x14ac:dyDescent="0.25">
      <c r="C238" s="164">
        <f>SUM(C232:C237)</f>
        <v>50.999967112323255</v>
      </c>
      <c r="D238" s="164">
        <f>SUM(D232:D237)</f>
        <v>43.999997867434104</v>
      </c>
      <c r="E238" s="164">
        <f>SUM(E232:E237)</f>
        <v>40.99999653546174</v>
      </c>
      <c r="F238" s="164">
        <f>SUM(F232:F237)</f>
        <v>39.000038484780895</v>
      </c>
      <c r="G238" s="166">
        <f>SUM(G232:G237)</f>
        <v>175</v>
      </c>
      <c r="K238" s="164">
        <f>SUM(K232:K237)</f>
        <v>51</v>
      </c>
      <c r="L238" s="164">
        <f>SUM(L232:L237)</f>
        <v>44</v>
      </c>
      <c r="M238" s="164">
        <f>SUM(M232:M237)</f>
        <v>41</v>
      </c>
      <c r="N238" s="164">
        <f>SUM(N232:N237)</f>
        <v>38.999677920153374</v>
      </c>
      <c r="O238" s="166">
        <f>SUM(O232:O237)</f>
        <v>174.99967792015337</v>
      </c>
      <c r="S238" s="164">
        <f>SUM(S232:S237)</f>
        <v>51</v>
      </c>
      <c r="T238" s="164">
        <f>SUM(T232:T237)</f>
        <v>44</v>
      </c>
      <c r="U238" s="164">
        <f>SUM(U232:U237)</f>
        <v>41</v>
      </c>
      <c r="V238" s="164">
        <f>SUM(V232:V237)</f>
        <v>39</v>
      </c>
      <c r="W238" s="166">
        <f>SUM(W232:W237)</f>
        <v>175</v>
      </c>
    </row>
    <row r="240" spans="1:23" x14ac:dyDescent="0.25">
      <c r="A240" s="118">
        <v>1</v>
      </c>
      <c r="C240" s="148">
        <f>SUMIF(A232:A237,A240,C232:C237)</f>
        <v>12.000090068937595</v>
      </c>
      <c r="D240" s="149">
        <f>SUMIF(A232:A237,A240,D232:D237)</f>
        <v>14.000091719323372</v>
      </c>
      <c r="E240" s="149">
        <f>SUMIF(A232:A237,A240,E232:E237)</f>
        <v>12.0000744926603</v>
      </c>
      <c r="F240" s="150">
        <f>SUMIF(A232:A237,A240,F232:F237)</f>
        <v>11.999743719078737</v>
      </c>
      <c r="G240" s="165">
        <f>SUM(C240:F240)</f>
        <v>50</v>
      </c>
      <c r="I240" s="118">
        <v>1</v>
      </c>
      <c r="K240" s="148">
        <f>SUMIF(I232:I237,I240,K232:K237)</f>
        <v>12</v>
      </c>
      <c r="L240" s="149">
        <f>SUMIF(I232:I237,I240,L232:L237)</f>
        <v>14</v>
      </c>
      <c r="M240" s="149">
        <f>SUMIF(I232:I237,I240,M232:M237)</f>
        <v>12</v>
      </c>
      <c r="N240" s="150">
        <f>SUMIF(I232:I237,I240,N232:N237)</f>
        <v>11.999677920153374</v>
      </c>
      <c r="O240" s="165">
        <f>SUM(K240:N240)</f>
        <v>49.999677920153374</v>
      </c>
      <c r="Q240" s="118">
        <v>1</v>
      </c>
      <c r="S240" s="148">
        <f>SUMIF(Q232:Q237,Q240,S232:S237)</f>
        <v>12.000000495950697</v>
      </c>
      <c r="T240" s="149">
        <f>SUMIF(Q232:Q237,Q240,T232:T237)</f>
        <v>14.000000192359529</v>
      </c>
      <c r="U240" s="149">
        <f>SUMIF(Q232:Q237,Q240,U232:U237)</f>
        <v>12.00000003716633</v>
      </c>
      <c r="V240" s="150">
        <f>SUMIF(Q232:Q237,Q240,V232:V237)</f>
        <v>11.99978737195898</v>
      </c>
      <c r="W240" s="165">
        <f>SUM(S240:V240)</f>
        <v>49.999788097435534</v>
      </c>
    </row>
    <row r="241" spans="1:23" x14ac:dyDescent="0.25">
      <c r="A241" s="118">
        <v>2</v>
      </c>
      <c r="C241" s="151">
        <f>SUMIF(A232:A237,A241,C232:C237)</f>
        <v>14.999958281380151</v>
      </c>
      <c r="D241" s="73">
        <f>SUMIF(A232:A237,A241,D232:D237)</f>
        <v>13.999957479185607</v>
      </c>
      <c r="E241" s="73">
        <f>SUMIF(A232:A237,A241,E232:E237)</f>
        <v>12.999995410999865</v>
      </c>
      <c r="F241" s="70">
        <f>SUMIF(A232:A237,A241,F232:F237)</f>
        <v>7.0000888284343716</v>
      </c>
      <c r="G241" s="165">
        <f>SUM(C241:F241)</f>
        <v>48.999999999999993</v>
      </c>
      <c r="I241" s="118">
        <v>2</v>
      </c>
      <c r="K241" s="151">
        <f>SUMIF(I232:I237,I241,K232:K237)</f>
        <v>15</v>
      </c>
      <c r="L241" s="73">
        <f>SUMIF(I232:I237,I241,L232:L237)</f>
        <v>14</v>
      </c>
      <c r="M241" s="73">
        <f>SUMIF(I232:I237,I241,M232:M237)</f>
        <v>13.000000000000002</v>
      </c>
      <c r="N241" s="70">
        <f>SUMIF(I232:I237,I241,N232:N237)</f>
        <v>7</v>
      </c>
      <c r="O241" s="165">
        <f>SUM(K241:N241)</f>
        <v>49</v>
      </c>
      <c r="Q241" s="118">
        <v>2</v>
      </c>
      <c r="S241" s="151">
        <f>SUMIF(Q232:Q237,Q241,S232:S237)</f>
        <v>15.000003416624329</v>
      </c>
      <c r="T241" s="73">
        <f>SUMIF(Q232:Q237,Q241,T232:T237)</f>
        <v>13.999999302890929</v>
      </c>
      <c r="U241" s="73">
        <f>SUMIF(Q232:Q237,Q241,U232:U237)</f>
        <v>13.00000012677793</v>
      </c>
      <c r="V241" s="70">
        <f>SUMIF(Q232:Q237,Q241,V232:V237)</f>
        <v>7.0000546318201344</v>
      </c>
      <c r="W241" s="165">
        <f>SUM(S241:V241)</f>
        <v>49.00005747811332</v>
      </c>
    </row>
    <row r="242" spans="1:23" x14ac:dyDescent="0.25">
      <c r="A242" s="118">
        <v>3</v>
      </c>
      <c r="C242" s="152">
        <f>SUMIF(A232:A237,A242,C232:C237)</f>
        <v>23.999918762005514</v>
      </c>
      <c r="D242" s="153">
        <f>SUMIF(A232:A237,A242,D232:D237)</f>
        <v>15.999948668925123</v>
      </c>
      <c r="E242" s="153">
        <f>SUMIF(A232:A237,A242,E232:E237)</f>
        <v>15.999926631801571</v>
      </c>
      <c r="F242" s="154">
        <f>SUMIF(A232:A237,A242,F232:F237)</f>
        <v>20.000205937267786</v>
      </c>
      <c r="G242" s="165">
        <f>SUM(C242:F242)</f>
        <v>76</v>
      </c>
      <c r="I242" s="118">
        <v>3</v>
      </c>
      <c r="K242" s="152">
        <f>SUMIF(I232:I237,I242,K232:K237)</f>
        <v>24</v>
      </c>
      <c r="L242" s="153">
        <f>SUMIF(I232:I237,I242,L232:L237)</f>
        <v>16</v>
      </c>
      <c r="M242" s="153">
        <f>SUMIF(I232:I237,I242,M232:M237)</f>
        <v>16</v>
      </c>
      <c r="N242" s="154">
        <f>SUMIF(I232:I237,I242,N232:N237)</f>
        <v>20</v>
      </c>
      <c r="O242" s="165">
        <f>SUM(K242:N242)</f>
        <v>76</v>
      </c>
      <c r="Q242" s="118">
        <v>3</v>
      </c>
      <c r="S242" s="152">
        <f>SUMIF(Q232:Q237,Q242,S232:S237)</f>
        <v>23.999996087424972</v>
      </c>
      <c r="T242" s="153">
        <f>SUMIF(Q232:Q237,Q242,T232:T237)</f>
        <v>16.00000050474954</v>
      </c>
      <c r="U242" s="153">
        <f>SUMIF(Q232:Q237,Q242,U232:U237)</f>
        <v>15.999999836055741</v>
      </c>
      <c r="V242" s="154">
        <f>SUMIF(Q232:Q237,Q242,V232:V237)</f>
        <v>20.000157996220885</v>
      </c>
      <c r="W242" s="165">
        <f>SUM(S242:V242)</f>
        <v>76.000154424451139</v>
      </c>
    </row>
    <row r="244" spans="1:23" x14ac:dyDescent="0.25">
      <c r="B244" s="118">
        <v>1</v>
      </c>
      <c r="C244" s="148">
        <f>SUMIF(B232:B237,B244,C232:C237)</f>
        <v>27.999981588109691</v>
      </c>
      <c r="D244" s="149">
        <f>SUMIF(B232:B237,B244,D232:D237)</f>
        <v>23.999992225465348</v>
      </c>
      <c r="E244" s="149">
        <f>SUMIF(B232:B237,B244,E232:E237)</f>
        <v>20.999974230765876</v>
      </c>
      <c r="F244" s="150">
        <f>SUMIF(B232:B237,B244,F232:F237)</f>
        <v>17.000051955659078</v>
      </c>
      <c r="G244" s="165">
        <f>SUM(C244:F244)</f>
        <v>89.999999999999986</v>
      </c>
      <c r="J244" s="118">
        <v>1</v>
      </c>
      <c r="K244" s="148">
        <f>SUMIF(J232:J237,J244,K232:K237)</f>
        <v>27.999990112254181</v>
      </c>
      <c r="L244" s="149">
        <f>SUMIF(J232:J237,J244,L232:L237)</f>
        <v>24.000002181341294</v>
      </c>
      <c r="M244" s="149">
        <f>SUMIF(J232:J237,J244,M232:M237)</f>
        <v>21.00000039387502</v>
      </c>
      <c r="N244" s="150">
        <f>SUMIF(J232:J237,J244,N232:N237)</f>
        <v>16.999832728065748</v>
      </c>
      <c r="O244" s="165">
        <f>SUM(K244:N244)</f>
        <v>89.999825415536236</v>
      </c>
      <c r="R244" s="118">
        <v>1</v>
      </c>
      <c r="S244" s="148">
        <f>SUMIF(R232:R237,R244,S232:S237)</f>
        <v>28</v>
      </c>
      <c r="T244" s="149">
        <f>SUMIF(R232:R237,R244,T232:T237)</f>
        <v>24</v>
      </c>
      <c r="U244" s="149">
        <f>SUMIF(R232:R237,R244,U232:U237)</f>
        <v>21</v>
      </c>
      <c r="V244" s="150">
        <f>SUMIF(R232:R237,R244,V232:V237)</f>
        <v>17</v>
      </c>
      <c r="W244" s="165">
        <f>SUM(S244:V244)</f>
        <v>90</v>
      </c>
    </row>
    <row r="245" spans="1:23" x14ac:dyDescent="0.25">
      <c r="B245" s="118">
        <v>2</v>
      </c>
      <c r="C245" s="152">
        <f>SUMIF(B232:B237,B245,C232:C237)</f>
        <v>22.999985524213567</v>
      </c>
      <c r="D245" s="153">
        <f>SUMIF(B232:B237,B245,D232:D237)</f>
        <v>20.000005641968755</v>
      </c>
      <c r="E245" s="153">
        <f>SUMIF(B232:B237,B245,E232:E237)</f>
        <v>20.000022304695857</v>
      </c>
      <c r="F245" s="154">
        <f>SUMIF(B232:B237,B245,F232:F237)</f>
        <v>21.999986529121816</v>
      </c>
      <c r="G245" s="165">
        <f>SUM(C245:F245)</f>
        <v>85</v>
      </c>
      <c r="J245" s="118">
        <v>2</v>
      </c>
      <c r="K245" s="152">
        <f>SUMIF(J232:J237,J245,K232:K237)</f>
        <v>23.000009887745819</v>
      </c>
      <c r="L245" s="153">
        <f>SUMIF(J232:J237,J245,L232:L237)</f>
        <v>19.999997818658706</v>
      </c>
      <c r="M245" s="153">
        <f>SUMIF(J232:J237,J245,M232:M237)</f>
        <v>19.99999960612498</v>
      </c>
      <c r="N245" s="154">
        <f>SUMIF(J232:J237,J245,N232:N237)</f>
        <v>21.999845192087626</v>
      </c>
      <c r="O245" s="165">
        <f>SUM(K245:N245)</f>
        <v>84.999852504617138</v>
      </c>
      <c r="R245" s="118">
        <v>2</v>
      </c>
      <c r="S245" s="152">
        <f>SUMIF(R232:R237,R245,S232:S237)</f>
        <v>23</v>
      </c>
      <c r="T245" s="153">
        <f>SUMIF(R232:R237,R245,T232:T237)</f>
        <v>20</v>
      </c>
      <c r="U245" s="153">
        <f>SUMIF(R232:R237,R245,U232:U237)</f>
        <v>20.000000000000004</v>
      </c>
      <c r="V245" s="154">
        <f>SUMIF(R232:R237,R245,V232:V237)</f>
        <v>22</v>
      </c>
      <c r="W245" s="165">
        <f>SUM(S245:V245)</f>
        <v>85</v>
      </c>
    </row>
    <row r="247" spans="1:23" x14ac:dyDescent="0.25">
      <c r="A247" s="118" t="s">
        <v>21</v>
      </c>
      <c r="B247" s="118" t="s">
        <v>340</v>
      </c>
      <c r="C247">
        <v>1</v>
      </c>
      <c r="D247">
        <f>C247+1</f>
        <v>2</v>
      </c>
      <c r="E247">
        <f>D247+1</f>
        <v>3</v>
      </c>
      <c r="F247">
        <f>E247+1</f>
        <v>4</v>
      </c>
      <c r="I247" s="118" t="s">
        <v>21</v>
      </c>
      <c r="J247" s="118" t="s">
        <v>340</v>
      </c>
      <c r="K247">
        <v>1</v>
      </c>
      <c r="L247">
        <f>K247+1</f>
        <v>2</v>
      </c>
      <c r="M247">
        <f>L247+1</f>
        <v>3</v>
      </c>
      <c r="N247">
        <f>M247+1</f>
        <v>4</v>
      </c>
      <c r="Q247" s="118" t="s">
        <v>21</v>
      </c>
      <c r="R247" s="118" t="s">
        <v>340</v>
      </c>
      <c r="S247">
        <v>1</v>
      </c>
      <c r="T247">
        <f>S247+1</f>
        <v>2</v>
      </c>
      <c r="U247">
        <f>T247+1</f>
        <v>3</v>
      </c>
      <c r="V247">
        <f>U247+1</f>
        <v>4</v>
      </c>
    </row>
    <row r="248" spans="1:23" x14ac:dyDescent="0.25">
      <c r="A248" s="118">
        <v>1</v>
      </c>
      <c r="B248" s="118">
        <v>1</v>
      </c>
      <c r="C248" s="155">
        <f>S232*$G$6/$W232</f>
        <v>7.2216490521960921</v>
      </c>
      <c r="D248" s="156">
        <f>T232*$G$6/$W232</f>
        <v>6.6743968014910413</v>
      </c>
      <c r="E248" s="156">
        <f>U232*$G$6/$W232</f>
        <v>5.1797512827870156</v>
      </c>
      <c r="F248" s="157">
        <f>V232*$G$6/$W232</f>
        <v>8.9242028635258546</v>
      </c>
      <c r="G248" s="73">
        <f t="shared" ref="G248:G253" si="44">SUM(C248:F248)</f>
        <v>28.000000000000007</v>
      </c>
      <c r="I248" s="118">
        <v>1</v>
      </c>
      <c r="J248" s="118">
        <v>1</v>
      </c>
      <c r="K248" s="155">
        <f>C248*$C$14/C256</f>
        <v>7.2216168433131713</v>
      </c>
      <c r="L248" s="156">
        <f>D248*$D$14/D256</f>
        <v>6.6743708250995537</v>
      </c>
      <c r="M248" s="156">
        <f>E248*$E$14/E256</f>
        <v>5.1797321881671241</v>
      </c>
      <c r="N248" s="157">
        <f>F248*F240/F256</f>
        <v>8.9241254928628084</v>
      </c>
      <c r="O248" s="73">
        <f t="shared" ref="O248:O253" si="45">SUM(K248:N248)</f>
        <v>27.999845349442658</v>
      </c>
      <c r="Q248" s="118">
        <v>1</v>
      </c>
      <c r="R248" s="118">
        <v>1</v>
      </c>
      <c r="S248" s="155">
        <f>K248*$C$18/K260</f>
        <v>7.2216183523156694</v>
      </c>
      <c r="T248" s="156">
        <f>L248*$D$18/L260</f>
        <v>6.6743704638839123</v>
      </c>
      <c r="U248" s="156">
        <f>M248*$E$18/M260</f>
        <v>5.1797321365257414</v>
      </c>
      <c r="V248" s="157">
        <f>N248*$F$18/N260</f>
        <v>8.9241772599571334</v>
      </c>
      <c r="W248" s="73">
        <f t="shared" ref="W248:W253" si="46">SUM(S248:V248)</f>
        <v>27.999898212682456</v>
      </c>
    </row>
    <row r="249" spans="1:23" x14ac:dyDescent="0.25">
      <c r="A249" s="118">
        <v>1</v>
      </c>
      <c r="B249" s="118">
        <v>2</v>
      </c>
      <c r="C249" s="158">
        <f>S233*$G$7/$W233</f>
        <v>4.7784044685878859</v>
      </c>
      <c r="D249" s="159">
        <f>T233*$G$7/$W233</f>
        <v>7.3256576859640843</v>
      </c>
      <c r="E249" s="159">
        <f>U233*$G$7/$W233</f>
        <v>6.8202929541407586</v>
      </c>
      <c r="F249" s="160">
        <f>V233*$G$7/$W233</f>
        <v>3.0756448913072711</v>
      </c>
      <c r="G249" s="73">
        <f t="shared" si="44"/>
        <v>22</v>
      </c>
      <c r="I249" s="118">
        <v>1</v>
      </c>
      <c r="J249" s="118">
        <v>2</v>
      </c>
      <c r="K249" s="158">
        <f>C249*$C$14/C256</f>
        <v>4.7783831566868278</v>
      </c>
      <c r="L249" s="159">
        <f>D249*$D$14/D256</f>
        <v>7.3256291749004463</v>
      </c>
      <c r="M249" s="159">
        <f>E249*$E$14/E256</f>
        <v>6.8202678118328759</v>
      </c>
      <c r="N249" s="160">
        <f>F249*$F$14/F256</f>
        <v>3.075683912808151</v>
      </c>
      <c r="O249" s="73">
        <f t="shared" si="45"/>
        <v>21.999964056228301</v>
      </c>
      <c r="Q249" s="118">
        <v>1</v>
      </c>
      <c r="R249" s="118">
        <v>2</v>
      </c>
      <c r="S249" s="158">
        <f>K249*$C$19/K261</f>
        <v>4.7783819411545911</v>
      </c>
      <c r="T249" s="159">
        <f>L249*$D$19/L261</f>
        <v>7.3256296506544416</v>
      </c>
      <c r="U249" s="159">
        <f>M249*$E$19/M261</f>
        <v>6.8202678832300947</v>
      </c>
      <c r="V249" s="160">
        <f>N249*$F$19/N261</f>
        <v>3.0756967721914079</v>
      </c>
      <c r="W249" s="73">
        <f t="shared" si="46"/>
        <v>21.999976247230535</v>
      </c>
    </row>
    <row r="250" spans="1:23" x14ac:dyDescent="0.25">
      <c r="A250" s="118">
        <v>2</v>
      </c>
      <c r="B250" s="118">
        <v>1</v>
      </c>
      <c r="C250" s="158">
        <f>S234*$G$8/$W234</f>
        <v>12.598572039580468</v>
      </c>
      <c r="D250" s="159">
        <f>T234*$G$8/$W234</f>
        <v>11.122644572141688</v>
      </c>
      <c r="E250" s="159">
        <f>U234*$G$8/$W234</f>
        <v>3.3612881095546832</v>
      </c>
      <c r="F250" s="160">
        <f>V234*$G$8/$W234</f>
        <v>1.9174952787231583</v>
      </c>
      <c r="G250" s="73">
        <f t="shared" si="44"/>
        <v>28.999999999999996</v>
      </c>
      <c r="I250" s="118">
        <v>2</v>
      </c>
      <c r="J250" s="118">
        <v>1</v>
      </c>
      <c r="K250" s="158">
        <f>C250*$C$15/C257</f>
        <v>12.598592899240526</v>
      </c>
      <c r="L250" s="159">
        <f>D250*$D$15/D257</f>
        <v>11.122664628200578</v>
      </c>
      <c r="M250" s="159">
        <f>E250*$E$15/E257</f>
        <v>3.3612888112933699</v>
      </c>
      <c r="N250" s="160">
        <f>F250*$F$15/F257</f>
        <v>1.9174808170537474</v>
      </c>
      <c r="O250" s="73">
        <f t="shared" si="45"/>
        <v>29.000027155788221</v>
      </c>
      <c r="Q250" s="118">
        <v>2</v>
      </c>
      <c r="R250" s="118">
        <v>1</v>
      </c>
      <c r="S250" s="158">
        <f>K250*$C$18/K260</f>
        <v>12.598595531796166</v>
      </c>
      <c r="T250" s="159">
        <f>L250*$D$18/L260</f>
        <v>11.122664026244147</v>
      </c>
      <c r="U250" s="159">
        <f>M250*$E$18/M260</f>
        <v>3.3612887777816756</v>
      </c>
      <c r="V250" s="160">
        <f>N250*$F$18/N260</f>
        <v>1.9174919399823078</v>
      </c>
      <c r="W250" s="73">
        <f t="shared" si="46"/>
        <v>29.000040275804299</v>
      </c>
    </row>
    <row r="251" spans="1:23" x14ac:dyDescent="0.25">
      <c r="A251" s="118">
        <v>2</v>
      </c>
      <c r="B251" s="118">
        <v>2</v>
      </c>
      <c r="C251" s="158">
        <f>S235*$G$9/$W235</f>
        <v>2.4014031247173744</v>
      </c>
      <c r="D251" s="159">
        <f>T235*$G$9/$W235</f>
        <v>2.8773301834736387</v>
      </c>
      <c r="E251" s="159">
        <f>U235*$G$9/$W235</f>
        <v>9.6387091764259516</v>
      </c>
      <c r="F251" s="160">
        <f>V235*$G$9/$W235</f>
        <v>5.0825575153830336</v>
      </c>
      <c r="G251" s="73">
        <f t="shared" si="44"/>
        <v>20</v>
      </c>
      <c r="I251" s="118">
        <v>2</v>
      </c>
      <c r="J251" s="118">
        <v>2</v>
      </c>
      <c r="K251" s="158">
        <f>C251*$C$15/C257</f>
        <v>2.4014071007594753</v>
      </c>
      <c r="L251" s="159">
        <f>D251*$D$15/D257</f>
        <v>2.8773353717994214</v>
      </c>
      <c r="M251" s="159">
        <f>E251*$E$15/E257</f>
        <v>9.6387111887066297</v>
      </c>
      <c r="N251" s="160">
        <f>F251*$F$15/F257</f>
        <v>5.0825191829462533</v>
      </c>
      <c r="O251" s="73">
        <f t="shared" si="45"/>
        <v>19.999972844211779</v>
      </c>
      <c r="Q251" s="118">
        <v>2</v>
      </c>
      <c r="R251" s="118">
        <v>2</v>
      </c>
      <c r="S251" s="158">
        <f>K251*$C$19/K261</f>
        <v>2.4014064898859542</v>
      </c>
      <c r="T251" s="159">
        <f>L251*$D$19/L261</f>
        <v>2.8773355586644356</v>
      </c>
      <c r="U251" s="159">
        <f>M251*$E$19/M261</f>
        <v>9.6387112896084108</v>
      </c>
      <c r="V251" s="160">
        <f>N251*$F$19/N261</f>
        <v>5.0825404328743788</v>
      </c>
      <c r="W251" s="73">
        <f t="shared" si="46"/>
        <v>19.999993771033179</v>
      </c>
    </row>
    <row r="252" spans="1:23" x14ac:dyDescent="0.25">
      <c r="A252" s="118">
        <v>3</v>
      </c>
      <c r="B252" s="118">
        <v>1</v>
      </c>
      <c r="C252" s="158">
        <f>S236*$G$10/$W236</f>
        <v>8.1797679640634406</v>
      </c>
      <c r="D252" s="159">
        <f>T236*$G$10/$W236</f>
        <v>6.2029540084695416</v>
      </c>
      <c r="E252" s="159">
        <f>U236*$G$10/$W236</f>
        <v>12.458945275356216</v>
      </c>
      <c r="F252" s="160">
        <f>V236*$G$10/$W236</f>
        <v>6.1583327521108044</v>
      </c>
      <c r="G252" s="73">
        <f t="shared" si="44"/>
        <v>33</v>
      </c>
      <c r="I252" s="118">
        <v>3</v>
      </c>
      <c r="J252" s="118">
        <v>1</v>
      </c>
      <c r="K252" s="158">
        <f>C252*$C$16/C258</f>
        <v>8.1797844066704979</v>
      </c>
      <c r="L252" s="159">
        <f>D252*$D$16/D258</f>
        <v>6.2029658455752354</v>
      </c>
      <c r="M252" s="159">
        <f>E252*$E$16/E258</f>
        <v>12.458979209907291</v>
      </c>
      <c r="N252" s="160">
        <f>F252*$F$16/F258</f>
        <v>6.1582950770037286</v>
      </c>
      <c r="O252" s="73">
        <f t="shared" si="45"/>
        <v>33.000024539156755</v>
      </c>
      <c r="Q252" s="118">
        <v>3</v>
      </c>
      <c r="R252" s="118">
        <v>1</v>
      </c>
      <c r="S252" s="158">
        <f>K252*$C$18/K260</f>
        <v>8.1797861158881666</v>
      </c>
      <c r="T252" s="159">
        <f>L252*$D$18/L260</f>
        <v>6.2029655098719392</v>
      </c>
      <c r="U252" s="159">
        <f>M252*$E$18/M260</f>
        <v>12.458979085692585</v>
      </c>
      <c r="V252" s="160">
        <f>N252*$F$18/N260</f>
        <v>6.1583308000605577</v>
      </c>
      <c r="W252" s="73">
        <f t="shared" si="46"/>
        <v>33.000061511513252</v>
      </c>
    </row>
    <row r="253" spans="1:23" x14ac:dyDescent="0.25">
      <c r="A253" s="118">
        <v>3</v>
      </c>
      <c r="B253" s="118">
        <v>2</v>
      </c>
      <c r="C253" s="161">
        <f>S237*$G$11/$W237</f>
        <v>15.820183792297145</v>
      </c>
      <c r="D253" s="162">
        <f>T237*$G$11/$W237</f>
        <v>9.797015458766646</v>
      </c>
      <c r="E253" s="162">
        <f>U237*$G$11/$W237</f>
        <v>3.5410111454060278</v>
      </c>
      <c r="F253" s="163">
        <f>V237*$G$11/$W237</f>
        <v>13.841789603530181</v>
      </c>
      <c r="G253" s="73">
        <f t="shared" si="44"/>
        <v>43</v>
      </c>
      <c r="I253" s="118">
        <v>3</v>
      </c>
      <c r="J253" s="118">
        <v>2</v>
      </c>
      <c r="K253" s="161">
        <f>C253*$C$16/C258</f>
        <v>15.8202155933295</v>
      </c>
      <c r="L253" s="162">
        <f>D253*$D$16/D258</f>
        <v>9.7970341544247646</v>
      </c>
      <c r="M253" s="162">
        <f>E253*$E$16/E258</f>
        <v>3.5410207900927095</v>
      </c>
      <c r="N253" s="163">
        <f>F253*$F$16/F258</f>
        <v>13.84170492299627</v>
      </c>
      <c r="O253" s="73">
        <f t="shared" si="45"/>
        <v>42.999975460843245</v>
      </c>
      <c r="Q253" s="118">
        <v>3</v>
      </c>
      <c r="R253" s="118">
        <v>2</v>
      </c>
      <c r="S253" s="161">
        <f>K253*$C$19/K261</f>
        <v>15.820211568959454</v>
      </c>
      <c r="T253" s="162">
        <f>L253*$D$19/L261</f>
        <v>9.7970347906811224</v>
      </c>
      <c r="U253" s="162">
        <f>M253*$E$19/M261</f>
        <v>3.541020827161494</v>
      </c>
      <c r="V253" s="163">
        <f>N253*$F$19/N261</f>
        <v>13.841762794934214</v>
      </c>
      <c r="W253" s="73">
        <f t="shared" si="46"/>
        <v>43.000029981736283</v>
      </c>
    </row>
    <row r="254" spans="1:23" x14ac:dyDescent="0.25">
      <c r="C254" s="164">
        <f>SUM(C248:C253)</f>
        <v>50.999980441442403</v>
      </c>
      <c r="D254" s="164">
        <f>SUM(D248:D253)</f>
        <v>43.999998710306635</v>
      </c>
      <c r="E254" s="164">
        <f>SUM(E248:E253)</f>
        <v>40.99999794367065</v>
      </c>
      <c r="F254" s="164">
        <f>SUM(F248:F253)</f>
        <v>39.000022904580305</v>
      </c>
      <c r="G254" s="166">
        <f>SUM(G248:G253)</f>
        <v>175</v>
      </c>
      <c r="K254" s="164">
        <f>SUM(K248:K253)</f>
        <v>51</v>
      </c>
      <c r="L254" s="164">
        <f>SUM(L248:L253)</f>
        <v>44</v>
      </c>
      <c r="M254" s="164">
        <f>SUM(M248:M253)</f>
        <v>41</v>
      </c>
      <c r="N254" s="164">
        <f>SUM(N248:N253)</f>
        <v>38.999809405670959</v>
      </c>
      <c r="O254" s="166">
        <f>SUM(O248:O253)</f>
        <v>174.99980940567096</v>
      </c>
      <c r="S254" s="164">
        <f>SUM(S248:S253)</f>
        <v>51</v>
      </c>
      <c r="T254" s="164">
        <f>SUM(T248:T253)</f>
        <v>44</v>
      </c>
      <c r="U254" s="164">
        <f>SUM(U248:U253)</f>
        <v>41</v>
      </c>
      <c r="V254" s="164">
        <f>SUM(V248:V253)</f>
        <v>39</v>
      </c>
      <c r="W254" s="166">
        <f>SUM(W248:W253)</f>
        <v>174.99999999999997</v>
      </c>
    </row>
    <row r="256" spans="1:23" x14ac:dyDescent="0.25">
      <c r="A256" s="118">
        <v>1</v>
      </c>
      <c r="C256" s="148">
        <f>SUMIF(A248:A253,A256,C248:C253)</f>
        <v>12.000053520783979</v>
      </c>
      <c r="D256" s="149">
        <f>SUMIF(A248:A253,A256,D248:D253)</f>
        <v>14.000054487455126</v>
      </c>
      <c r="E256" s="149">
        <f>SUMIF(A248:A253,A256,E248:E253)</f>
        <v>12.000044236927774</v>
      </c>
      <c r="F256" s="150">
        <f>SUMIF(A248:A253,A256,F248:F253)</f>
        <v>11.999847754833127</v>
      </c>
      <c r="G256" s="165">
        <f>SUM(C256:F256)</f>
        <v>50</v>
      </c>
      <c r="I256" s="118">
        <v>1</v>
      </c>
      <c r="K256" s="148">
        <f>SUMIF(I248:I253,I256,K248:K253)</f>
        <v>12</v>
      </c>
      <c r="L256" s="149">
        <f>SUMIF(I248:I253,I256,L248:L253)</f>
        <v>14</v>
      </c>
      <c r="M256" s="149">
        <f>SUMIF(I248:I253,I256,M248:M253)</f>
        <v>12</v>
      </c>
      <c r="N256" s="150">
        <f>SUMIF(I248:I253,I256,N248:N253)</f>
        <v>11.999809405670959</v>
      </c>
      <c r="O256" s="165">
        <f>SUM(K256:N256)</f>
        <v>49.999809405670959</v>
      </c>
      <c r="Q256" s="118">
        <v>1</v>
      </c>
      <c r="S256" s="148">
        <f>SUMIF(Q248:Q253,Q256,S248:S253)</f>
        <v>12.000000293470261</v>
      </c>
      <c r="T256" s="149">
        <f>SUMIF(Q248:Q253,Q256,T248:T253)</f>
        <v>14.000000114538354</v>
      </c>
      <c r="U256" s="149">
        <f>SUMIF(Q248:Q253,Q256,U248:U253)</f>
        <v>12.000000019755836</v>
      </c>
      <c r="V256" s="150">
        <f>SUMIF(Q248:Q253,Q256,V248:V253)</f>
        <v>11.999874032148542</v>
      </c>
      <c r="W256" s="165">
        <f>SUM(S256:V256)</f>
        <v>49.999874459912995</v>
      </c>
    </row>
    <row r="257" spans="1:23" x14ac:dyDescent="0.25">
      <c r="A257" s="118">
        <v>2</v>
      </c>
      <c r="C257" s="151">
        <f>SUMIF(A248:A253,A257,C248:C253)</f>
        <v>14.999975164297842</v>
      </c>
      <c r="D257" s="73">
        <f>SUMIF(A248:A253,A257,D248:D253)</f>
        <v>13.999974755615327</v>
      </c>
      <c r="E257" s="73">
        <f>SUMIF(A248:A253,A257,E248:E253)</f>
        <v>12.999997285980635</v>
      </c>
      <c r="F257" s="70">
        <f>SUMIF(A248:A253,A257,F248:F253)</f>
        <v>7.0000527941061916</v>
      </c>
      <c r="G257" s="165">
        <f>SUM(C257:F257)</f>
        <v>48.999999999999993</v>
      </c>
      <c r="I257" s="118">
        <v>2</v>
      </c>
      <c r="K257" s="151">
        <f>SUMIF(I248:I253,I257,K248:K253)</f>
        <v>15</v>
      </c>
      <c r="L257" s="73">
        <f>SUMIF(I248:I253,I257,L248:L253)</f>
        <v>14</v>
      </c>
      <c r="M257" s="73">
        <f>SUMIF(I248:I253,I257,M248:M253)</f>
        <v>13</v>
      </c>
      <c r="N257" s="70">
        <f>SUMIF(I248:I253,I257,N248:N253)</f>
        <v>7.0000000000000009</v>
      </c>
      <c r="O257" s="165">
        <f>SUM(K257:N257)</f>
        <v>49</v>
      </c>
      <c r="Q257" s="118">
        <v>2</v>
      </c>
      <c r="S257" s="151">
        <f>SUMIF(Q248:Q253,Q257,S248:S253)</f>
        <v>15.000002021682119</v>
      </c>
      <c r="T257" s="73">
        <f>SUMIF(Q248:Q253,Q257,T248:T253)</f>
        <v>13.999999584908583</v>
      </c>
      <c r="U257" s="73">
        <f>SUMIF(Q248:Q253,Q257,U248:U253)</f>
        <v>13.000000067390086</v>
      </c>
      <c r="V257" s="70">
        <f>SUMIF(Q248:Q253,Q257,V248:V253)</f>
        <v>7.0000323728566869</v>
      </c>
      <c r="W257" s="165">
        <f>SUM(S257:V257)</f>
        <v>49.000034046837477</v>
      </c>
    </row>
    <row r="258" spans="1:23" x14ac:dyDescent="0.25">
      <c r="A258" s="118">
        <v>3</v>
      </c>
      <c r="C258" s="152">
        <f>SUMIF(A248:A253,A258,C248:C253)</f>
        <v>23.999951756360588</v>
      </c>
      <c r="D258" s="153">
        <f>SUMIF(A248:A253,A258,D248:D253)</f>
        <v>15.999969467236188</v>
      </c>
      <c r="E258" s="153">
        <f>SUMIF(A248:A253,A258,E248:E253)</f>
        <v>15.999956420762244</v>
      </c>
      <c r="F258" s="154">
        <f>SUMIF(A248:A253,A258,F248:F253)</f>
        <v>20.000122355640986</v>
      </c>
      <c r="G258" s="165">
        <f>SUM(C258:F258)</f>
        <v>76</v>
      </c>
      <c r="I258" s="118">
        <v>3</v>
      </c>
      <c r="K258" s="152">
        <f>SUMIF(I248:I253,I258,K248:K253)</f>
        <v>24</v>
      </c>
      <c r="L258" s="153">
        <f>SUMIF(I248:I253,I258,L248:L253)</f>
        <v>16</v>
      </c>
      <c r="M258" s="153">
        <f>SUMIF(I248:I253,I258,M248:M253)</f>
        <v>16</v>
      </c>
      <c r="N258" s="154">
        <f>SUMIF(I248:I253,I258,N248:N253)</f>
        <v>20</v>
      </c>
      <c r="O258" s="165">
        <f>SUM(K258:N258)</f>
        <v>76</v>
      </c>
      <c r="Q258" s="118">
        <v>3</v>
      </c>
      <c r="S258" s="152">
        <f>SUMIF(Q248:Q253,Q258,S248:S253)</f>
        <v>23.999997684847621</v>
      </c>
      <c r="T258" s="153">
        <f>SUMIF(Q248:Q253,Q258,T248:T253)</f>
        <v>16.000000300553062</v>
      </c>
      <c r="U258" s="153">
        <f>SUMIF(Q248:Q253,Q258,U248:U253)</f>
        <v>15.999999912854079</v>
      </c>
      <c r="V258" s="154">
        <f>SUMIF(Q248:Q253,Q258,V248:V253)</f>
        <v>20.000093594994773</v>
      </c>
      <c r="W258" s="165">
        <f>SUM(S258:V258)</f>
        <v>76.000091493249528</v>
      </c>
    </row>
    <row r="260" spans="1:23" x14ac:dyDescent="0.25">
      <c r="B260" s="118">
        <v>1</v>
      </c>
      <c r="C260" s="148">
        <f>SUMIF(B248:B253,B260,C248:C253)</f>
        <v>27.99998905584</v>
      </c>
      <c r="D260" s="149">
        <f>SUMIF(B248:B253,B260,D248:D253)</f>
        <v>23.99999538210227</v>
      </c>
      <c r="E260" s="149">
        <f>SUMIF(B248:B253,B260,E248:E253)</f>
        <v>20.999984667697916</v>
      </c>
      <c r="F260" s="150">
        <f>SUMIF(B248:B253,B260,F248:F253)</f>
        <v>17.000030894359817</v>
      </c>
      <c r="G260" s="165">
        <f>SUM(C260:F260)</f>
        <v>90</v>
      </c>
      <c r="J260" s="118">
        <v>1</v>
      </c>
      <c r="K260" s="148">
        <f>SUMIF(J248:J253,J260,K248:K253)</f>
        <v>27.999994149224193</v>
      </c>
      <c r="L260" s="149">
        <f>SUMIF(J248:J253,J260,L248:L253)</f>
        <v>24.000001298875368</v>
      </c>
      <c r="M260" s="149">
        <f>SUMIF(J248:J253,J260,M248:M253)</f>
        <v>21.000000209367784</v>
      </c>
      <c r="N260" s="150">
        <f>SUMIF(J248:J253,J260,N248:N253)</f>
        <v>16.999901386920286</v>
      </c>
      <c r="O260" s="165">
        <f>SUM(K260:N260)</f>
        <v>89.999897044387623</v>
      </c>
      <c r="R260" s="118">
        <v>1</v>
      </c>
      <c r="S260" s="148">
        <f>SUMIF(R248:R253,R260,S248:S253)</f>
        <v>28.000000000000004</v>
      </c>
      <c r="T260" s="149">
        <f>SUMIF(R248:R253,R260,T248:T253)</f>
        <v>24</v>
      </c>
      <c r="U260" s="149">
        <f>SUMIF(R248:R253,R260,U248:U253)</f>
        <v>21</v>
      </c>
      <c r="V260" s="150">
        <f>SUMIF(R248:R253,R260,V248:V253)</f>
        <v>17</v>
      </c>
      <c r="W260" s="165">
        <f>SUM(S260:V260)</f>
        <v>90</v>
      </c>
    </row>
    <row r="261" spans="1:23" x14ac:dyDescent="0.25">
      <c r="B261" s="118">
        <v>2</v>
      </c>
      <c r="C261" s="152">
        <f>SUMIF(B248:B253,B261,C248:C253)</f>
        <v>22.999991385602407</v>
      </c>
      <c r="D261" s="153">
        <f>SUMIF(B248:B253,B261,D248:D253)</f>
        <v>20.000003328204372</v>
      </c>
      <c r="E261" s="153">
        <f>SUMIF(B248:B253,B261,E248:E253)</f>
        <v>20.000013275972737</v>
      </c>
      <c r="F261" s="154">
        <f>SUMIF(B248:B253,B261,F248:F253)</f>
        <v>21.999992010220485</v>
      </c>
      <c r="G261" s="165">
        <f>SUM(C261:F261)</f>
        <v>85</v>
      </c>
      <c r="J261" s="118">
        <v>2</v>
      </c>
      <c r="K261" s="152">
        <f>SUMIF(J248:J253,J261,K248:K253)</f>
        <v>23.000005850775803</v>
      </c>
      <c r="L261" s="153">
        <f>SUMIF(J248:J253,J261,L248:L253)</f>
        <v>19.999998701124632</v>
      </c>
      <c r="M261" s="153">
        <f>SUMIF(J248:J253,J261,M248:M253)</f>
        <v>19.999999790632216</v>
      </c>
      <c r="N261" s="154">
        <f>SUMIF(J248:J253,J261,N248:N253)</f>
        <v>21.999908018750673</v>
      </c>
      <c r="O261" s="165">
        <f>SUM(K261:N261)</f>
        <v>84.999912361283322</v>
      </c>
      <c r="R261" s="118">
        <v>2</v>
      </c>
      <c r="S261" s="152">
        <f>SUMIF(R248:R253,R261,S248:S253)</f>
        <v>23</v>
      </c>
      <c r="T261" s="153">
        <f>SUMIF(R248:R253,R261,T248:T253)</f>
        <v>20</v>
      </c>
      <c r="U261" s="153">
        <f>SUMIF(R248:R253,R261,U248:U253)</f>
        <v>19.999999999999996</v>
      </c>
      <c r="V261" s="154">
        <f>SUMIF(R248:R253,R261,V248:V253)</f>
        <v>22</v>
      </c>
      <c r="W261" s="165">
        <f>SUM(S261:V261)</f>
        <v>85</v>
      </c>
    </row>
    <row r="263" spans="1:23" x14ac:dyDescent="0.25">
      <c r="A263" s="118" t="s">
        <v>21</v>
      </c>
      <c r="B263" s="118" t="s">
        <v>340</v>
      </c>
      <c r="C263">
        <v>1</v>
      </c>
      <c r="D263">
        <f>C263+1</f>
        <v>2</v>
      </c>
      <c r="E263">
        <f>D263+1</f>
        <v>3</v>
      </c>
      <c r="F263">
        <f>E263+1</f>
        <v>4</v>
      </c>
      <c r="I263" s="118" t="s">
        <v>21</v>
      </c>
      <c r="J263" s="118" t="s">
        <v>340</v>
      </c>
      <c r="K263">
        <v>1</v>
      </c>
      <c r="L263">
        <f>K263+1</f>
        <v>2</v>
      </c>
      <c r="M263">
        <f>L263+1</f>
        <v>3</v>
      </c>
      <c r="N263">
        <f>M263+1</f>
        <v>4</v>
      </c>
      <c r="Q263" s="118" t="s">
        <v>21</v>
      </c>
      <c r="R263" s="118" t="s">
        <v>340</v>
      </c>
      <c r="S263">
        <v>1</v>
      </c>
      <c r="T263">
        <f>S263+1</f>
        <v>2</v>
      </c>
      <c r="U263">
        <f>T263+1</f>
        <v>3</v>
      </c>
      <c r="V263">
        <f>U263+1</f>
        <v>4</v>
      </c>
    </row>
    <row r="264" spans="1:23" x14ac:dyDescent="0.25">
      <c r="A264" s="118">
        <v>1</v>
      </c>
      <c r="B264" s="118">
        <v>1</v>
      </c>
      <c r="C264" s="155">
        <f>S248*$G$6/$W248</f>
        <v>7.221644604881118</v>
      </c>
      <c r="D264" s="156">
        <f>T248*$G$6/$W248</f>
        <v>6.6743947270530377</v>
      </c>
      <c r="E264" s="156">
        <f>U248*$G$6/$W248</f>
        <v>5.1797509662741836</v>
      </c>
      <c r="F264" s="157">
        <f>V248*$G$6/$W248</f>
        <v>8.9242097017916606</v>
      </c>
      <c r="G264" s="73">
        <f t="shared" ref="G264:G269" si="47">SUM(C264:F264)</f>
        <v>28</v>
      </c>
      <c r="I264" s="118">
        <v>1</v>
      </c>
      <c r="J264" s="118">
        <v>1</v>
      </c>
      <c r="K264" s="155">
        <f>C264*$C$14/C272</f>
        <v>7.2216255246704728</v>
      </c>
      <c r="L264" s="156">
        <f>D264*$D$14/D272</f>
        <v>6.6743793345095996</v>
      </c>
      <c r="M264" s="156">
        <f>E264*$E$14/E272</f>
        <v>5.1797396514955008</v>
      </c>
      <c r="N264" s="157">
        <f>F264*F256/F272</f>
        <v>8.9241635633586274</v>
      </c>
      <c r="O264" s="73">
        <f t="shared" ref="O264:O269" si="48">SUM(K264:N264)</f>
        <v>27.999908074034202</v>
      </c>
      <c r="Q264" s="118">
        <v>1</v>
      </c>
      <c r="R264" s="118">
        <v>1</v>
      </c>
      <c r="S264" s="155">
        <f>K264*$C$18/K276</f>
        <v>7.2216264162593928</v>
      </c>
      <c r="T264" s="156">
        <f>L264*$D$18/L276</f>
        <v>6.6743791215789257</v>
      </c>
      <c r="U264" s="156">
        <f>M264*$E$18/M276</f>
        <v>5.1797396241357019</v>
      </c>
      <c r="V264" s="157">
        <f>N264*$F$18/N276</f>
        <v>8.9241943904407091</v>
      </c>
      <c r="W264" s="73">
        <f t="shared" ref="W264:W269" si="49">SUM(S264:V264)</f>
        <v>27.99993955241473</v>
      </c>
    </row>
    <row r="265" spans="1:23" x14ac:dyDescent="0.25">
      <c r="A265" s="118">
        <v>1</v>
      </c>
      <c r="B265" s="118">
        <v>2</v>
      </c>
      <c r="C265" s="158">
        <f>S249*$G$7/$W249</f>
        <v>4.7783871002421918</v>
      </c>
      <c r="D265" s="159">
        <f>T249*$G$7/$W249</f>
        <v>7.325637559935358</v>
      </c>
      <c r="E265" s="159">
        <f>U249*$G$7/$W249</f>
        <v>6.8202752468858057</v>
      </c>
      <c r="F265" s="160">
        <f>V249*$G$7/$W249</f>
        <v>3.0757000929366467</v>
      </c>
      <c r="G265" s="73">
        <f t="shared" si="47"/>
        <v>22.000000000000004</v>
      </c>
      <c r="I265" s="118">
        <v>1</v>
      </c>
      <c r="J265" s="118">
        <v>2</v>
      </c>
      <c r="K265" s="158">
        <f>C265*$C$14/C272</f>
        <v>4.778374475329529</v>
      </c>
      <c r="L265" s="159">
        <f>D265*$D$14/D272</f>
        <v>7.3256206654903986</v>
      </c>
      <c r="M265" s="159">
        <f>E265*$E$14/E272</f>
        <v>6.8202603485044984</v>
      </c>
      <c r="N265" s="160">
        <f>F265*$F$14/F272</f>
        <v>3.0757232134739905</v>
      </c>
      <c r="O265" s="73">
        <f t="shared" si="48"/>
        <v>21.999978702798415</v>
      </c>
      <c r="Q265" s="118">
        <v>1</v>
      </c>
      <c r="R265" s="118">
        <v>2</v>
      </c>
      <c r="S265" s="158">
        <f>K265*$C$19/K277</f>
        <v>4.7783737571385325</v>
      </c>
      <c r="T265" s="159">
        <f>L265*$D$19/L277</f>
        <v>7.3256209459388524</v>
      </c>
      <c r="U265" s="159">
        <f>M265*$E$19/M277</f>
        <v>6.8202603863309186</v>
      </c>
      <c r="V265" s="160">
        <f>N265*$F$19/N277</f>
        <v>3.0757308328442945</v>
      </c>
      <c r="W265" s="73">
        <f t="shared" si="49"/>
        <v>21.999985922252598</v>
      </c>
    </row>
    <row r="266" spans="1:23" x14ac:dyDescent="0.25">
      <c r="A266" s="118">
        <v>2</v>
      </c>
      <c r="B266" s="118">
        <v>1</v>
      </c>
      <c r="C266" s="158">
        <f>S250*$G$8/$W250</f>
        <v>12.598578034628463</v>
      </c>
      <c r="D266" s="159">
        <f>T250*$G$8/$W250</f>
        <v>11.122648578878028</v>
      </c>
      <c r="E266" s="159">
        <f>U250*$G$8/$W250</f>
        <v>3.3612841095602621</v>
      </c>
      <c r="F266" s="160">
        <f>V250*$G$8/$W250</f>
        <v>1.9174892769332437</v>
      </c>
      <c r="G266" s="73">
        <f t="shared" si="47"/>
        <v>28.999999999999996</v>
      </c>
      <c r="I266" s="118">
        <v>2</v>
      </c>
      <c r="J266" s="118">
        <v>1</v>
      </c>
      <c r="K266" s="158">
        <f>C266*$C$15/C273</f>
        <v>12.598590404404344</v>
      </c>
      <c r="L266" s="159">
        <f>D266*$D$15/D273</f>
        <v>11.12266046925302</v>
      </c>
      <c r="M266" s="159">
        <f>E266*$E$15/E273</f>
        <v>3.3612845229645814</v>
      </c>
      <c r="N266" s="160">
        <f>F266*$F$15/F273</f>
        <v>1.9174807050393057</v>
      </c>
      <c r="O266" s="73">
        <f t="shared" si="48"/>
        <v>29.000016101661252</v>
      </c>
      <c r="Q266" s="118">
        <v>2</v>
      </c>
      <c r="R266" s="118">
        <v>1</v>
      </c>
      <c r="S266" s="158">
        <f>K266*$C$18/K276</f>
        <v>12.598591959838583</v>
      </c>
      <c r="T266" s="159">
        <f>L266*$D$18/L276</f>
        <v>11.122660114410198</v>
      </c>
      <c r="U266" s="159">
        <f>M266*$E$18/M276</f>
        <v>3.361284505210008</v>
      </c>
      <c r="V266" s="160">
        <f>N266*$F$18/N276</f>
        <v>1.9174873286667935</v>
      </c>
      <c r="W266" s="73">
        <f t="shared" si="49"/>
        <v>29.000023908125584</v>
      </c>
    </row>
    <row r="267" spans="1:23" x14ac:dyDescent="0.25">
      <c r="A267" s="118">
        <v>2</v>
      </c>
      <c r="B267" s="118">
        <v>2</v>
      </c>
      <c r="C267" s="158">
        <f>S251*$G$9/$W251</f>
        <v>2.4014072378002544</v>
      </c>
      <c r="D267" s="159">
        <f>T251*$G$9/$W251</f>
        <v>2.8773364548061013</v>
      </c>
      <c r="E267" s="159">
        <f>U251*$G$9/$W251</f>
        <v>9.6387142915699862</v>
      </c>
      <c r="F267" s="160">
        <f>V251*$G$9/$W251</f>
        <v>5.0825420158236581</v>
      </c>
      <c r="G267" s="73">
        <f t="shared" si="47"/>
        <v>20</v>
      </c>
      <c r="I267" s="118">
        <v>2</v>
      </c>
      <c r="J267" s="118">
        <v>2</v>
      </c>
      <c r="K267" s="158">
        <f>C267*$C$15/C273</f>
        <v>2.4014095955956538</v>
      </c>
      <c r="L267" s="159">
        <f>D267*$D$15/D273</f>
        <v>2.8773395307469785</v>
      </c>
      <c r="M267" s="159">
        <f>E267*$E$15/E273</f>
        <v>9.6387154770354186</v>
      </c>
      <c r="N267" s="160">
        <f>F267*$F$15/F273</f>
        <v>5.0825192949606954</v>
      </c>
      <c r="O267" s="73">
        <f t="shared" si="48"/>
        <v>19.999983898338748</v>
      </c>
      <c r="Q267" s="118">
        <v>2</v>
      </c>
      <c r="R267" s="118">
        <v>2</v>
      </c>
      <c r="S267" s="158">
        <f>K267*$C$19/K277</f>
        <v>2.4014092346631317</v>
      </c>
      <c r="T267" s="159">
        <f>L267*$D$19/L277</f>
        <v>2.8773396409008423</v>
      </c>
      <c r="U267" s="159">
        <f>M267*$E$19/M277</f>
        <v>9.6387155304935099</v>
      </c>
      <c r="V267" s="160">
        <f>N267*$F$19/N277</f>
        <v>5.0825318856894111</v>
      </c>
      <c r="W267" s="73">
        <f t="shared" si="49"/>
        <v>19.999996291746896</v>
      </c>
    </row>
    <row r="268" spans="1:23" x14ac:dyDescent="0.25">
      <c r="A268" s="118">
        <v>3</v>
      </c>
      <c r="B268" s="118">
        <v>1</v>
      </c>
      <c r="C268" s="158">
        <f>S252*$G$10/$W252</f>
        <v>8.1797708689159183</v>
      </c>
      <c r="D268" s="159">
        <f>T252*$G$10/$W252</f>
        <v>6.2029539476572744</v>
      </c>
      <c r="E268" s="159">
        <f>U252*$G$10/$W252</f>
        <v>12.458955862382627</v>
      </c>
      <c r="F268" s="160">
        <f>V252*$G$10/$W252</f>
        <v>6.1583193210441776</v>
      </c>
      <c r="G268" s="73">
        <f t="shared" si="47"/>
        <v>32.999999999999993</v>
      </c>
      <c r="I268" s="118">
        <v>3</v>
      </c>
      <c r="J268" s="118">
        <v>1</v>
      </c>
      <c r="K268" s="158">
        <f>C268*$C$16/C274</f>
        <v>8.1797806140183429</v>
      </c>
      <c r="L268" s="159">
        <f>D268*$D$16/D274</f>
        <v>6.2029609619020363</v>
      </c>
      <c r="M268" s="159">
        <f>E268*$E$16/E274</f>
        <v>12.458975936463597</v>
      </c>
      <c r="N268" s="160">
        <f>F268*$F$16/F274</f>
        <v>6.1582970080498365</v>
      </c>
      <c r="O268" s="73">
        <f t="shared" si="48"/>
        <v>33.000014520433815</v>
      </c>
      <c r="Q268" s="118">
        <v>3</v>
      </c>
      <c r="R268" s="118">
        <v>1</v>
      </c>
      <c r="S268" s="158">
        <f>K268*$C$18/K276</f>
        <v>8.1797816239020236</v>
      </c>
      <c r="T268" s="159">
        <f>L268*$D$18/L276</f>
        <v>6.2029607640108777</v>
      </c>
      <c r="U268" s="159">
        <f>M268*$E$18/M276</f>
        <v>12.458975870654291</v>
      </c>
      <c r="V268" s="160">
        <f>N268*$F$18/N276</f>
        <v>6.1583182808924963</v>
      </c>
      <c r="W268" s="73">
        <f t="shared" si="49"/>
        <v>33.000036539459686</v>
      </c>
    </row>
    <row r="269" spans="1:23" x14ac:dyDescent="0.25">
      <c r="A269" s="118">
        <v>3</v>
      </c>
      <c r="B269" s="118">
        <v>2</v>
      </c>
      <c r="C269" s="161">
        <f>S253*$G$11/$W253</f>
        <v>15.820200538329676</v>
      </c>
      <c r="D269" s="162">
        <f>T253*$G$11/$W253</f>
        <v>9.7970279597065026</v>
      </c>
      <c r="E269" s="162">
        <f>U253*$G$11/$W253</f>
        <v>3.5410183581875736</v>
      </c>
      <c r="F269" s="163">
        <f>V253*$G$11/$W253</f>
        <v>13.84175314377625</v>
      </c>
      <c r="G269" s="73">
        <f t="shared" si="47"/>
        <v>43</v>
      </c>
      <c r="I269" s="118">
        <v>3</v>
      </c>
      <c r="J269" s="118">
        <v>2</v>
      </c>
      <c r="K269" s="161">
        <f>C269*$C$16/C274</f>
        <v>15.820219385981657</v>
      </c>
      <c r="L269" s="162">
        <f>D269*$D$16/D274</f>
        <v>9.7970390380979637</v>
      </c>
      <c r="M269" s="162">
        <f>E269*$E$16/E274</f>
        <v>3.5410240635364025</v>
      </c>
      <c r="N269" s="163">
        <f>F269*$F$16/F274</f>
        <v>13.841702991950164</v>
      </c>
      <c r="O269" s="73">
        <f t="shared" si="48"/>
        <v>42.999985479566192</v>
      </c>
      <c r="Q269" s="118">
        <v>3</v>
      </c>
      <c r="R269" s="118">
        <v>2</v>
      </c>
      <c r="S269" s="161">
        <f>K269*$C$19/K277</f>
        <v>15.820217008198336</v>
      </c>
      <c r="T269" s="162">
        <f>L269*$D$19/L277</f>
        <v>9.7970394131603058</v>
      </c>
      <c r="U269" s="162">
        <f>M269*$E$19/M277</f>
        <v>3.5410240831755742</v>
      </c>
      <c r="V269" s="163">
        <f>N269*$F$19/N277</f>
        <v>13.841737281466292</v>
      </c>
      <c r="W269" s="73">
        <f t="shared" si="49"/>
        <v>43.000017786000505</v>
      </c>
    </row>
    <row r="270" spans="1:23" x14ac:dyDescent="0.25">
      <c r="C270" s="164">
        <f>SUM(C264:C269)</f>
        <v>50.999988384797618</v>
      </c>
      <c r="D270" s="164">
        <f>SUM(D264:D269)</f>
        <v>43.999999228036309</v>
      </c>
      <c r="E270" s="164">
        <f>SUM(E264:E269)</f>
        <v>40.999998834860435</v>
      </c>
      <c r="F270" s="164">
        <f>SUM(F264:F269)</f>
        <v>39.000013552305639</v>
      </c>
      <c r="G270" s="166">
        <f>SUM(G264:G269)</f>
        <v>175</v>
      </c>
      <c r="K270" s="164">
        <f>SUM(K264:K269)</f>
        <v>51</v>
      </c>
      <c r="L270" s="164">
        <f>SUM(L264:L269)</f>
        <v>44</v>
      </c>
      <c r="M270" s="164">
        <f>SUM(M264:M269)</f>
        <v>41</v>
      </c>
      <c r="N270" s="164">
        <f>SUM(N264:N269)</f>
        <v>38.999886776832618</v>
      </c>
      <c r="O270" s="166">
        <f>SUM(O264:O269)</f>
        <v>174.99988677683262</v>
      </c>
      <c r="S270" s="164">
        <f>SUM(S264:S269)</f>
        <v>50.999999999999993</v>
      </c>
      <c r="T270" s="164">
        <f>SUM(T264:T269)</f>
        <v>44</v>
      </c>
      <c r="U270" s="164">
        <f>SUM(U264:U269)</f>
        <v>41</v>
      </c>
      <c r="V270" s="164">
        <f>SUM(V264:V269)</f>
        <v>39</v>
      </c>
      <c r="W270" s="166">
        <f>SUM(W264:W269)</f>
        <v>175</v>
      </c>
    </row>
    <row r="272" spans="1:23" x14ac:dyDescent="0.25">
      <c r="A272" s="118">
        <v>1</v>
      </c>
      <c r="C272" s="148">
        <f>SUMIF(A264:A269,A272,C264:C269)</f>
        <v>12.000031705123309</v>
      </c>
      <c r="D272" s="149">
        <f>SUMIF(A264:A269,A272,D264:D269)</f>
        <v>14.000032286988397</v>
      </c>
      <c r="E272" s="149">
        <f>SUMIF(A264:A269,A272,E264:E269)</f>
        <v>12.000026213159989</v>
      </c>
      <c r="F272" s="150">
        <f>SUMIF(A264:A269,A272,F264:F269)</f>
        <v>11.999909794728307</v>
      </c>
      <c r="G272" s="165">
        <f>SUM(C272:F272)</f>
        <v>50</v>
      </c>
      <c r="I272" s="118">
        <v>1</v>
      </c>
      <c r="K272" s="148">
        <f>SUMIF(I264:I269,I272,K264:K269)</f>
        <v>12.000000000000002</v>
      </c>
      <c r="L272" s="149">
        <f>SUMIF(I264:I269,I272,L264:L269)</f>
        <v>13.999999999999998</v>
      </c>
      <c r="M272" s="149">
        <f>SUMIF(I264:I269,I272,M264:M269)</f>
        <v>12</v>
      </c>
      <c r="N272" s="150">
        <f>SUMIF(I264:I269,I272,N264:N269)</f>
        <v>11.999886776832618</v>
      </c>
      <c r="O272" s="165">
        <f>SUM(K272:N272)</f>
        <v>49.999886776832618</v>
      </c>
      <c r="Q272" s="118">
        <v>1</v>
      </c>
      <c r="S272" s="148">
        <f>SUMIF(Q264:Q269,Q272,S264:S269)</f>
        <v>12.000000173397925</v>
      </c>
      <c r="T272" s="149">
        <f>SUMIF(Q264:Q269,Q272,T264:T269)</f>
        <v>14.000000067517778</v>
      </c>
      <c r="U272" s="149">
        <f>SUMIF(Q264:Q269,Q272,U264:U269)</f>
        <v>12.000000010466621</v>
      </c>
      <c r="V272" s="150">
        <f>SUMIF(Q264:Q269,Q272,V264:V269)</f>
        <v>11.999925223285004</v>
      </c>
      <c r="W272" s="165">
        <f>SUM(S272:V272)</f>
        <v>49.999925474667329</v>
      </c>
    </row>
    <row r="273" spans="1:23" x14ac:dyDescent="0.25">
      <c r="A273" s="118">
        <v>2</v>
      </c>
      <c r="C273" s="151">
        <f>SUMIF(A264:A269,A273,C264:C269)</f>
        <v>14.999985272428718</v>
      </c>
      <c r="D273" s="73">
        <f>SUMIF(A264:A269,A273,D264:D269)</f>
        <v>13.99998503368413</v>
      </c>
      <c r="E273" s="73">
        <f>SUMIF(A264:A269,A273,E264:E269)</f>
        <v>12.999998401130249</v>
      </c>
      <c r="F273" s="70">
        <f>SUMIF(A264:A269,A273,F264:F269)</f>
        <v>7.0000312927569013</v>
      </c>
      <c r="G273" s="165">
        <f>SUM(C273:F273)</f>
        <v>49</v>
      </c>
      <c r="I273" s="118">
        <v>2</v>
      </c>
      <c r="K273" s="151">
        <f>SUMIF(I264:I269,I273,K264:K269)</f>
        <v>14.999999999999998</v>
      </c>
      <c r="L273" s="73">
        <f>SUMIF(I264:I269,I273,L264:L269)</f>
        <v>13.999999999999998</v>
      </c>
      <c r="M273" s="73">
        <f>SUMIF(I264:I269,I273,M264:M269)</f>
        <v>13</v>
      </c>
      <c r="N273" s="70">
        <f>SUMIF(I264:I269,I273,N264:N269)</f>
        <v>7.0000000000000009</v>
      </c>
      <c r="O273" s="165">
        <f>SUM(K273:N273)</f>
        <v>49</v>
      </c>
      <c r="Q273" s="118">
        <v>2</v>
      </c>
      <c r="S273" s="151">
        <f>SUMIF(Q264:Q269,Q273,S264:S269)</f>
        <v>15.000001194501714</v>
      </c>
      <c r="T273" s="73">
        <f>SUMIF(Q264:Q269,Q273,T264:T269)</f>
        <v>13.999999755311041</v>
      </c>
      <c r="U273" s="73">
        <f>SUMIF(Q264:Q269,Q273,U264:U269)</f>
        <v>13.000000035703518</v>
      </c>
      <c r="V273" s="70">
        <f>SUMIF(Q264:Q269,Q273,V264:V269)</f>
        <v>7.0000192143562048</v>
      </c>
      <c r="W273" s="165">
        <f>SUM(S273:V273)</f>
        <v>49.00002019987248</v>
      </c>
    </row>
    <row r="274" spans="1:23" x14ac:dyDescent="0.25">
      <c r="A274" s="118">
        <v>3</v>
      </c>
      <c r="C274" s="152">
        <f>SUMIF(A264:A269,A274,C264:C269)</f>
        <v>23.999971407245596</v>
      </c>
      <c r="D274" s="153">
        <f>SUMIF(A264:A269,A274,D264:D269)</f>
        <v>15.999981907363777</v>
      </c>
      <c r="E274" s="153">
        <f>SUMIF(A264:A269,A274,E264:E269)</f>
        <v>15.9999742205702</v>
      </c>
      <c r="F274" s="154">
        <f>SUMIF(A264:A269,A274,F264:F269)</f>
        <v>20.000072464820427</v>
      </c>
      <c r="G274" s="165">
        <f>SUM(C274:F274)</f>
        <v>76</v>
      </c>
      <c r="I274" s="118">
        <v>3</v>
      </c>
      <c r="K274" s="152">
        <f>SUMIF(I264:I269,I274,K264:K269)</f>
        <v>24</v>
      </c>
      <c r="L274" s="153">
        <f>SUMIF(I264:I269,I274,L264:L269)</f>
        <v>16</v>
      </c>
      <c r="M274" s="153">
        <f>SUMIF(I264:I269,I274,M264:M269)</f>
        <v>16</v>
      </c>
      <c r="N274" s="154">
        <f>SUMIF(I264:I269,I274,N264:N269)</f>
        <v>20</v>
      </c>
      <c r="O274" s="165">
        <f>SUM(K274:N274)</f>
        <v>76</v>
      </c>
      <c r="Q274" s="118">
        <v>3</v>
      </c>
      <c r="S274" s="152">
        <f>SUMIF(Q264:Q269,Q274,S264:S269)</f>
        <v>23.999998632100358</v>
      </c>
      <c r="T274" s="153">
        <f>SUMIF(Q264:Q269,Q274,T264:T269)</f>
        <v>16.000000177171184</v>
      </c>
      <c r="U274" s="153">
        <f>SUMIF(Q264:Q269,Q274,U264:U269)</f>
        <v>15.999999953829864</v>
      </c>
      <c r="V274" s="154">
        <f>SUMIF(Q264:Q269,Q274,V264:V269)</f>
        <v>20.000055562358789</v>
      </c>
      <c r="W274" s="165">
        <f>SUM(S274:V274)</f>
        <v>76.000054325460198</v>
      </c>
    </row>
    <row r="276" spans="1:23" x14ac:dyDescent="0.25">
      <c r="B276" s="118">
        <v>1</v>
      </c>
      <c r="C276" s="148">
        <f>SUMIF(B264:B269,B276,C264:C269)</f>
        <v>27.999993508425497</v>
      </c>
      <c r="D276" s="149">
        <f>SUMIF(B264:B269,B276,D264:D269)</f>
        <v>23.99999725358834</v>
      </c>
      <c r="E276" s="149">
        <f>SUMIF(B264:B269,B276,E264:E269)</f>
        <v>20.999990938217074</v>
      </c>
      <c r="F276" s="150">
        <f>SUMIF(B264:B269,B276,F264:F269)</f>
        <v>17.000018299769081</v>
      </c>
      <c r="G276" s="165">
        <f>SUM(C276:F276)</f>
        <v>89.999999999999986</v>
      </c>
      <c r="J276" s="118">
        <v>1</v>
      </c>
      <c r="K276" s="148">
        <f>SUMIF(J264:J269,J276,K264:K269)</f>
        <v>27.999996543093161</v>
      </c>
      <c r="L276" s="149">
        <f>SUMIF(J264:J269,J276,L264:L269)</f>
        <v>24.000000765664655</v>
      </c>
      <c r="M276" s="149">
        <f>SUMIF(J264:J269,J276,M264:M269)</f>
        <v>21.000000110923679</v>
      </c>
      <c r="N276" s="150">
        <f>SUMIF(J264:J269,J276,N264:N269)</f>
        <v>16.999941276447771</v>
      </c>
      <c r="O276" s="165">
        <f>SUM(K276:N276)</f>
        <v>89.999938696129263</v>
      </c>
      <c r="R276" s="118">
        <v>1</v>
      </c>
      <c r="S276" s="148">
        <f>SUMIF(R264:R269,R276,S264:S269)</f>
        <v>28</v>
      </c>
      <c r="T276" s="149">
        <f>SUMIF(R264:R269,R276,T264:T269)</f>
        <v>24.000000000000004</v>
      </c>
      <c r="U276" s="149">
        <f>SUMIF(R264:R269,R276,U264:U269)</f>
        <v>21</v>
      </c>
      <c r="V276" s="150">
        <f>SUMIF(R264:R269,R276,V264:V269)</f>
        <v>17</v>
      </c>
      <c r="W276" s="165">
        <f>SUM(S276:V276)</f>
        <v>90</v>
      </c>
    </row>
    <row r="277" spans="1:23" x14ac:dyDescent="0.25">
      <c r="B277" s="118">
        <v>2</v>
      </c>
      <c r="C277" s="152">
        <f>SUMIF(B264:B269,B277,C264:C269)</f>
        <v>22.999994876372121</v>
      </c>
      <c r="D277" s="153">
        <f>SUMIF(B264:B269,B277,D264:D269)</f>
        <v>20.000001974447962</v>
      </c>
      <c r="E277" s="153">
        <f>SUMIF(B264:B269,B277,E264:E269)</f>
        <v>20.000007896643368</v>
      </c>
      <c r="F277" s="154">
        <f>SUMIF(B264:B269,B277,F264:F269)</f>
        <v>21.999995252536557</v>
      </c>
      <c r="G277" s="165">
        <f>SUM(C277:F277)</f>
        <v>85</v>
      </c>
      <c r="J277" s="118">
        <v>2</v>
      </c>
      <c r="K277" s="152">
        <f>SUMIF(J264:J269,J277,K264:K269)</f>
        <v>23.000003456906839</v>
      </c>
      <c r="L277" s="153">
        <f>SUMIF(J264:J269,J277,L264:L269)</f>
        <v>19.999999234335341</v>
      </c>
      <c r="M277" s="153">
        <f>SUMIF(J264:J269,J277,M264:M269)</f>
        <v>19.999999889076317</v>
      </c>
      <c r="N277" s="154">
        <f>SUMIF(J264:J269,J277,N264:N269)</f>
        <v>21.99994550038485</v>
      </c>
      <c r="O277" s="165">
        <f>SUM(K277:N277)</f>
        <v>84.999948080703348</v>
      </c>
      <c r="R277" s="118">
        <v>2</v>
      </c>
      <c r="S277" s="152">
        <f>SUMIF(R264:R269,R277,S264:S269)</f>
        <v>23</v>
      </c>
      <c r="T277" s="153">
        <f>SUMIF(R264:R269,R277,T264:T269)</f>
        <v>20</v>
      </c>
      <c r="U277" s="153">
        <f>SUMIF(R264:R269,R277,U264:U269)</f>
        <v>20.000000000000004</v>
      </c>
      <c r="V277" s="154">
        <f>SUMIF(R264:R269,R277,V264:V269)</f>
        <v>22</v>
      </c>
      <c r="W277" s="165">
        <f>SUM(S277:V277)</f>
        <v>85</v>
      </c>
    </row>
    <row r="279" spans="1:23" x14ac:dyDescent="0.25">
      <c r="A279" s="118" t="s">
        <v>21</v>
      </c>
      <c r="B279" s="118" t="s">
        <v>340</v>
      </c>
      <c r="C279">
        <v>1</v>
      </c>
      <c r="D279">
        <f>C279+1</f>
        <v>2</v>
      </c>
      <c r="E279">
        <f>D279+1</f>
        <v>3</v>
      </c>
      <c r="F279">
        <f>E279+1</f>
        <v>4</v>
      </c>
      <c r="I279" s="118" t="s">
        <v>21</v>
      </c>
      <c r="J279" s="118" t="s">
        <v>340</v>
      </c>
      <c r="K279">
        <v>1</v>
      </c>
      <c r="L279">
        <f>K279+1</f>
        <v>2</v>
      </c>
      <c r="M279">
        <f>L279+1</f>
        <v>3</v>
      </c>
      <c r="N279">
        <f>M279+1</f>
        <v>4</v>
      </c>
      <c r="Q279" s="118" t="s">
        <v>21</v>
      </c>
      <c r="R279" s="118" t="s">
        <v>340</v>
      </c>
      <c r="S279">
        <v>1</v>
      </c>
      <c r="T279">
        <f>S279+1</f>
        <v>2</v>
      </c>
      <c r="U279">
        <f>T279+1</f>
        <v>3</v>
      </c>
      <c r="V279">
        <f>U279+1</f>
        <v>4</v>
      </c>
    </row>
    <row r="280" spans="1:23" x14ac:dyDescent="0.25">
      <c r="A280" s="118">
        <v>1</v>
      </c>
      <c r="B280" s="118">
        <v>1</v>
      </c>
      <c r="C280" s="155">
        <f>S264*$G$6/$W264</f>
        <v>7.2216420066458573</v>
      </c>
      <c r="D280" s="156">
        <f>T264*$G$6/$W264</f>
        <v>6.674393530542214</v>
      </c>
      <c r="E280" s="156">
        <f>U264*$G$6/$W264</f>
        <v>5.1797508064010076</v>
      </c>
      <c r="F280" s="157">
        <f>V264*$G$6/$W264</f>
        <v>8.924213656410922</v>
      </c>
      <c r="G280" s="73">
        <f t="shared" ref="G280:G285" si="50">SUM(C280:F280)</f>
        <v>28</v>
      </c>
      <c r="I280" s="118">
        <v>1</v>
      </c>
      <c r="J280" s="118">
        <v>1</v>
      </c>
      <c r="K280" s="155">
        <f>C280*$C$14/C288</f>
        <v>7.2216306798453411</v>
      </c>
      <c r="L280" s="156">
        <f>D280*$D$14/D288</f>
        <v>6.6743843942008212</v>
      </c>
      <c r="M280" s="156">
        <f>E280*$E$14/E288</f>
        <v>5.179744091293129</v>
      </c>
      <c r="N280" s="157">
        <f>F280*F272/F288</f>
        <v>8.9241863908227455</v>
      </c>
      <c r="O280" s="73">
        <f t="shared" ref="O280:O285" si="51">SUM(K280:N280)</f>
        <v>27.999945556162039</v>
      </c>
      <c r="Q280" s="118">
        <v>1</v>
      </c>
      <c r="R280" s="118">
        <v>1</v>
      </c>
      <c r="S280" s="155">
        <f>K280*$C$18/K292</f>
        <v>7.2216312086332524</v>
      </c>
      <c r="T280" s="156">
        <f>L280*$D$18/L292</f>
        <v>6.6743842675622194</v>
      </c>
      <c r="U280" s="156">
        <f>M280*$E$18/M292</f>
        <v>5.1797440753550132</v>
      </c>
      <c r="V280" s="157">
        <f>N280*$F$18/N292</f>
        <v>8.9242046243509243</v>
      </c>
      <c r="W280" s="73">
        <f t="shared" ref="W280:W285" si="52">SUM(S280:V280)</f>
        <v>27.999964175901411</v>
      </c>
    </row>
    <row r="281" spans="1:23" x14ac:dyDescent="0.25">
      <c r="A281" s="118">
        <v>1</v>
      </c>
      <c r="B281" s="118">
        <v>2</v>
      </c>
      <c r="C281" s="158">
        <f>S265*$G$7/$W265</f>
        <v>4.7783768148104322</v>
      </c>
      <c r="D281" s="159">
        <f>T265*$G$7/$W265</f>
        <v>7.3256256335891816</v>
      </c>
      <c r="E281" s="159">
        <f>U265*$G$7/$W265</f>
        <v>6.8202647506020266</v>
      </c>
      <c r="F281" s="160">
        <f>V265*$G$7/$W265</f>
        <v>3.0757328009983604</v>
      </c>
      <c r="G281" s="73">
        <f t="shared" si="50"/>
        <v>22</v>
      </c>
      <c r="I281" s="118">
        <v>1</v>
      </c>
      <c r="J281" s="118">
        <v>2</v>
      </c>
      <c r="K281" s="158">
        <f>C281*$C$14/C288</f>
        <v>4.7783693201546571</v>
      </c>
      <c r="L281" s="159">
        <f>D281*$D$14/D288</f>
        <v>7.3256156057991806</v>
      </c>
      <c r="M281" s="159">
        <f>E281*$E$14/E288</f>
        <v>6.8202559087068702</v>
      </c>
      <c r="N281" s="160">
        <f>F281*$F$14/F288</f>
        <v>3.075746524618137</v>
      </c>
      <c r="O281" s="73">
        <f t="shared" si="51"/>
        <v>21.999987359278844</v>
      </c>
      <c r="Q281" s="118">
        <v>1</v>
      </c>
      <c r="R281" s="118">
        <v>2</v>
      </c>
      <c r="S281" s="158">
        <f>K281*$C$19/K293</f>
        <v>4.7783688942071487</v>
      </c>
      <c r="T281" s="159">
        <f>L281*$D$19/L293</f>
        <v>7.3256157725931264</v>
      </c>
      <c r="U281" s="159">
        <f>M281*$E$19/M293</f>
        <v>6.8202559307421549</v>
      </c>
      <c r="V281" s="160">
        <f>N281*$F$19/N293</f>
        <v>3.0757510475008072</v>
      </c>
      <c r="W281" s="73">
        <f t="shared" si="52"/>
        <v>21.999991645043238</v>
      </c>
    </row>
    <row r="282" spans="1:23" x14ac:dyDescent="0.25">
      <c r="A282" s="118">
        <v>2</v>
      </c>
      <c r="B282" s="118">
        <v>1</v>
      </c>
      <c r="C282" s="158">
        <f>S266*$G$8/$W266</f>
        <v>12.598581573339601</v>
      </c>
      <c r="D282" s="159">
        <f>T266*$G$8/$W266</f>
        <v>11.122650944695177</v>
      </c>
      <c r="E282" s="159">
        <f>U266*$G$8/$W266</f>
        <v>3.3612817341084278</v>
      </c>
      <c r="F282" s="160">
        <f>V266*$G$8/$W266</f>
        <v>1.917485747856791</v>
      </c>
      <c r="G282" s="73">
        <f t="shared" si="50"/>
        <v>28.999999999999996</v>
      </c>
      <c r="I282" s="118">
        <v>2</v>
      </c>
      <c r="J282" s="118">
        <v>1</v>
      </c>
      <c r="K282" s="158">
        <f>C282*$C$15/C289</f>
        <v>12.598588919783015</v>
      </c>
      <c r="L282" s="159">
        <f>D282*$D$15/D289</f>
        <v>11.12265800036019</v>
      </c>
      <c r="M282" s="159">
        <f>E282*$E$15/E289</f>
        <v>3.3612819792901325</v>
      </c>
      <c r="N282" s="160">
        <f>F282*$F$15/F289</f>
        <v>1.9174806594350482</v>
      </c>
      <c r="O282" s="73">
        <f t="shared" si="51"/>
        <v>29.000009558868385</v>
      </c>
      <c r="Q282" s="118">
        <v>2</v>
      </c>
      <c r="R282" s="118">
        <v>1</v>
      </c>
      <c r="S282" s="158">
        <f>K282*$C$18/K292</f>
        <v>12.598589842286785</v>
      </c>
      <c r="T282" s="159">
        <f>L282*$D$18/L292</f>
        <v>11.122657789320822</v>
      </c>
      <c r="U282" s="159">
        <f>M282*$E$18/M292</f>
        <v>3.3612819689474396</v>
      </c>
      <c r="V282" s="160">
        <f>N282*$F$18/N292</f>
        <v>1.9174845771521494</v>
      </c>
      <c r="W282" s="73">
        <f t="shared" si="52"/>
        <v>29.000014177707197</v>
      </c>
    </row>
    <row r="283" spans="1:23" x14ac:dyDescent="0.25">
      <c r="A283" s="118">
        <v>2</v>
      </c>
      <c r="B283" s="118">
        <v>2</v>
      </c>
      <c r="C283" s="158">
        <f>S267*$G$9/$W267</f>
        <v>2.4014096799148765</v>
      </c>
      <c r="D283" s="159">
        <f>T267*$G$9/$W267</f>
        <v>2.877340174396124</v>
      </c>
      <c r="E283" s="159">
        <f>U267*$G$9/$W267</f>
        <v>9.6387173176336809</v>
      </c>
      <c r="F283" s="160">
        <f>V267*$G$9/$W267</f>
        <v>5.0825328280553181</v>
      </c>
      <c r="G283" s="73">
        <f t="shared" si="50"/>
        <v>20</v>
      </c>
      <c r="I283" s="118">
        <v>2</v>
      </c>
      <c r="J283" s="118">
        <v>2</v>
      </c>
      <c r="K283" s="158">
        <f>C283*$C$15/C289</f>
        <v>2.4014110802169837</v>
      </c>
      <c r="L283" s="159">
        <f>D283*$D$15/D289</f>
        <v>2.8773419996398091</v>
      </c>
      <c r="M283" s="159">
        <f>E283*$E$15/E289</f>
        <v>9.6387180207098684</v>
      </c>
      <c r="N283" s="160">
        <f>F283*$F$15/F289</f>
        <v>5.0825193405649518</v>
      </c>
      <c r="O283" s="73">
        <f t="shared" si="51"/>
        <v>19.999990441131615</v>
      </c>
      <c r="Q283" s="118">
        <v>2</v>
      </c>
      <c r="R283" s="118">
        <v>2</v>
      </c>
      <c r="S283" s="158">
        <f>K283*$C$19/K293</f>
        <v>2.4014108661533573</v>
      </c>
      <c r="T283" s="159">
        <f>L283*$D$19/L293</f>
        <v>2.8773420651528325</v>
      </c>
      <c r="U283" s="159">
        <f>M283*$E$19/M293</f>
        <v>9.638718051851205</v>
      </c>
      <c r="V283" s="160">
        <f>N283*$F$19/N293</f>
        <v>5.0825268144053553</v>
      </c>
      <c r="W283" s="73">
        <f t="shared" si="52"/>
        <v>19.999997797562749</v>
      </c>
    </row>
    <row r="284" spans="1:23" x14ac:dyDescent="0.25">
      <c r="A284" s="118">
        <v>3</v>
      </c>
      <c r="B284" s="118">
        <v>1</v>
      </c>
      <c r="C284" s="158">
        <f>S268*$G$10/$W268</f>
        <v>8.1797725667968741</v>
      </c>
      <c r="D284" s="159">
        <f>T268*$G$10/$W268</f>
        <v>6.2029538957507624</v>
      </c>
      <c r="E284" s="159">
        <f>U268*$G$10/$W268</f>
        <v>12.458962075389367</v>
      </c>
      <c r="F284" s="160">
        <f>V268*$G$10/$W268</f>
        <v>6.1583114620629997</v>
      </c>
      <c r="G284" s="73">
        <f t="shared" si="50"/>
        <v>33</v>
      </c>
      <c r="I284" s="118">
        <v>3</v>
      </c>
      <c r="J284" s="118">
        <v>1</v>
      </c>
      <c r="K284" s="158">
        <f>C284*$C$16/C290</f>
        <v>8.1797783501338106</v>
      </c>
      <c r="L284" s="159">
        <f>D284*$D$16/D290</f>
        <v>6.2029580608107988</v>
      </c>
      <c r="M284" s="159">
        <f>E284*$E$16/E290</f>
        <v>12.458973994033913</v>
      </c>
      <c r="N284" s="160">
        <f>F284*$F$16/F290</f>
        <v>6.1582982161169602</v>
      </c>
      <c r="O284" s="73">
        <f t="shared" si="51"/>
        <v>33.000008621095482</v>
      </c>
      <c r="Q284" s="118">
        <v>3</v>
      </c>
      <c r="R284" s="118">
        <v>1</v>
      </c>
      <c r="S284" s="158">
        <f>K284*$C$18/K292</f>
        <v>8.1797789490799637</v>
      </c>
      <c r="T284" s="159">
        <f>L284*$D$18/L292</f>
        <v>6.2029579431169566</v>
      </c>
      <c r="U284" s="159">
        <f>M284*$E$18/M292</f>
        <v>12.458973955697546</v>
      </c>
      <c r="V284" s="160">
        <f>N284*$F$18/N292</f>
        <v>6.1583107984969256</v>
      </c>
      <c r="W284" s="73">
        <f t="shared" si="52"/>
        <v>33.000021646391396</v>
      </c>
    </row>
    <row r="285" spans="1:23" x14ac:dyDescent="0.25">
      <c r="A285" s="118">
        <v>3</v>
      </c>
      <c r="B285" s="118">
        <v>2</v>
      </c>
      <c r="C285" s="161">
        <f>S269*$G$11/$W269</f>
        <v>15.820210464517606</v>
      </c>
      <c r="D285" s="162">
        <f>T269*$G$11/$W269</f>
        <v>9.797035360832961</v>
      </c>
      <c r="E285" s="162">
        <f>U269*$G$11/$W269</f>
        <v>3.5410226185097584</v>
      </c>
      <c r="F285" s="163">
        <f>V269*$G$11/$W269</f>
        <v>13.841731556139676</v>
      </c>
      <c r="G285" s="73">
        <f t="shared" si="50"/>
        <v>43</v>
      </c>
      <c r="I285" s="118">
        <v>3</v>
      </c>
      <c r="J285" s="118">
        <v>2</v>
      </c>
      <c r="K285" s="161">
        <f>C285*$C$16/C290</f>
        <v>15.820221649866191</v>
      </c>
      <c r="L285" s="162">
        <f>D285*$D$16/D290</f>
        <v>9.7970419391891994</v>
      </c>
      <c r="M285" s="162">
        <f>E285*$E$16/E290</f>
        <v>3.5410260059660863</v>
      </c>
      <c r="N285" s="163">
        <f>F285*$F$16/F290</f>
        <v>13.841701783883039</v>
      </c>
      <c r="O285" s="73">
        <f t="shared" si="51"/>
        <v>42.999991378904511</v>
      </c>
      <c r="Q285" s="118">
        <v>3</v>
      </c>
      <c r="R285" s="118">
        <v>2</v>
      </c>
      <c r="S285" s="161">
        <f>K285*$C$19/K293</f>
        <v>15.820220239639493</v>
      </c>
      <c r="T285" s="162">
        <f>L285*$D$19/L293</f>
        <v>9.7970421622540407</v>
      </c>
      <c r="U285" s="162">
        <f>M285*$E$19/M293</f>
        <v>3.5410260174066415</v>
      </c>
      <c r="V285" s="163">
        <f>N285*$F$19/N293</f>
        <v>13.841722138093838</v>
      </c>
      <c r="W285" s="73">
        <f t="shared" si="52"/>
        <v>43.000010557394013</v>
      </c>
    </row>
    <row r="286" spans="1:23" x14ac:dyDescent="0.25">
      <c r="C286" s="164">
        <f>SUM(C280:C285)</f>
        <v>50.999993106025251</v>
      </c>
      <c r="D286" s="164">
        <f>SUM(D280:D285)</f>
        <v>43.999999539806424</v>
      </c>
      <c r="E286" s="164">
        <f>SUM(E280:E285)</f>
        <v>40.99999930264427</v>
      </c>
      <c r="F286" s="164">
        <f>SUM(F280:F285)</f>
        <v>39.00000805152407</v>
      </c>
      <c r="G286" s="166">
        <f>SUM(G280:G285)</f>
        <v>175</v>
      </c>
      <c r="K286" s="164">
        <f>SUM(K280:K285)</f>
        <v>51</v>
      </c>
      <c r="L286" s="164">
        <f>SUM(L280:L285)</f>
        <v>44</v>
      </c>
      <c r="M286" s="164">
        <f>SUM(M280:M285)</f>
        <v>41</v>
      </c>
      <c r="N286" s="164">
        <f>SUM(N280:N285)</f>
        <v>38.99993291544088</v>
      </c>
      <c r="O286" s="166">
        <f>SUM(O280:O285)</f>
        <v>174.99993291544087</v>
      </c>
      <c r="S286" s="164">
        <f>SUM(S280:S285)</f>
        <v>51</v>
      </c>
      <c r="T286" s="164">
        <f>SUM(T280:T285)</f>
        <v>44</v>
      </c>
      <c r="U286" s="164">
        <f>SUM(U280:U285)</f>
        <v>41</v>
      </c>
      <c r="V286" s="164">
        <f>SUM(V280:V285)</f>
        <v>39</v>
      </c>
      <c r="W286" s="166">
        <f>SUM(W280:W285)</f>
        <v>175</v>
      </c>
    </row>
    <row r="288" spans="1:23" x14ac:dyDescent="0.25">
      <c r="A288" s="118">
        <v>1</v>
      </c>
      <c r="C288" s="148">
        <f>SUMIF(A280:A285,A288,C280:C285)</f>
        <v>12.00001882145629</v>
      </c>
      <c r="D288" s="149">
        <f>SUMIF(A280:A285,A288,D280:D285)</f>
        <v>14.000019164131395</v>
      </c>
      <c r="E288" s="149">
        <f>SUMIF(A280:A285,A288,E280:E285)</f>
        <v>12.000015557003035</v>
      </c>
      <c r="F288" s="150">
        <f>SUMIF(A280:A285,A288,F280:F285)</f>
        <v>11.999946457409283</v>
      </c>
      <c r="G288" s="165">
        <f>SUM(C288:F288)</f>
        <v>50</v>
      </c>
      <c r="I288" s="118">
        <v>1</v>
      </c>
      <c r="K288" s="148">
        <f>SUMIF(I280:I285,I288,K280:K285)</f>
        <v>11.999999999999998</v>
      </c>
      <c r="L288" s="149">
        <f>SUMIF(I280:I285,I288,L280:L285)</f>
        <v>14.000000000000002</v>
      </c>
      <c r="M288" s="149">
        <f>SUMIF(I280:I285,I288,M280:M285)</f>
        <v>12</v>
      </c>
      <c r="N288" s="150">
        <f>SUMIF(I280:I285,I288,N280:N285)</f>
        <v>11.999932915440883</v>
      </c>
      <c r="O288" s="165">
        <f>SUM(K288:N288)</f>
        <v>49.99993291544088</v>
      </c>
      <c r="Q288" s="118">
        <v>1</v>
      </c>
      <c r="S288" s="148">
        <f>SUMIF(Q280:Q285,Q288,S280:S285)</f>
        <v>12.000000102840401</v>
      </c>
      <c r="T288" s="149">
        <f>SUMIF(Q280:Q285,Q288,T280:T285)</f>
        <v>14.000000040155346</v>
      </c>
      <c r="U288" s="149">
        <f>SUMIF(Q280:Q285,Q288,U280:U285)</f>
        <v>12.000000006097167</v>
      </c>
      <c r="V288" s="150">
        <f>SUMIF(Q280:Q285,Q288,V280:V285)</f>
        <v>11.999955671851732</v>
      </c>
      <c r="W288" s="165">
        <f>SUM(S288:V288)</f>
        <v>49.999955820944642</v>
      </c>
    </row>
    <row r="289" spans="1:23" x14ac:dyDescent="0.25">
      <c r="A289" s="118">
        <v>2</v>
      </c>
      <c r="C289" s="151">
        <f>SUMIF(A280:A285,A289,C280:C285)</f>
        <v>14.999991253254478</v>
      </c>
      <c r="D289" s="73">
        <f>SUMIF(A280:A285,A289,D280:D285)</f>
        <v>13.999991119091302</v>
      </c>
      <c r="E289" s="73">
        <f>SUMIF(A280:A285,A289,E280:E285)</f>
        <v>12.999999051742108</v>
      </c>
      <c r="F289" s="70">
        <f>SUMIF(A280:A285,A289,F280:F285)</f>
        <v>7.000018575912109</v>
      </c>
      <c r="G289" s="165">
        <f>SUM(C289:F289)</f>
        <v>49</v>
      </c>
      <c r="I289" s="118">
        <v>2</v>
      </c>
      <c r="K289" s="151">
        <f>SUMIF(I280:I285,I289,K280:K285)</f>
        <v>15</v>
      </c>
      <c r="L289" s="73">
        <f>SUMIF(I280:I285,I289,L280:L285)</f>
        <v>13.999999999999998</v>
      </c>
      <c r="M289" s="73">
        <f>SUMIF(I280:I285,I289,M280:M285)</f>
        <v>13</v>
      </c>
      <c r="N289" s="70">
        <f>SUMIF(I280:I285,I289,N280:N285)</f>
        <v>7</v>
      </c>
      <c r="O289" s="165">
        <f>SUM(K289:N289)</f>
        <v>49</v>
      </c>
      <c r="Q289" s="118">
        <v>2</v>
      </c>
      <c r="S289" s="151">
        <f>SUMIF(Q280:Q285,Q289,S280:S285)</f>
        <v>15.000000708440142</v>
      </c>
      <c r="T289" s="73">
        <f>SUMIF(Q280:Q285,Q289,T280:T285)</f>
        <v>13.999999854473655</v>
      </c>
      <c r="U289" s="73">
        <f>SUMIF(Q280:Q285,Q289,U280:U285)</f>
        <v>13.000000020798645</v>
      </c>
      <c r="V289" s="70">
        <f>SUMIF(Q280:Q285,Q289,V280:V285)</f>
        <v>7.0000113915575044</v>
      </c>
      <c r="W289" s="165">
        <f>SUM(S289:V289)</f>
        <v>49.000011975269949</v>
      </c>
    </row>
    <row r="290" spans="1:23" x14ac:dyDescent="0.25">
      <c r="A290" s="118">
        <v>3</v>
      </c>
      <c r="C290" s="152">
        <f>SUMIF(A280:A285,A290,C280:C285)</f>
        <v>23.999983031314478</v>
      </c>
      <c r="D290" s="153">
        <f>SUMIF(A280:A285,A290,D280:D285)</f>
        <v>15.999989256583724</v>
      </c>
      <c r="E290" s="153">
        <f>SUMIF(A280:A285,A290,E280:E285)</f>
        <v>15.999984693899126</v>
      </c>
      <c r="F290" s="154">
        <f>SUMIF(A280:A285,A290,F280:F285)</f>
        <v>20.000043018202675</v>
      </c>
      <c r="G290" s="165">
        <f>SUM(C290:F290)</f>
        <v>76</v>
      </c>
      <c r="I290" s="118">
        <v>3</v>
      </c>
      <c r="K290" s="152">
        <f>SUMIF(I280:I285,I290,K280:K285)</f>
        <v>24</v>
      </c>
      <c r="L290" s="153">
        <f>SUMIF(I280:I285,I290,L280:L285)</f>
        <v>15.999999999999998</v>
      </c>
      <c r="M290" s="153">
        <f>SUMIF(I280:I285,I290,M280:M285)</f>
        <v>16</v>
      </c>
      <c r="N290" s="154">
        <f>SUMIF(I280:I285,I290,N280:N285)</f>
        <v>20</v>
      </c>
      <c r="O290" s="165">
        <f>SUM(K290:N290)</f>
        <v>76</v>
      </c>
      <c r="Q290" s="118">
        <v>3</v>
      </c>
      <c r="S290" s="152">
        <f>SUMIF(Q280:Q285,Q290,S280:S285)</f>
        <v>23.999999188719457</v>
      </c>
      <c r="T290" s="153">
        <f>SUMIF(Q280:Q285,Q290,T280:T285)</f>
        <v>16.000000105370997</v>
      </c>
      <c r="U290" s="153">
        <f>SUMIF(Q280:Q285,Q290,U280:U285)</f>
        <v>15.999999973104188</v>
      </c>
      <c r="V290" s="154">
        <f>SUMIF(Q280:Q285,Q290,V280:V285)</f>
        <v>20.000032936590763</v>
      </c>
      <c r="W290" s="165">
        <f>SUM(S290:V290)</f>
        <v>76.000032203785409</v>
      </c>
    </row>
    <row r="292" spans="1:23" x14ac:dyDescent="0.25">
      <c r="B292" s="118">
        <v>1</v>
      </c>
      <c r="C292" s="148">
        <f>SUMIF(B280:B285,B292,C280:C285)</f>
        <v>27.999996146782333</v>
      </c>
      <c r="D292" s="149">
        <f>SUMIF(B280:B285,B292,D280:D285)</f>
        <v>23.999998370988155</v>
      </c>
      <c r="E292" s="149">
        <f>SUMIF(B280:B285,B292,E280:E285)</f>
        <v>20.999994615898803</v>
      </c>
      <c r="F292" s="150">
        <f>SUMIF(B280:B285,B292,F280:F285)</f>
        <v>17.000010866330712</v>
      </c>
      <c r="G292" s="165">
        <f>SUM(C292:F292)</f>
        <v>90</v>
      </c>
      <c r="J292" s="118">
        <v>1</v>
      </c>
      <c r="K292" s="148">
        <f>SUMIF(J280:J285,J292,K280:K285)</f>
        <v>27.999997949762168</v>
      </c>
      <c r="L292" s="149">
        <f>SUMIF(J280:J285,J292,L280:L285)</f>
        <v>24.000000455371811</v>
      </c>
      <c r="M292" s="149">
        <f>SUMIF(J280:J285,J292,M280:M285)</f>
        <v>21.000000064617176</v>
      </c>
      <c r="N292" s="150">
        <f>SUMIF(J280:J285,J292,N280:N285)</f>
        <v>16.999965266374755</v>
      </c>
      <c r="O292" s="165">
        <f>SUM(K292:N292)</f>
        <v>89.999963736125906</v>
      </c>
      <c r="R292" s="118">
        <v>1</v>
      </c>
      <c r="S292" s="148">
        <f>SUMIF(R280:R285,R292,S280:S285)</f>
        <v>28</v>
      </c>
      <c r="T292" s="149">
        <f>SUMIF(R280:R285,R292,T280:T285)</f>
        <v>24</v>
      </c>
      <c r="U292" s="149">
        <f>SUMIF(R280:R285,R292,U280:U285)</f>
        <v>21</v>
      </c>
      <c r="V292" s="150">
        <f>SUMIF(R280:R285,R292,V280:V285)</f>
        <v>17</v>
      </c>
      <c r="W292" s="165">
        <f>SUM(S292:V292)</f>
        <v>90</v>
      </c>
    </row>
    <row r="293" spans="1:23" x14ac:dyDescent="0.25">
      <c r="B293" s="118">
        <v>2</v>
      </c>
      <c r="C293" s="152">
        <f>SUMIF(B280:B285,B293,C280:C285)</f>
        <v>22.999996959242914</v>
      </c>
      <c r="D293" s="153">
        <f>SUMIF(B280:B285,B293,D280:D285)</f>
        <v>20.000001168818265</v>
      </c>
      <c r="E293" s="153">
        <f>SUMIF(B280:B285,B293,E280:E285)</f>
        <v>20.000004686745463</v>
      </c>
      <c r="F293" s="154">
        <f>SUMIF(B280:B285,B293,F280:F285)</f>
        <v>21.999997185193354</v>
      </c>
      <c r="G293" s="165">
        <f>SUM(C293:F293)</f>
        <v>85</v>
      </c>
      <c r="J293" s="118">
        <v>2</v>
      </c>
      <c r="K293" s="152">
        <f>SUMIF(J280:J285,J293,K280:K285)</f>
        <v>23.000002050237832</v>
      </c>
      <c r="L293" s="153">
        <f>SUMIF(J280:J285,J293,L280:L285)</f>
        <v>19.999999544628189</v>
      </c>
      <c r="M293" s="153">
        <f>SUMIF(J280:J285,J293,M280:M285)</f>
        <v>19.999999935382824</v>
      </c>
      <c r="N293" s="154">
        <f>SUMIF(J280:J285,J293,N280:N285)</f>
        <v>21.999967649066129</v>
      </c>
      <c r="O293" s="165">
        <f>SUM(K293:N293)</f>
        <v>84.999969179314974</v>
      </c>
      <c r="R293" s="118">
        <v>2</v>
      </c>
      <c r="S293" s="152">
        <f>SUMIF(R280:R285,R293,S280:S285)</f>
        <v>23</v>
      </c>
      <c r="T293" s="153">
        <f>SUMIF(R280:R285,R293,T280:T285)</f>
        <v>20</v>
      </c>
      <c r="U293" s="153">
        <f>SUMIF(R280:R285,R293,U280:U285)</f>
        <v>20</v>
      </c>
      <c r="V293" s="154">
        <f>SUMIF(R280:R285,R293,V280:V285)</f>
        <v>22</v>
      </c>
      <c r="W293" s="165">
        <f>SUM(S293:V293)</f>
        <v>85</v>
      </c>
    </row>
    <row r="295" spans="1:23" x14ac:dyDescent="0.25">
      <c r="A295" s="118" t="s">
        <v>21</v>
      </c>
      <c r="B295" s="118" t="s">
        <v>340</v>
      </c>
      <c r="C295">
        <v>1</v>
      </c>
      <c r="D295">
        <f>C295+1</f>
        <v>2</v>
      </c>
      <c r="E295">
        <f>D295+1</f>
        <v>3</v>
      </c>
      <c r="F295">
        <f>E295+1</f>
        <v>4</v>
      </c>
      <c r="I295" s="118" t="s">
        <v>21</v>
      </c>
      <c r="J295" s="118" t="s">
        <v>340</v>
      </c>
      <c r="K295">
        <v>1</v>
      </c>
      <c r="L295">
        <f>K295+1</f>
        <v>2</v>
      </c>
      <c r="M295">
        <f>L295+1</f>
        <v>3</v>
      </c>
      <c r="N295">
        <f>M295+1</f>
        <v>4</v>
      </c>
      <c r="Q295" s="118" t="s">
        <v>21</v>
      </c>
      <c r="R295" s="118" t="s">
        <v>340</v>
      </c>
      <c r="S295">
        <v>1</v>
      </c>
      <c r="T295">
        <f>S295+1</f>
        <v>2</v>
      </c>
      <c r="U295">
        <f>T295+1</f>
        <v>3</v>
      </c>
      <c r="V295">
        <f>U295+1</f>
        <v>4</v>
      </c>
    </row>
    <row r="296" spans="1:23" x14ac:dyDescent="0.25">
      <c r="A296" s="118">
        <v>1</v>
      </c>
      <c r="B296" s="118">
        <v>1</v>
      </c>
      <c r="C296" s="155">
        <f>S280*$G$6/$W280</f>
        <v>7.2216404482318017</v>
      </c>
      <c r="D296" s="156">
        <f>T280*$G$6/$W280</f>
        <v>6.6743928069945744</v>
      </c>
      <c r="E296" s="156">
        <f>U280*$G$6/$W280</f>
        <v>5.1797507024942933</v>
      </c>
      <c r="F296" s="157">
        <f>V280*$G$6/$W280</f>
        <v>8.9242160422793297</v>
      </c>
      <c r="G296" s="73">
        <f t="shared" ref="G296:G301" si="53">SUM(C296:F296)</f>
        <v>28</v>
      </c>
      <c r="I296" s="118">
        <v>1</v>
      </c>
      <c r="J296" s="118">
        <v>1</v>
      </c>
      <c r="K296" s="155">
        <f>C296*$C$14/C304</f>
        <v>7.2216337338429524</v>
      </c>
      <c r="L296" s="156">
        <f>D296*$D$14/D304</f>
        <v>6.6743873904224511</v>
      </c>
      <c r="M296" s="156">
        <f>E296*$E$14/E304</f>
        <v>5.1797467212670565</v>
      </c>
      <c r="N296" s="157">
        <f>F296*F288/F304</f>
        <v>8.9241998295747731</v>
      </c>
      <c r="O296" s="73">
        <f t="shared" ref="O296:O301" si="54">SUM(K296:N296)</f>
        <v>27.999967675107236</v>
      </c>
      <c r="Q296" s="118">
        <v>1</v>
      </c>
      <c r="R296" s="118">
        <v>1</v>
      </c>
      <c r="S296" s="155">
        <f>K296*$C$18/K308</f>
        <v>7.2216340470784859</v>
      </c>
      <c r="T296" s="156">
        <f>L296*$D$18/L308</f>
        <v>6.6743873154955109</v>
      </c>
      <c r="U296" s="156">
        <f>M296*$E$18/M308</f>
        <v>5.1797467121561649</v>
      </c>
      <c r="V296" s="157">
        <f>N296*$F$18/N308</f>
        <v>8.924210664685214</v>
      </c>
      <c r="W296" s="73">
        <f t="shared" ref="W296:W301" si="55">SUM(S296:V296)</f>
        <v>27.999978739415376</v>
      </c>
    </row>
    <row r="297" spans="1:23" x14ac:dyDescent="0.25">
      <c r="A297" s="118">
        <v>1</v>
      </c>
      <c r="B297" s="118">
        <v>2</v>
      </c>
      <c r="C297" s="158">
        <f>S281*$G$7/$W281</f>
        <v>4.7783707088926333</v>
      </c>
      <c r="D297" s="159">
        <f>T281*$G$7/$W281</f>
        <v>7.3256185546488659</v>
      </c>
      <c r="E297" s="159">
        <f>U281*$G$7/$W281</f>
        <v>6.82025852087693</v>
      </c>
      <c r="F297" s="160">
        <f>V281*$G$7/$W281</f>
        <v>3.0757522155815695</v>
      </c>
      <c r="G297" s="73">
        <f t="shared" si="53"/>
        <v>22</v>
      </c>
      <c r="I297" s="118">
        <v>1</v>
      </c>
      <c r="J297" s="118">
        <v>2</v>
      </c>
      <c r="K297" s="158">
        <f>C297*$C$14/C304</f>
        <v>4.7783662661570476</v>
      </c>
      <c r="L297" s="159">
        <f>D297*$D$14/D304</f>
        <v>7.3256126095775471</v>
      </c>
      <c r="M297" s="159">
        <f>E297*$E$14/E304</f>
        <v>6.8202532787329453</v>
      </c>
      <c r="N297" s="160">
        <f>F297*$F$14/F304</f>
        <v>3.0757603515159793</v>
      </c>
      <c r="O297" s="73">
        <f t="shared" si="54"/>
        <v>21.999992505983517</v>
      </c>
      <c r="Q297" s="118">
        <v>1</v>
      </c>
      <c r="R297" s="118">
        <v>2</v>
      </c>
      <c r="S297" s="158">
        <f>K297*$C$19/K309</f>
        <v>4.778366013840837</v>
      </c>
      <c r="T297" s="159">
        <f>L297*$D$19/L309</f>
        <v>7.3256127082626952</v>
      </c>
      <c r="U297" s="159">
        <f>M297*$E$19/M309</f>
        <v>6.8202532913292204</v>
      </c>
      <c r="V297" s="160">
        <f>N297*$F$19/N309</f>
        <v>3.0757630328512997</v>
      </c>
      <c r="W297" s="73">
        <f t="shared" si="55"/>
        <v>21.999995046284052</v>
      </c>
    </row>
    <row r="298" spans="1:23" x14ac:dyDescent="0.25">
      <c r="A298" s="118">
        <v>2</v>
      </c>
      <c r="B298" s="118">
        <v>1</v>
      </c>
      <c r="C298" s="158">
        <f>S282*$G$8/$W282</f>
        <v>12.598583683009871</v>
      </c>
      <c r="D298" s="159">
        <f>T282*$G$8/$W282</f>
        <v>11.122652351606744</v>
      </c>
      <c r="E298" s="159">
        <f>U282*$G$8/$W282</f>
        <v>3.3612803256630168</v>
      </c>
      <c r="F298" s="160">
        <f>V282*$G$8/$W282</f>
        <v>1.9174836397203701</v>
      </c>
      <c r="G298" s="73">
        <f t="shared" si="53"/>
        <v>29.000000000000004</v>
      </c>
      <c r="I298" s="118">
        <v>2</v>
      </c>
      <c r="J298" s="118">
        <v>1</v>
      </c>
      <c r="K298" s="158">
        <f>C298*$C$15/C305</f>
        <v>12.598588039088352</v>
      </c>
      <c r="L298" s="159">
        <f>D298*$D$15/D305</f>
        <v>11.122656535618137</v>
      </c>
      <c r="M298" s="159">
        <f>E298*$E$15/E305</f>
        <v>3.3612804707286617</v>
      </c>
      <c r="N298" s="160">
        <f>F298*$F$15/F305</f>
        <v>1.917480622750029</v>
      </c>
      <c r="O298" s="73">
        <f t="shared" si="54"/>
        <v>29.000005668185182</v>
      </c>
      <c r="Q298" s="118">
        <v>2</v>
      </c>
      <c r="R298" s="118">
        <v>1</v>
      </c>
      <c r="S298" s="158">
        <f>K298*$C$18/K308</f>
        <v>12.598588585547171</v>
      </c>
      <c r="T298" s="159">
        <f>L298*$D$18/L308</f>
        <v>11.122656410754752</v>
      </c>
      <c r="U298" s="159">
        <f>M298*$E$18/M308</f>
        <v>3.3612804648163532</v>
      </c>
      <c r="V298" s="160">
        <f>N298*$F$18/N308</f>
        <v>1.9174829508146973</v>
      </c>
      <c r="W298" s="73">
        <f t="shared" si="55"/>
        <v>29.000008411932974</v>
      </c>
    </row>
    <row r="299" spans="1:23" x14ac:dyDescent="0.25">
      <c r="A299" s="118">
        <v>2</v>
      </c>
      <c r="B299" s="118">
        <v>2</v>
      </c>
      <c r="C299" s="158">
        <f>S283*$G$9/$W283</f>
        <v>2.4014111306012236</v>
      </c>
      <c r="D299" s="159">
        <f>T283*$G$9/$W283</f>
        <v>2.8773423820111348</v>
      </c>
      <c r="E299" s="159">
        <f>U283*$G$9/$W283</f>
        <v>9.6387191132849068</v>
      </c>
      <c r="F299" s="160">
        <f>V283*$G$9/$W283</f>
        <v>5.0825273741027361</v>
      </c>
      <c r="G299" s="73">
        <f t="shared" si="53"/>
        <v>20</v>
      </c>
      <c r="I299" s="118">
        <v>2</v>
      </c>
      <c r="J299" s="118">
        <v>2</v>
      </c>
      <c r="K299" s="158">
        <f>C299*$C$15/C305</f>
        <v>2.4014119609116471</v>
      </c>
      <c r="L299" s="159">
        <f>D299*$D$15/D305</f>
        <v>2.8773434643818616</v>
      </c>
      <c r="M299" s="159">
        <f>E299*$E$15/E305</f>
        <v>9.6387195292713379</v>
      </c>
      <c r="N299" s="160">
        <f>F299*$F$15/F305</f>
        <v>5.0825193772499713</v>
      </c>
      <c r="O299" s="73">
        <f t="shared" si="54"/>
        <v>19.999994331814818</v>
      </c>
      <c r="Q299" s="118">
        <v>2</v>
      </c>
      <c r="R299" s="118">
        <v>2</v>
      </c>
      <c r="S299" s="158">
        <f>K299*$C$19/K309</f>
        <v>2.4014118341078126</v>
      </c>
      <c r="T299" s="159">
        <f>L299*$D$19/L309</f>
        <v>2.8773435031432704</v>
      </c>
      <c r="U299" s="159">
        <f>M299*$E$19/M309</f>
        <v>9.6387195470730163</v>
      </c>
      <c r="V299" s="160">
        <f>N299*$F$19/N309</f>
        <v>5.0825238080043746</v>
      </c>
      <c r="W299" s="73">
        <f t="shared" si="55"/>
        <v>19.999998692328475</v>
      </c>
    </row>
    <row r="300" spans="1:23" x14ac:dyDescent="0.25">
      <c r="A300" s="118">
        <v>3</v>
      </c>
      <c r="B300" s="118">
        <v>1</v>
      </c>
      <c r="C300" s="158">
        <f>S284*$G$10/$W284</f>
        <v>8.1797735835472203</v>
      </c>
      <c r="D300" s="159">
        <f>T284*$G$10/$W284</f>
        <v>6.2029538742815813</v>
      </c>
      <c r="E300" s="159">
        <f>U284*$G$10/$W284</f>
        <v>12.458965783223313</v>
      </c>
      <c r="F300" s="160">
        <f>V284*$G$10/$W284</f>
        <v>6.1583067589478819</v>
      </c>
      <c r="G300" s="73">
        <f t="shared" si="53"/>
        <v>32.999999999999993</v>
      </c>
      <c r="I300" s="118">
        <v>3</v>
      </c>
      <c r="J300" s="118">
        <v>1</v>
      </c>
      <c r="K300" s="158">
        <f>C300*$C$16/C306</f>
        <v>8.1797770125797218</v>
      </c>
      <c r="L300" s="159">
        <f>D300*$D$16/D306</f>
        <v>6.2029563433843764</v>
      </c>
      <c r="M300" s="159">
        <f>E300*$E$16/E306</f>
        <v>12.458972844942133</v>
      </c>
      <c r="N300" s="160">
        <f>F300*$F$16/F306</f>
        <v>6.1582989075441645</v>
      </c>
      <c r="O300" s="73">
        <f t="shared" si="54"/>
        <v>33.000005108450395</v>
      </c>
      <c r="Q300" s="118">
        <v>3</v>
      </c>
      <c r="R300" s="118">
        <v>1</v>
      </c>
      <c r="S300" s="158">
        <f>K300*$C$18/K308</f>
        <v>8.1797773673743439</v>
      </c>
      <c r="T300" s="159">
        <f>L300*$D$18/L308</f>
        <v>6.2029562737497406</v>
      </c>
      <c r="U300" s="159">
        <f>M300*$E$18/M308</f>
        <v>12.458972823027482</v>
      </c>
      <c r="V300" s="160">
        <f>N300*$F$18/N308</f>
        <v>6.1583063845000892</v>
      </c>
      <c r="W300" s="73">
        <f t="shared" si="55"/>
        <v>33.00001284865165</v>
      </c>
    </row>
    <row r="301" spans="1:23" x14ac:dyDescent="0.25">
      <c r="A301" s="118">
        <v>3</v>
      </c>
      <c r="B301" s="118">
        <v>2</v>
      </c>
      <c r="C301" s="161">
        <f>S285*$G$11/$W285</f>
        <v>15.82021635544746</v>
      </c>
      <c r="D301" s="162">
        <f>T285*$G$11/$W285</f>
        <v>9.7970397568770906</v>
      </c>
      <c r="E301" s="162">
        <f>U285*$G$11/$W285</f>
        <v>3.5410251480113457</v>
      </c>
      <c r="F301" s="163">
        <f>V285*$G$11/$W285</f>
        <v>13.841718739664104</v>
      </c>
      <c r="G301" s="73">
        <f t="shared" si="53"/>
        <v>43</v>
      </c>
      <c r="I301" s="118">
        <v>3</v>
      </c>
      <c r="J301" s="118">
        <v>2</v>
      </c>
      <c r="K301" s="161">
        <f>C301*$C$16/C306</f>
        <v>15.82022298742028</v>
      </c>
      <c r="L301" s="162">
        <f>D301*$D$16/D306</f>
        <v>9.7970436566156245</v>
      </c>
      <c r="M301" s="162">
        <f>E301*$E$16/E306</f>
        <v>3.5410271550578667</v>
      </c>
      <c r="N301" s="163">
        <f>F301*$F$16/F306</f>
        <v>13.841701092455835</v>
      </c>
      <c r="O301" s="73">
        <f t="shared" si="54"/>
        <v>42.999994891549605</v>
      </c>
      <c r="Q301" s="118">
        <v>3</v>
      </c>
      <c r="R301" s="118">
        <v>2</v>
      </c>
      <c r="S301" s="161">
        <f>K301*$C$19/K309</f>
        <v>15.82022215205135</v>
      </c>
      <c r="T301" s="162">
        <f>L301*$D$19/L309</f>
        <v>9.7970437885940349</v>
      </c>
      <c r="U301" s="162">
        <f>M301*$E$19/M309</f>
        <v>3.5410271615977633</v>
      </c>
      <c r="V301" s="163">
        <f>N301*$F$19/N309</f>
        <v>13.841713159144327</v>
      </c>
      <c r="W301" s="73">
        <f t="shared" si="55"/>
        <v>43.000006261387476</v>
      </c>
    </row>
    <row r="302" spans="1:23" x14ac:dyDescent="0.25">
      <c r="C302" s="164">
        <f>SUM(C296:C301)</f>
        <v>50.999995909730202</v>
      </c>
      <c r="D302" s="164">
        <f>SUM(D296:D301)</f>
        <v>43.999999726419993</v>
      </c>
      <c r="E302" s="164">
        <f>SUM(E296:E301)</f>
        <v>40.999999593553802</v>
      </c>
      <c r="F302" s="164">
        <f>SUM(F296:F301)</f>
        <v>39.000004770295988</v>
      </c>
      <c r="G302" s="166">
        <f>SUM(G296:G301)</f>
        <v>175</v>
      </c>
      <c r="K302" s="164">
        <f>SUM(K296:K301)</f>
        <v>51</v>
      </c>
      <c r="L302" s="164">
        <f>SUM(L296:L301)</f>
        <v>44</v>
      </c>
      <c r="M302" s="164">
        <f>SUM(M296:M301)</f>
        <v>41</v>
      </c>
      <c r="N302" s="164">
        <f>SUM(N296:N301)</f>
        <v>38.999960181090756</v>
      </c>
      <c r="O302" s="166">
        <f>SUM(O296:O301)</f>
        <v>174.99996018109073</v>
      </c>
      <c r="S302" s="164">
        <f>SUM(S296:S301)</f>
        <v>51</v>
      </c>
      <c r="T302" s="164">
        <f>SUM(T296:T301)</f>
        <v>44</v>
      </c>
      <c r="U302" s="164">
        <f>SUM(U296:U301)</f>
        <v>41</v>
      </c>
      <c r="V302" s="164">
        <f>SUM(V296:V301)</f>
        <v>39</v>
      </c>
      <c r="W302" s="166">
        <f>SUM(W296:W301)</f>
        <v>175</v>
      </c>
    </row>
    <row r="304" spans="1:23" x14ac:dyDescent="0.25">
      <c r="A304" s="118">
        <v>1</v>
      </c>
      <c r="C304" s="148">
        <f>SUMIF(A296:A301,A304,C296:C301)</f>
        <v>12.000011157124435</v>
      </c>
      <c r="D304" s="149">
        <f>SUMIF(A296:A301,A304,D296:D301)</f>
        <v>14.000011361643441</v>
      </c>
      <c r="E304" s="149">
        <f>SUMIF(A296:A301,A304,E296:E301)</f>
        <v>12.000009223371222</v>
      </c>
      <c r="F304" s="150">
        <f>SUMIF(A296:A301,A304,F296:F301)</f>
        <v>11.9999682578609</v>
      </c>
      <c r="G304" s="165">
        <f>SUM(C304:F304)</f>
        <v>50</v>
      </c>
      <c r="I304" s="118">
        <v>1</v>
      </c>
      <c r="K304" s="148">
        <f>SUMIF(I296:I301,I304,K296:K301)</f>
        <v>12</v>
      </c>
      <c r="L304" s="149">
        <f>SUMIF(I296:I301,I304,L296:L301)</f>
        <v>13.999999999999998</v>
      </c>
      <c r="M304" s="149">
        <f>SUMIF(I296:I301,I304,M296:M301)</f>
        <v>12.000000000000002</v>
      </c>
      <c r="N304" s="150">
        <f>SUMIF(I296:I301,I304,N296:N301)</f>
        <v>11.999960181090753</v>
      </c>
      <c r="O304" s="165">
        <f>SUM(K304:N304)</f>
        <v>49.999960181090756</v>
      </c>
      <c r="Q304" s="118">
        <v>1</v>
      </c>
      <c r="S304" s="148">
        <f>SUMIF(Q296:Q301,Q304,S296:S301)</f>
        <v>12.000000060919323</v>
      </c>
      <c r="T304" s="149">
        <f>SUMIF(Q296:Q301,Q304,T296:T301)</f>
        <v>14.000000023758206</v>
      </c>
      <c r="U304" s="149">
        <f>SUMIF(Q296:Q301,Q304,U296:U301)</f>
        <v>12.000000003485386</v>
      </c>
      <c r="V304" s="150">
        <f>SUMIF(Q296:Q301,Q304,V296:V301)</f>
        <v>11.999973697536515</v>
      </c>
      <c r="W304" s="165">
        <f>SUM(S304:V304)</f>
        <v>49.999973785699439</v>
      </c>
    </row>
    <row r="305" spans="1:23" x14ac:dyDescent="0.25">
      <c r="A305" s="118">
        <v>2</v>
      </c>
      <c r="C305" s="151">
        <f>SUMIF(A296:A301,A305,C296:C301)</f>
        <v>14.999994813611094</v>
      </c>
      <c r="D305" s="73">
        <f>SUMIF(A296:A301,A305,D296:D301)</f>
        <v>13.999994733617878</v>
      </c>
      <c r="E305" s="73">
        <f>SUMIF(A296:A301,A305,E296:E301)</f>
        <v>12.999999438947924</v>
      </c>
      <c r="F305" s="70">
        <f>SUMIF(A296:A301,A305,F296:F301)</f>
        <v>7.000011013823106</v>
      </c>
      <c r="G305" s="165">
        <f>SUM(C305:F305)</f>
        <v>49</v>
      </c>
      <c r="I305" s="118">
        <v>2</v>
      </c>
      <c r="K305" s="151">
        <f>SUMIF(I296:I301,I305,K296:K301)</f>
        <v>14.999999999999998</v>
      </c>
      <c r="L305" s="73">
        <f>SUMIF(I296:I301,I305,L296:L301)</f>
        <v>14</v>
      </c>
      <c r="M305" s="73">
        <f>SUMIF(I296:I301,I305,M296:M301)</f>
        <v>13</v>
      </c>
      <c r="N305" s="70">
        <f>SUMIF(I296:I301,I305,N296:N301)</f>
        <v>7</v>
      </c>
      <c r="O305" s="165">
        <f>SUM(K305:N305)</f>
        <v>49</v>
      </c>
      <c r="Q305" s="118">
        <v>2</v>
      </c>
      <c r="S305" s="151">
        <f>SUMIF(Q296:Q301,Q305,S296:S301)</f>
        <v>15.000000419654985</v>
      </c>
      <c r="T305" s="73">
        <f>SUMIF(Q296:Q301,Q305,T296:T301)</f>
        <v>13.999999913898023</v>
      </c>
      <c r="U305" s="73">
        <f>SUMIF(Q296:Q301,Q305,U296:U301)</f>
        <v>13.000000011889369</v>
      </c>
      <c r="V305" s="70">
        <f>SUMIF(Q296:Q301,Q305,V296:V301)</f>
        <v>7.0000067588190724</v>
      </c>
      <c r="W305" s="165">
        <f>SUM(S305:V305)</f>
        <v>49.000007104261442</v>
      </c>
    </row>
    <row r="306" spans="1:23" x14ac:dyDescent="0.25">
      <c r="A306" s="118">
        <v>3</v>
      </c>
      <c r="C306" s="152">
        <f>SUMIF(A296:A301,A306,C296:C301)</f>
        <v>23.99998993899468</v>
      </c>
      <c r="D306" s="153">
        <f>SUMIF(A296:A301,A306,D296:D301)</f>
        <v>15.999993631158672</v>
      </c>
      <c r="E306" s="153">
        <f>SUMIF(A296:A301,A306,E296:E301)</f>
        <v>15.99999093123466</v>
      </c>
      <c r="F306" s="154">
        <f>SUMIF(A296:A301,A306,F296:F301)</f>
        <v>20.000025498611986</v>
      </c>
      <c r="G306" s="165">
        <f>SUM(C306:F306)</f>
        <v>76</v>
      </c>
      <c r="I306" s="118">
        <v>3</v>
      </c>
      <c r="K306" s="152">
        <f>SUMIF(I296:I301,I306,K296:K301)</f>
        <v>24</v>
      </c>
      <c r="L306" s="153">
        <f>SUMIF(I296:I301,I306,L296:L301)</f>
        <v>16</v>
      </c>
      <c r="M306" s="153">
        <f>SUMIF(I296:I301,I306,M296:M301)</f>
        <v>16</v>
      </c>
      <c r="N306" s="154">
        <f>SUMIF(I296:I301,I306,N296:N301)</f>
        <v>20</v>
      </c>
      <c r="O306" s="165">
        <f>SUM(K306:N306)</f>
        <v>76</v>
      </c>
      <c r="Q306" s="118">
        <v>3</v>
      </c>
      <c r="S306" s="152">
        <f>SUMIF(Q296:Q301,Q306,S296:S301)</f>
        <v>23.999999519425693</v>
      </c>
      <c r="T306" s="153">
        <f>SUMIF(Q296:Q301,Q306,T296:T301)</f>
        <v>16.000000062343776</v>
      </c>
      <c r="U306" s="153">
        <f>SUMIF(Q296:Q301,Q306,U296:U301)</f>
        <v>15.999999984625244</v>
      </c>
      <c r="V306" s="154">
        <f>SUMIF(Q296:Q301,Q306,V296:V301)</f>
        <v>20.000019543644417</v>
      </c>
      <c r="W306" s="165">
        <f>SUM(S306:V306)</f>
        <v>76.000019110039133</v>
      </c>
    </row>
    <row r="308" spans="1:23" x14ac:dyDescent="0.25">
      <c r="B308" s="118">
        <v>1</v>
      </c>
      <c r="C308" s="148">
        <f>SUMIF(B296:B301,B308,C296:C301)</f>
        <v>27.999997714788893</v>
      </c>
      <c r="D308" s="149">
        <f>SUMIF(B296:B301,B308,D296:D301)</f>
        <v>23.999999032882897</v>
      </c>
      <c r="E308" s="149">
        <f>SUMIF(B296:B301,B308,E296:E301)</f>
        <v>20.999996811380623</v>
      </c>
      <c r="F308" s="150">
        <f>SUMIF(B296:B301,B308,F296:F301)</f>
        <v>17.00000644094758</v>
      </c>
      <c r="G308" s="165">
        <f>SUM(C308:F308)</f>
        <v>90</v>
      </c>
      <c r="J308" s="118">
        <v>1</v>
      </c>
      <c r="K308" s="148">
        <f>SUMIF(J296:J301,J308,K296:K301)</f>
        <v>27.999998785511025</v>
      </c>
      <c r="L308" s="149">
        <f>SUMIF(J296:J301,J308,L296:L301)</f>
        <v>24.000000269424962</v>
      </c>
      <c r="M308" s="149">
        <f>SUMIF(J296:J301,J308,M296:M301)</f>
        <v>21.000000036937852</v>
      </c>
      <c r="N308" s="150">
        <f>SUMIF(J296:J301,J308,N296:N301)</f>
        <v>16.999979359868966</v>
      </c>
      <c r="O308" s="165">
        <f>SUM(K308:N308)</f>
        <v>89.999978451742805</v>
      </c>
      <c r="R308" s="118">
        <v>1</v>
      </c>
      <c r="S308" s="148">
        <f>SUMIF(R296:R301,R308,S296:S301)</f>
        <v>28</v>
      </c>
      <c r="T308" s="149">
        <f>SUMIF(R296:R301,R308,T296:T301)</f>
        <v>24.000000000000004</v>
      </c>
      <c r="U308" s="149">
        <f>SUMIF(R296:R301,R308,U296:U301)</f>
        <v>21</v>
      </c>
      <c r="V308" s="150">
        <f>SUMIF(R296:R301,R308,V296:V301)</f>
        <v>17</v>
      </c>
      <c r="W308" s="165">
        <f>SUM(S308:V308)</f>
        <v>90</v>
      </c>
    </row>
    <row r="309" spans="1:23" x14ac:dyDescent="0.25">
      <c r="B309" s="118">
        <v>2</v>
      </c>
      <c r="C309" s="152">
        <f>SUMIF(B296:B301,B309,C296:C301)</f>
        <v>22.999998194941316</v>
      </c>
      <c r="D309" s="153">
        <f>SUMIF(B296:B301,B309,D296:D301)</f>
        <v>20.000000693537089</v>
      </c>
      <c r="E309" s="153">
        <f>SUMIF(B296:B301,B309,E296:E301)</f>
        <v>20.000002782173183</v>
      </c>
      <c r="F309" s="154">
        <f>SUMIF(B296:B301,B309,F296:F301)</f>
        <v>21.999998329348408</v>
      </c>
      <c r="G309" s="165">
        <f>SUM(C309:F309)</f>
        <v>85</v>
      </c>
      <c r="J309" s="118">
        <v>2</v>
      </c>
      <c r="K309" s="152">
        <f>SUMIF(J296:J301,J309,K296:K301)</f>
        <v>23.000001214488975</v>
      </c>
      <c r="L309" s="153">
        <f>SUMIF(J296:J301,J309,L296:L301)</f>
        <v>19.999999730575034</v>
      </c>
      <c r="M309" s="153">
        <f>SUMIF(J296:J301,J309,M296:M301)</f>
        <v>19.999999963062152</v>
      </c>
      <c r="N309" s="154">
        <f>SUMIF(J296:J301,J309,N296:N301)</f>
        <v>21.999980821221786</v>
      </c>
      <c r="O309" s="165">
        <f>SUM(K309:N309)</f>
        <v>84.999981729347951</v>
      </c>
      <c r="R309" s="118">
        <v>2</v>
      </c>
      <c r="S309" s="152">
        <f>SUMIF(R296:R301,R309,S296:S301)</f>
        <v>23</v>
      </c>
      <c r="T309" s="153">
        <f>SUMIF(R296:R301,R309,T296:T301)</f>
        <v>20</v>
      </c>
      <c r="U309" s="153">
        <f>SUMIF(R296:R301,R309,U296:U301)</f>
        <v>20</v>
      </c>
      <c r="V309" s="154">
        <f>SUMIF(R296:R301,R309,V296:V301)</f>
        <v>22</v>
      </c>
      <c r="W309" s="165">
        <f>SUM(S309:V309)</f>
        <v>85</v>
      </c>
    </row>
    <row r="311" spans="1:23" x14ac:dyDescent="0.25">
      <c r="A311" s="118" t="s">
        <v>21</v>
      </c>
      <c r="B311" s="118" t="s">
        <v>340</v>
      </c>
      <c r="C311">
        <v>1</v>
      </c>
      <c r="D311">
        <f>C311+1</f>
        <v>2</v>
      </c>
      <c r="E311">
        <f>D311+1</f>
        <v>3</v>
      </c>
      <c r="F311">
        <f>E311+1</f>
        <v>4</v>
      </c>
      <c r="I311" s="118" t="s">
        <v>21</v>
      </c>
      <c r="J311" s="118" t="s">
        <v>340</v>
      </c>
      <c r="K311">
        <v>1</v>
      </c>
      <c r="L311">
        <f>K311+1</f>
        <v>2</v>
      </c>
      <c r="M311">
        <f>L311+1</f>
        <v>3</v>
      </c>
      <c r="N311">
        <f>M311+1</f>
        <v>4</v>
      </c>
      <c r="Q311" s="118" t="s">
        <v>21</v>
      </c>
      <c r="R311" s="118" t="s">
        <v>340</v>
      </c>
      <c r="S311">
        <v>1</v>
      </c>
      <c r="T311">
        <f>S311+1</f>
        <v>2</v>
      </c>
      <c r="U311">
        <f>T311+1</f>
        <v>3</v>
      </c>
      <c r="V311">
        <f>U311+1</f>
        <v>4</v>
      </c>
    </row>
    <row r="312" spans="1:23" x14ac:dyDescent="0.25">
      <c r="A312" s="118">
        <v>1</v>
      </c>
      <c r="B312" s="118">
        <v>1</v>
      </c>
      <c r="C312" s="155">
        <f>S296*$G$6/$W296</f>
        <v>7.2216395305169989</v>
      </c>
      <c r="D312" s="156">
        <f>T296*$G$6/$W296</f>
        <v>6.6743923834056575</v>
      </c>
      <c r="E312" s="156">
        <f>U296*$G$6/$W296</f>
        <v>5.1797506451749831</v>
      </c>
      <c r="F312" s="157">
        <f>V296*$G$6/$W296</f>
        <v>8.9242174409023605</v>
      </c>
      <c r="G312" s="73">
        <f t="shared" ref="G312:G317" si="56">SUM(C312:F312)</f>
        <v>28</v>
      </c>
      <c r="I312" s="118">
        <v>1</v>
      </c>
      <c r="J312" s="118">
        <v>1</v>
      </c>
      <c r="K312" s="155">
        <f>C312*$C$14/C320</f>
        <v>7.221635546402335</v>
      </c>
      <c r="L312" s="156">
        <f>D312*$D$14/D320</f>
        <v>6.6743891696067372</v>
      </c>
      <c r="M312" s="156">
        <f>E312*$E$14/E320</f>
        <v>5.1797482831175978</v>
      </c>
      <c r="N312" s="157">
        <f>F312*F304/F320</f>
        <v>8.9242078410626302</v>
      </c>
      <c r="O312" s="73">
        <f t="shared" ref="O312:O317" si="57">SUM(K312:N312)</f>
        <v>27.999980840189302</v>
      </c>
      <c r="Q312" s="118">
        <v>1</v>
      </c>
      <c r="R312" s="118">
        <v>1</v>
      </c>
      <c r="S312" s="155">
        <f>K312*$C$18/K324</f>
        <v>7.221635732231948</v>
      </c>
      <c r="T312" s="156">
        <f>L312*$D$18/L324</f>
        <v>6.6743891251014782</v>
      </c>
      <c r="U312" s="156">
        <f>M312*$E$18/M324</f>
        <v>5.1797482777067945</v>
      </c>
      <c r="V312" s="157">
        <f>N312*$F$18/N324</f>
        <v>8.9242142594219178</v>
      </c>
      <c r="W312" s="73">
        <f t="shared" ref="W312:W317" si="58">SUM(S312:V312)</f>
        <v>27.999987394462138</v>
      </c>
    </row>
    <row r="313" spans="1:23" x14ac:dyDescent="0.25">
      <c r="A313" s="118">
        <v>1</v>
      </c>
      <c r="B313" s="118">
        <v>2</v>
      </c>
      <c r="C313" s="158">
        <f>S297*$G$7/$W297</f>
        <v>4.7783670897805308</v>
      </c>
      <c r="D313" s="159">
        <f>T297*$G$7/$W297</f>
        <v>7.3256143577632704</v>
      </c>
      <c r="E313" s="159">
        <f>U297*$G$7/$W297</f>
        <v>6.8202548270385437</v>
      </c>
      <c r="F313" s="160">
        <f>V297*$G$7/$W297</f>
        <v>3.0757637254176546</v>
      </c>
      <c r="G313" s="73">
        <f t="shared" si="56"/>
        <v>22</v>
      </c>
      <c r="I313" s="118">
        <v>1</v>
      </c>
      <c r="J313" s="118">
        <v>2</v>
      </c>
      <c r="K313" s="158">
        <f>C313*$C$14/C320</f>
        <v>4.778364453597665</v>
      </c>
      <c r="L313" s="159">
        <f>D313*$D$14/D320</f>
        <v>7.3256108303932628</v>
      </c>
      <c r="M313" s="159">
        <f>E313*$E$14/E320</f>
        <v>6.8202517168824022</v>
      </c>
      <c r="N313" s="160">
        <f>F313*$F$14/F320</f>
        <v>3.0757685527543734</v>
      </c>
      <c r="O313" s="73">
        <f t="shared" si="57"/>
        <v>21.999995553627702</v>
      </c>
      <c r="Q313" s="118">
        <v>1</v>
      </c>
      <c r="R313" s="118">
        <v>2</v>
      </c>
      <c r="S313" s="158">
        <f>K313*$C$19/K325</f>
        <v>4.7783643039090409</v>
      </c>
      <c r="T313" s="159">
        <f>L313*$D$19/L325</f>
        <v>7.3256108890104397</v>
      </c>
      <c r="U313" s="159">
        <f>M313*$E$19/M325</f>
        <v>6.8202517243631116</v>
      </c>
      <c r="V313" s="160">
        <f>N313*$F$19/N325</f>
        <v>3.0757701437188967</v>
      </c>
      <c r="W313" s="73">
        <f t="shared" si="58"/>
        <v>21.999997061001487</v>
      </c>
    </row>
    <row r="314" spans="1:23" x14ac:dyDescent="0.25">
      <c r="A314" s="118">
        <v>2</v>
      </c>
      <c r="B314" s="118">
        <v>1</v>
      </c>
      <c r="C314" s="158">
        <f>S298*$G$8/$W298</f>
        <v>12.598584931117792</v>
      </c>
      <c r="D314" s="159">
        <f>T298*$G$8/$W298</f>
        <v>11.122653184443955</v>
      </c>
      <c r="E314" s="159">
        <f>U298*$G$8/$W298</f>
        <v>3.3612794898212579</v>
      </c>
      <c r="F314" s="160">
        <f>V298*$G$8/$W298</f>
        <v>1.9174823946169945</v>
      </c>
      <c r="G314" s="73">
        <f t="shared" si="56"/>
        <v>28.999999999999996</v>
      </c>
      <c r="I314" s="118">
        <v>2</v>
      </c>
      <c r="J314" s="118">
        <v>1</v>
      </c>
      <c r="K314" s="158">
        <f>C314*$C$15/C321</f>
        <v>12.598587516147624</v>
      </c>
      <c r="L314" s="159">
        <f>D314*$D$15/D321</f>
        <v>11.122655666608967</v>
      </c>
      <c r="M314" s="159">
        <f>E314*$E$15/E321</f>
        <v>3.3612795758937328</v>
      </c>
      <c r="N314" s="160">
        <f>F314*$F$15/F321</f>
        <v>1.9174806045296997</v>
      </c>
      <c r="O314" s="73">
        <f t="shared" si="57"/>
        <v>29.000003363180024</v>
      </c>
      <c r="Q314" s="118">
        <v>2</v>
      </c>
      <c r="R314" s="118">
        <v>1</v>
      </c>
      <c r="S314" s="158">
        <f>K314*$C$18/K324</f>
        <v>12.598587840338816</v>
      </c>
      <c r="T314" s="159">
        <f>L314*$D$18/L324</f>
        <v>11.12265559244238</v>
      </c>
      <c r="U314" s="159">
        <f>M314*$E$18/M324</f>
        <v>3.3612795723825153</v>
      </c>
      <c r="V314" s="160">
        <f>N314*$F$18/N324</f>
        <v>1.9174819835965773</v>
      </c>
      <c r="W314" s="73">
        <f t="shared" si="58"/>
        <v>29.000004988760285</v>
      </c>
    </row>
    <row r="315" spans="1:23" x14ac:dyDescent="0.25">
      <c r="A315" s="118">
        <v>2</v>
      </c>
      <c r="B315" s="118">
        <v>2</v>
      </c>
      <c r="C315" s="158">
        <f>S299*$G$9/$W299</f>
        <v>2.4014119911207166</v>
      </c>
      <c r="D315" s="159">
        <f>T299*$G$9/$W299</f>
        <v>2.8773436912742909</v>
      </c>
      <c r="E315" s="159">
        <f>U299*$G$9/$W299</f>
        <v>9.638720177287011</v>
      </c>
      <c r="F315" s="160">
        <f>V299*$G$9/$W299</f>
        <v>5.0825241403179788</v>
      </c>
      <c r="G315" s="73">
        <f t="shared" si="56"/>
        <v>19.999999999999996</v>
      </c>
      <c r="I315" s="118">
        <v>2</v>
      </c>
      <c r="J315" s="118">
        <v>2</v>
      </c>
      <c r="K315" s="158">
        <f>C315*$C$15/C321</f>
        <v>2.4014124838523743</v>
      </c>
      <c r="L315" s="159">
        <f>D315*$D$15/D321</f>
        <v>2.8773443333910338</v>
      </c>
      <c r="M315" s="159">
        <f>E315*$E$15/E321</f>
        <v>9.6387204241062658</v>
      </c>
      <c r="N315" s="160">
        <f>F315*$F$15/F321</f>
        <v>5.0825193954702996</v>
      </c>
      <c r="O315" s="73">
        <f t="shared" si="57"/>
        <v>19.999996636819972</v>
      </c>
      <c r="Q315" s="118">
        <v>2</v>
      </c>
      <c r="R315" s="118">
        <v>2</v>
      </c>
      <c r="S315" s="158">
        <f>K315*$C$19/K325</f>
        <v>2.4014124086249331</v>
      </c>
      <c r="T315" s="159">
        <f>L315*$D$19/L325</f>
        <v>2.8773443564146159</v>
      </c>
      <c r="U315" s="159">
        <f>M315*$E$19/M325</f>
        <v>9.6387204346783797</v>
      </c>
      <c r="V315" s="160">
        <f>N315*$F$19/N325</f>
        <v>5.0825220244418583</v>
      </c>
      <c r="W315" s="73">
        <f t="shared" si="58"/>
        <v>19.999999224159787</v>
      </c>
    </row>
    <row r="316" spans="1:23" x14ac:dyDescent="0.25">
      <c r="A316" s="118">
        <v>3</v>
      </c>
      <c r="B316" s="118">
        <v>1</v>
      </c>
      <c r="C316" s="158">
        <f>S300*$G$10/$W300</f>
        <v>8.1797741825540697</v>
      </c>
      <c r="D316" s="159">
        <f>T300*$G$10/$W300</f>
        <v>6.2029538586105488</v>
      </c>
      <c r="E316" s="159">
        <f>U300*$G$10/$W300</f>
        <v>12.458967972089924</v>
      </c>
      <c r="F316" s="160">
        <f>V300*$G$10/$W300</f>
        <v>6.1583039867454623</v>
      </c>
      <c r="G316" s="73">
        <f t="shared" si="56"/>
        <v>33</v>
      </c>
      <c r="I316" s="118">
        <v>3</v>
      </c>
      <c r="J316" s="118">
        <v>1</v>
      </c>
      <c r="K316" s="158">
        <f>C316*$C$16/C322</f>
        <v>8.1797762169444166</v>
      </c>
      <c r="L316" s="159">
        <f>D316*$D$16/D322</f>
        <v>6.2029553238178501</v>
      </c>
      <c r="M316" s="159">
        <f>E316*$E$16/E322</f>
        <v>12.458972162925425</v>
      </c>
      <c r="N316" s="160">
        <f>F316*$F$16/F322</f>
        <v>6.1582993278850084</v>
      </c>
      <c r="O316" s="73">
        <f t="shared" si="57"/>
        <v>33.000003031572703</v>
      </c>
      <c r="Q316" s="118">
        <v>3</v>
      </c>
      <c r="R316" s="118">
        <v>1</v>
      </c>
      <c r="S316" s="158">
        <f>K316*$C$18/K324</f>
        <v>8.1797764274292355</v>
      </c>
      <c r="T316" s="159">
        <f>L316*$D$18/L324</f>
        <v>6.2029552824561422</v>
      </c>
      <c r="U316" s="159">
        <f>M316*$E$18/M324</f>
        <v>12.458972149910691</v>
      </c>
      <c r="V316" s="160">
        <f>N316*$F$18/N324</f>
        <v>6.1583037569815042</v>
      </c>
      <c r="W316" s="73">
        <f t="shared" si="58"/>
        <v>33.000007616777573</v>
      </c>
    </row>
    <row r="317" spans="1:23" x14ac:dyDescent="0.25">
      <c r="A317" s="118">
        <v>3</v>
      </c>
      <c r="B317" s="118">
        <v>2</v>
      </c>
      <c r="C317" s="161">
        <f>S301*$G$11/$W301</f>
        <v>15.820219848411201</v>
      </c>
      <c r="D317" s="162">
        <f>T301*$G$11/$W301</f>
        <v>9.7970423620108171</v>
      </c>
      <c r="E317" s="162">
        <f>U301*$G$11/$W301</f>
        <v>3.5410266459759057</v>
      </c>
      <c r="F317" s="163">
        <f>V301*$G$11/$W301</f>
        <v>13.841711143602076</v>
      </c>
      <c r="G317" s="73">
        <f t="shared" si="56"/>
        <v>43</v>
      </c>
      <c r="I317" s="118">
        <v>3</v>
      </c>
      <c r="J317" s="118">
        <v>2</v>
      </c>
      <c r="K317" s="161">
        <f>C317*$C$16/C322</f>
        <v>15.820223783055585</v>
      </c>
      <c r="L317" s="162">
        <f>D317*$D$16/D322</f>
        <v>9.7970446761821499</v>
      </c>
      <c r="M317" s="162">
        <f>E317*$E$16/E322</f>
        <v>3.5410278370745751</v>
      </c>
      <c r="N317" s="163">
        <f>F317*$F$16/F322</f>
        <v>13.841700672114992</v>
      </c>
      <c r="O317" s="73">
        <f t="shared" si="57"/>
        <v>42.999996968427304</v>
      </c>
      <c r="Q317" s="118">
        <v>3</v>
      </c>
      <c r="R317" s="118">
        <v>2</v>
      </c>
      <c r="S317" s="161">
        <f>K317*$C$19/K325</f>
        <v>15.820223287466026</v>
      </c>
      <c r="T317" s="162">
        <f>L317*$D$19/L325</f>
        <v>9.7970447545749462</v>
      </c>
      <c r="U317" s="162">
        <f>M317*$E$19/M325</f>
        <v>3.5410278409585083</v>
      </c>
      <c r="V317" s="163">
        <f>N317*$F$19/N325</f>
        <v>13.841707831839248</v>
      </c>
      <c r="W317" s="73">
        <f t="shared" si="58"/>
        <v>43.000003714838726</v>
      </c>
    </row>
    <row r="318" spans="1:23" x14ac:dyDescent="0.25">
      <c r="C318" s="164">
        <f>SUM(C312:C317)</f>
        <v>50.999997573501304</v>
      </c>
      <c r="D318" s="164">
        <f>SUM(D312:D317)</f>
        <v>43.99999983750854</v>
      </c>
      <c r="E318" s="164">
        <f>SUM(E312:E317)</f>
        <v>40.99999975738762</v>
      </c>
      <c r="F318" s="164">
        <f>SUM(F312:F317)</f>
        <v>39.000002831602529</v>
      </c>
      <c r="G318" s="166">
        <f>SUM(G312:G317)</f>
        <v>175</v>
      </c>
      <c r="K318" s="164">
        <f>SUM(K312:K317)</f>
        <v>51</v>
      </c>
      <c r="L318" s="164">
        <f>SUM(L312:L317)</f>
        <v>44</v>
      </c>
      <c r="M318" s="164">
        <f>SUM(M312:M317)</f>
        <v>41</v>
      </c>
      <c r="N318" s="164">
        <f>SUM(N312:N317)</f>
        <v>38.999976393817008</v>
      </c>
      <c r="O318" s="166">
        <f>SUM(O312:O317)</f>
        <v>174.99997639381701</v>
      </c>
      <c r="S318" s="164">
        <f>SUM(S312:S317)</f>
        <v>51</v>
      </c>
      <c r="T318" s="164">
        <f>SUM(T312:T317)</f>
        <v>44.000000000000007</v>
      </c>
      <c r="U318" s="164">
        <f>SUM(U312:U317)</f>
        <v>41</v>
      </c>
      <c r="V318" s="164">
        <f>SUM(V312:V317)</f>
        <v>39</v>
      </c>
      <c r="W318" s="166">
        <f>SUM(W312:W317)</f>
        <v>175</v>
      </c>
    </row>
    <row r="320" spans="1:23" x14ac:dyDescent="0.25">
      <c r="A320" s="118">
        <v>1</v>
      </c>
      <c r="C320" s="148">
        <f>SUMIF(A312:A317,A320,C312:C317)</f>
        <v>12.00000662029753</v>
      </c>
      <c r="D320" s="149">
        <f>SUMIF(A312:A317,A320,D312:D317)</f>
        <v>14.000006741168928</v>
      </c>
      <c r="E320" s="149">
        <f>SUMIF(A312:A317,A320,E312:E317)</f>
        <v>12.000005472213527</v>
      </c>
      <c r="F320" s="150">
        <f>SUMIF(A312:A317,A320,F312:F317)</f>
        <v>11.999981166320016</v>
      </c>
      <c r="G320" s="165">
        <f>SUM(C320:F320)</f>
        <v>50</v>
      </c>
      <c r="I320" s="118">
        <v>1</v>
      </c>
      <c r="K320" s="148">
        <f>SUMIF(I312:I317,I320,K312:K317)</f>
        <v>12</v>
      </c>
      <c r="L320" s="149">
        <f>SUMIF(I312:I317,I320,L312:L317)</f>
        <v>14</v>
      </c>
      <c r="M320" s="149">
        <f>SUMIF(I312:I317,I320,M312:M317)</f>
        <v>12</v>
      </c>
      <c r="N320" s="150">
        <f>SUMIF(I312:I317,I320,N312:N317)</f>
        <v>11.999976393817004</v>
      </c>
      <c r="O320" s="165">
        <f>SUM(K320:N320)</f>
        <v>49.999976393817008</v>
      </c>
      <c r="Q320" s="118">
        <v>1</v>
      </c>
      <c r="S320" s="148">
        <f>SUMIF(Q312:Q317,Q320,S312:S317)</f>
        <v>12.000000036140989</v>
      </c>
      <c r="T320" s="149">
        <f>SUMIF(Q312:Q317,Q320,T312:T317)</f>
        <v>14.000000014111919</v>
      </c>
      <c r="U320" s="149">
        <f>SUMIF(Q312:Q317,Q320,U312:U317)</f>
        <v>12.000000002069907</v>
      </c>
      <c r="V320" s="150">
        <f>SUMIF(Q312:Q317,Q320,V312:V317)</f>
        <v>11.999984403140814</v>
      </c>
      <c r="W320" s="165">
        <f>SUM(S320:V320)</f>
        <v>49.999984455463633</v>
      </c>
    </row>
    <row r="321" spans="1:23" x14ac:dyDescent="0.25">
      <c r="A321" s="118">
        <v>2</v>
      </c>
      <c r="C321" s="151">
        <f>SUMIF(A312:A317,A321,C312:C317)</f>
        <v>14.999996922238509</v>
      </c>
      <c r="D321" s="73">
        <f>SUMIF(A312:A317,A321,D312:D317)</f>
        <v>13.999996875718246</v>
      </c>
      <c r="E321" s="73">
        <f>SUMIF(A312:A317,A321,E312:E317)</f>
        <v>12.99999966710827</v>
      </c>
      <c r="F321" s="70">
        <f>SUMIF(A312:A317,A321,F312:F317)</f>
        <v>7.0000065349349736</v>
      </c>
      <c r="G321" s="165">
        <f>SUM(C321:F321)</f>
        <v>49</v>
      </c>
      <c r="I321" s="118">
        <v>2</v>
      </c>
      <c r="K321" s="151">
        <f>SUMIF(I312:I317,I321,K312:K317)</f>
        <v>14.999999999999998</v>
      </c>
      <c r="L321" s="73">
        <f>SUMIF(I312:I317,I321,L312:L317)</f>
        <v>14</v>
      </c>
      <c r="M321" s="73">
        <f>SUMIF(I312:I317,I321,M312:M317)</f>
        <v>12.999999999999998</v>
      </c>
      <c r="N321" s="70">
        <f>SUMIF(I312:I317,I321,N312:N317)</f>
        <v>6.9999999999999991</v>
      </c>
      <c r="O321" s="165">
        <f>SUM(K321:N321)</f>
        <v>49</v>
      </c>
      <c r="Q321" s="118">
        <v>2</v>
      </c>
      <c r="S321" s="151">
        <f>SUMIF(Q312:Q317,Q321,S312:S317)</f>
        <v>15.000000248963749</v>
      </c>
      <c r="T321" s="73">
        <f>SUMIF(Q312:Q317,Q321,T312:T317)</f>
        <v>13.999999948856996</v>
      </c>
      <c r="U321" s="73">
        <f>SUMIF(Q312:Q317,Q321,U312:U317)</f>
        <v>13.000000007060894</v>
      </c>
      <c r="V321" s="70">
        <f>SUMIF(Q312:Q317,Q321,V312:V317)</f>
        <v>7.0000040080384354</v>
      </c>
      <c r="W321" s="165">
        <f>SUM(S321:V321)</f>
        <v>49.000004212920082</v>
      </c>
    </row>
    <row r="322" spans="1:23" x14ac:dyDescent="0.25">
      <c r="A322" s="118">
        <v>3</v>
      </c>
      <c r="C322" s="152">
        <f>SUMIF(A312:A317,A322,C312:C317)</f>
        <v>23.999994030965269</v>
      </c>
      <c r="D322" s="153">
        <f>SUMIF(A312:A317,A322,D312:D317)</f>
        <v>15.999996220621366</v>
      </c>
      <c r="E322" s="153">
        <f>SUMIF(A312:A317,A322,E312:E317)</f>
        <v>15.999994618065831</v>
      </c>
      <c r="F322" s="154">
        <f>SUMIF(A312:A317,A322,F312:F317)</f>
        <v>20.000015130347538</v>
      </c>
      <c r="G322" s="165">
        <f>SUM(C322:F322)</f>
        <v>76</v>
      </c>
      <c r="I322" s="118">
        <v>3</v>
      </c>
      <c r="K322" s="152">
        <f>SUMIF(I312:I317,I322,K312:K317)</f>
        <v>24</v>
      </c>
      <c r="L322" s="153">
        <f>SUMIF(I312:I317,I322,L312:L317)</f>
        <v>16</v>
      </c>
      <c r="M322" s="153">
        <f>SUMIF(I312:I317,I322,M312:M317)</f>
        <v>16</v>
      </c>
      <c r="N322" s="154">
        <f>SUMIF(I312:I317,I322,N312:N317)</f>
        <v>20</v>
      </c>
      <c r="O322" s="165">
        <f>SUM(K322:N322)</f>
        <v>76</v>
      </c>
      <c r="Q322" s="118">
        <v>3</v>
      </c>
      <c r="S322" s="152">
        <f>SUMIF(Q312:Q317,Q322,S312:S317)</f>
        <v>23.99999971489526</v>
      </c>
      <c r="T322" s="153">
        <f>SUMIF(Q312:Q317,Q322,T312:T317)</f>
        <v>16.000000037031089</v>
      </c>
      <c r="U322" s="153">
        <f>SUMIF(Q312:Q317,Q322,U312:U317)</f>
        <v>15.999999990869199</v>
      </c>
      <c r="V322" s="154">
        <f>SUMIF(Q312:Q317,Q322,V312:V317)</f>
        <v>20.000011588820751</v>
      </c>
      <c r="W322" s="165">
        <f>SUM(S322:V322)</f>
        <v>76.000011331616307</v>
      </c>
    </row>
    <row r="324" spans="1:23" x14ac:dyDescent="0.25">
      <c r="B324" s="118">
        <v>1</v>
      </c>
      <c r="C324" s="148">
        <f>SUMIF(B312:B317,B324,C312:C317)</f>
        <v>27.99999864418886</v>
      </c>
      <c r="D324" s="149">
        <f>SUMIF(B312:B317,B324,D312:D317)</f>
        <v>23.99999942646016</v>
      </c>
      <c r="E324" s="149">
        <f>SUMIF(B312:B317,B324,E312:E317)</f>
        <v>20.999998107086164</v>
      </c>
      <c r="F324" s="150">
        <f>SUMIF(B312:B317,B324,F312:F317)</f>
        <v>17.000003822264816</v>
      </c>
      <c r="G324" s="165">
        <f>SUM(C324:F324)</f>
        <v>90</v>
      </c>
      <c r="J324" s="118">
        <v>1</v>
      </c>
      <c r="K324" s="148">
        <f>SUMIF(J312:J317,J324,K312:K317)</f>
        <v>27.999999279494375</v>
      </c>
      <c r="L324" s="149">
        <f>SUMIF(J312:J317,J324,L312:L317)</f>
        <v>24.000000160033554</v>
      </c>
      <c r="M324" s="149">
        <f>SUMIF(J312:J317,J324,M312:M317)</f>
        <v>21.000000021936756</v>
      </c>
      <c r="N324" s="150">
        <f>SUMIF(J312:J317,J324,N312:N317)</f>
        <v>16.99998777347734</v>
      </c>
      <c r="O324" s="165">
        <f>SUM(K324:N324)</f>
        <v>89.999987234942026</v>
      </c>
      <c r="R324" s="118">
        <v>1</v>
      </c>
      <c r="S324" s="148">
        <f>SUMIF(R312:R317,R324,S312:S317)</f>
        <v>28</v>
      </c>
      <c r="T324" s="149">
        <f>SUMIF(R312:R317,R324,T312:T317)</f>
        <v>24</v>
      </c>
      <c r="U324" s="149">
        <f>SUMIF(R312:R317,R324,U312:U317)</f>
        <v>21</v>
      </c>
      <c r="V324" s="150">
        <f>SUMIF(R312:R317,R324,V312:V317)</f>
        <v>17</v>
      </c>
      <c r="W324" s="165">
        <f>SUM(S324:V324)</f>
        <v>90</v>
      </c>
    </row>
    <row r="325" spans="1:23" x14ac:dyDescent="0.25">
      <c r="B325" s="118">
        <v>2</v>
      </c>
      <c r="C325" s="152">
        <f>SUMIF(B312:B317,B325,C312:C317)</f>
        <v>22.999998929312447</v>
      </c>
      <c r="D325" s="153">
        <f>SUMIF(B312:B317,B325,D312:D317)</f>
        <v>20.000000411048379</v>
      </c>
      <c r="E325" s="153">
        <f>SUMIF(B312:B317,B325,E312:E317)</f>
        <v>20.00000165030146</v>
      </c>
      <c r="F325" s="154">
        <f>SUMIF(B312:B317,B325,F312:F317)</f>
        <v>21.99999900933771</v>
      </c>
      <c r="G325" s="165">
        <f>SUM(C325:F325)</f>
        <v>85</v>
      </c>
      <c r="J325" s="118">
        <v>2</v>
      </c>
      <c r="K325" s="152">
        <f>SUMIF(J312:J317,J325,K312:K317)</f>
        <v>23.000000720505625</v>
      </c>
      <c r="L325" s="153">
        <f>SUMIF(J312:J317,J325,L312:L317)</f>
        <v>19.999999839966446</v>
      </c>
      <c r="M325" s="153">
        <f>SUMIF(J312:J317,J325,M312:M317)</f>
        <v>19.999999978063244</v>
      </c>
      <c r="N325" s="154">
        <f>SUMIF(J312:J317,J325,N312:N317)</f>
        <v>21.999988620339664</v>
      </c>
      <c r="O325" s="165">
        <f>SUM(K325:N325)</f>
        <v>84.999989158874982</v>
      </c>
      <c r="R325" s="118">
        <v>2</v>
      </c>
      <c r="S325" s="152">
        <f>SUMIF(R312:R317,R325,S312:S317)</f>
        <v>23</v>
      </c>
      <c r="T325" s="153">
        <f>SUMIF(R312:R317,R325,T312:T317)</f>
        <v>20</v>
      </c>
      <c r="U325" s="153">
        <f>SUMIF(R312:R317,R325,U312:U317)</f>
        <v>20</v>
      </c>
      <c r="V325" s="154">
        <f>SUMIF(R312:R317,R325,V312:V317)</f>
        <v>22.000000000000004</v>
      </c>
      <c r="W325" s="165">
        <f>SUM(S325:V325)</f>
        <v>85</v>
      </c>
    </row>
  </sheetData>
  <mergeCells count="2">
    <mergeCell ref="C4:F4"/>
    <mergeCell ref="S4:V4"/>
  </mergeCells>
  <pageMargins left="0.7" right="0.7" top="0.75" bottom="0.75" header="0.3" footer="0.3"/>
  <pageSetup orientation="portrait" r:id="rId1"/>
  <ignoredErrors>
    <ignoredError sqref="G18:G19" formulaRange="1"/>
  </ignoredError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X25"/>
  <sheetViews>
    <sheetView workbookViewId="0"/>
  </sheetViews>
  <sheetFormatPr defaultRowHeight="15" x14ac:dyDescent="0.25"/>
  <cols>
    <col min="1" max="2" width="7.42578125" customWidth="1"/>
    <col min="3" max="7" width="7.7109375" customWidth="1"/>
    <col min="8" max="8" width="4" customWidth="1"/>
    <col min="9" max="10" width="7.28515625" customWidth="1"/>
    <col min="11" max="15" width="7.7109375" customWidth="1"/>
    <col min="16" max="16" width="3.85546875" customWidth="1"/>
    <col min="17" max="17" width="5.5703125" customWidth="1"/>
    <col min="18" max="19" width="7.7109375" customWidth="1"/>
  </cols>
  <sheetData>
    <row r="1" spans="1:24" x14ac:dyDescent="0.25">
      <c r="A1" s="1" t="s">
        <v>344</v>
      </c>
      <c r="C1" s="1"/>
      <c r="I1" s="1"/>
      <c r="K1" s="1" t="s">
        <v>342</v>
      </c>
      <c r="R1" s="1" t="s">
        <v>1238</v>
      </c>
    </row>
    <row r="3" spans="1:24" x14ac:dyDescent="0.25">
      <c r="C3" s="773" t="s">
        <v>341</v>
      </c>
      <c r="D3" s="773"/>
      <c r="E3" s="773"/>
      <c r="F3" s="773"/>
      <c r="K3" s="773" t="s">
        <v>341</v>
      </c>
      <c r="L3" s="773"/>
      <c r="M3" s="773"/>
      <c r="N3" s="773"/>
      <c r="T3" s="773" t="s">
        <v>341</v>
      </c>
      <c r="U3" s="773"/>
      <c r="V3" s="773"/>
      <c r="W3" s="773"/>
    </row>
    <row r="4" spans="1:24" x14ac:dyDescent="0.25">
      <c r="A4" s="528" t="s">
        <v>21</v>
      </c>
      <c r="B4" s="528" t="s">
        <v>340</v>
      </c>
      <c r="C4">
        <v>1</v>
      </c>
      <c r="D4">
        <f>C4+1</f>
        <v>2</v>
      </c>
      <c r="E4">
        <f>D4+1</f>
        <v>3</v>
      </c>
      <c r="F4">
        <f>E4+1</f>
        <v>4</v>
      </c>
      <c r="I4" s="528" t="s">
        <v>21</v>
      </c>
      <c r="J4" s="528" t="s">
        <v>340</v>
      </c>
      <c r="K4">
        <v>1</v>
      </c>
      <c r="L4">
        <f>K4+1</f>
        <v>2</v>
      </c>
      <c r="M4">
        <f>L4+1</f>
        <v>3</v>
      </c>
      <c r="N4">
        <f>M4+1</f>
        <v>4</v>
      </c>
      <c r="R4" s="528" t="s">
        <v>21</v>
      </c>
      <c r="S4" s="528" t="s">
        <v>340</v>
      </c>
      <c r="T4">
        <v>1</v>
      </c>
      <c r="U4">
        <f>T4+1</f>
        <v>2</v>
      </c>
      <c r="V4">
        <f>U4+1</f>
        <v>3</v>
      </c>
      <c r="W4">
        <f>V4+1</f>
        <v>4</v>
      </c>
    </row>
    <row r="5" spans="1:24" x14ac:dyDescent="0.25">
      <c r="A5" s="528">
        <v>1</v>
      </c>
      <c r="B5" s="528">
        <v>1</v>
      </c>
      <c r="C5" s="155">
        <v>5</v>
      </c>
      <c r="D5" s="156">
        <v>4</v>
      </c>
      <c r="E5" s="156">
        <v>6</v>
      </c>
      <c r="F5" s="157">
        <v>7</v>
      </c>
      <c r="G5" s="73">
        <f t="shared" ref="G5:G10" si="0">SUM(C5:F5)</f>
        <v>22</v>
      </c>
      <c r="I5" s="528">
        <v>1</v>
      </c>
      <c r="J5" s="528">
        <v>1</v>
      </c>
      <c r="K5" s="155">
        <v>7</v>
      </c>
      <c r="L5" s="156">
        <v>8</v>
      </c>
      <c r="M5" s="156">
        <v>5</v>
      </c>
      <c r="N5" s="157">
        <v>8</v>
      </c>
      <c r="O5" s="73">
        <f t="shared" ref="O5:O10" si="1">SUM(K5:N5)</f>
        <v>28</v>
      </c>
      <c r="R5" s="529" t="e">
        <f t="array" aca="1" ref="R5:W10" ca="1">IPFP3(A5:F10,K5:N10)</f>
        <v>#NAME?</v>
      </c>
      <c r="S5" s="529" t="e">
        <f ca="1"/>
        <v>#NAME?</v>
      </c>
      <c r="T5" s="535" t="e">
        <f ca="1"/>
        <v>#NAME?</v>
      </c>
      <c r="U5" s="536" t="e">
        <f ca="1"/>
        <v>#NAME?</v>
      </c>
      <c r="V5" s="536" t="e">
        <f ca="1"/>
        <v>#NAME?</v>
      </c>
      <c r="W5" s="531" t="e">
        <f ca="1"/>
        <v>#NAME?</v>
      </c>
      <c r="X5" s="73" t="e">
        <f t="shared" ref="X5:X10" ca="1" si="2">SUM(T5:W5)</f>
        <v>#NAME?</v>
      </c>
    </row>
    <row r="6" spans="1:24" x14ac:dyDescent="0.25">
      <c r="A6" s="528">
        <v>1</v>
      </c>
      <c r="B6" s="528">
        <v>2</v>
      </c>
      <c r="C6" s="158">
        <v>3</v>
      </c>
      <c r="D6" s="159">
        <v>6</v>
      </c>
      <c r="E6" s="159">
        <v>5</v>
      </c>
      <c r="F6" s="160">
        <v>2</v>
      </c>
      <c r="G6" s="73">
        <f t="shared" si="0"/>
        <v>16</v>
      </c>
      <c r="I6" s="528">
        <v>1</v>
      </c>
      <c r="J6" s="528">
        <v>2</v>
      </c>
      <c r="K6" s="158">
        <v>5</v>
      </c>
      <c r="L6" s="159">
        <v>6</v>
      </c>
      <c r="M6" s="159">
        <v>7</v>
      </c>
      <c r="N6" s="160">
        <v>4</v>
      </c>
      <c r="O6" s="73">
        <f t="shared" si="1"/>
        <v>22</v>
      </c>
      <c r="R6" s="529" t="e">
        <f ca="1"/>
        <v>#NAME?</v>
      </c>
      <c r="S6" s="529" t="e">
        <f ca="1"/>
        <v>#NAME?</v>
      </c>
      <c r="T6" s="537" t="e">
        <f ca="1"/>
        <v>#NAME?</v>
      </c>
      <c r="U6" s="159" t="e">
        <f ca="1"/>
        <v>#NAME?</v>
      </c>
      <c r="V6" s="159" t="e">
        <f ca="1"/>
        <v>#NAME?</v>
      </c>
      <c r="W6" s="532" t="e">
        <f ca="1"/>
        <v>#NAME?</v>
      </c>
      <c r="X6" s="73" t="e">
        <f t="shared" ca="1" si="2"/>
        <v>#NAME?</v>
      </c>
    </row>
    <row r="7" spans="1:24" x14ac:dyDescent="0.25">
      <c r="A7" s="528">
        <v>2</v>
      </c>
      <c r="B7" s="528">
        <v>1</v>
      </c>
      <c r="C7" s="158">
        <v>9</v>
      </c>
      <c r="D7" s="159">
        <v>11</v>
      </c>
      <c r="E7" s="159">
        <v>3</v>
      </c>
      <c r="F7" s="160">
        <v>1</v>
      </c>
      <c r="G7" s="73">
        <f t="shared" si="0"/>
        <v>24</v>
      </c>
      <c r="I7" s="528">
        <v>2</v>
      </c>
      <c r="J7" s="528">
        <v>1</v>
      </c>
      <c r="K7" s="158">
        <v>12</v>
      </c>
      <c r="L7" s="159">
        <v>10</v>
      </c>
      <c r="M7" s="159">
        <v>5</v>
      </c>
      <c r="N7" s="160">
        <v>2</v>
      </c>
      <c r="O7" s="73">
        <f t="shared" si="1"/>
        <v>29</v>
      </c>
      <c r="R7" s="529" t="e">
        <f ca="1"/>
        <v>#NAME?</v>
      </c>
      <c r="S7" s="529" t="e">
        <f ca="1"/>
        <v>#NAME?</v>
      </c>
      <c r="T7" s="537" t="e">
        <f ca="1"/>
        <v>#NAME?</v>
      </c>
      <c r="U7" s="159" t="e">
        <f ca="1"/>
        <v>#NAME?</v>
      </c>
      <c r="V7" s="159" t="e">
        <f ca="1"/>
        <v>#NAME?</v>
      </c>
      <c r="W7" s="532" t="e">
        <f ca="1"/>
        <v>#NAME?</v>
      </c>
      <c r="X7" s="73" t="e">
        <f t="shared" ca="1" si="2"/>
        <v>#NAME?</v>
      </c>
    </row>
    <row r="8" spans="1:24" x14ac:dyDescent="0.25">
      <c r="A8" s="528">
        <v>2</v>
      </c>
      <c r="B8" s="528">
        <v>2</v>
      </c>
      <c r="C8" s="158">
        <v>2</v>
      </c>
      <c r="D8" s="159">
        <v>5</v>
      </c>
      <c r="E8" s="159">
        <v>7</v>
      </c>
      <c r="F8" s="160">
        <v>3</v>
      </c>
      <c r="G8" s="73">
        <f t="shared" si="0"/>
        <v>17</v>
      </c>
      <c r="I8" s="528">
        <v>2</v>
      </c>
      <c r="J8" s="528">
        <v>2</v>
      </c>
      <c r="K8" s="158">
        <v>3</v>
      </c>
      <c r="L8" s="159">
        <v>4</v>
      </c>
      <c r="M8" s="159">
        <v>8</v>
      </c>
      <c r="N8" s="160">
        <v>5</v>
      </c>
      <c r="O8" s="73">
        <f t="shared" si="1"/>
        <v>20</v>
      </c>
      <c r="R8" s="529" t="e">
        <f ca="1"/>
        <v>#NAME?</v>
      </c>
      <c r="S8" s="529" t="e">
        <f ca="1"/>
        <v>#NAME?</v>
      </c>
      <c r="T8" s="537" t="e">
        <f ca="1"/>
        <v>#NAME?</v>
      </c>
      <c r="U8" s="159" t="e">
        <f ca="1"/>
        <v>#NAME?</v>
      </c>
      <c r="V8" s="159" t="e">
        <f ca="1"/>
        <v>#NAME?</v>
      </c>
      <c r="W8" s="532" t="e">
        <f ca="1"/>
        <v>#NAME?</v>
      </c>
      <c r="X8" s="73" t="e">
        <f t="shared" ca="1" si="2"/>
        <v>#NAME?</v>
      </c>
    </row>
    <row r="9" spans="1:24" x14ac:dyDescent="0.25">
      <c r="A9" s="528">
        <v>3</v>
      </c>
      <c r="B9" s="528">
        <v>1</v>
      </c>
      <c r="C9" s="158">
        <v>8</v>
      </c>
      <c r="D9" s="159">
        <v>4</v>
      </c>
      <c r="E9" s="159">
        <v>12</v>
      </c>
      <c r="F9" s="160">
        <v>6</v>
      </c>
      <c r="G9" s="73">
        <f t="shared" si="0"/>
        <v>30</v>
      </c>
      <c r="I9" s="528">
        <v>3</v>
      </c>
      <c r="J9" s="528">
        <v>1</v>
      </c>
      <c r="K9" s="158">
        <v>9</v>
      </c>
      <c r="L9" s="159">
        <v>6</v>
      </c>
      <c r="M9" s="159">
        <v>11</v>
      </c>
      <c r="N9" s="160">
        <v>7</v>
      </c>
      <c r="O9" s="73">
        <f t="shared" si="1"/>
        <v>33</v>
      </c>
      <c r="R9" s="529" t="e">
        <f ca="1"/>
        <v>#NAME?</v>
      </c>
      <c r="S9" s="529" t="e">
        <f ca="1"/>
        <v>#NAME?</v>
      </c>
      <c r="T9" s="537" t="e">
        <f ca="1"/>
        <v>#NAME?</v>
      </c>
      <c r="U9" s="159" t="e">
        <f ca="1"/>
        <v>#NAME?</v>
      </c>
      <c r="V9" s="159" t="e">
        <f ca="1"/>
        <v>#NAME?</v>
      </c>
      <c r="W9" s="532" t="e">
        <f ca="1"/>
        <v>#NAME?</v>
      </c>
      <c r="X9" s="73" t="e">
        <f t="shared" ca="1" si="2"/>
        <v>#NAME?</v>
      </c>
    </row>
    <row r="10" spans="1:24" x14ac:dyDescent="0.25">
      <c r="A10" s="528">
        <v>3</v>
      </c>
      <c r="B10" s="528">
        <v>2</v>
      </c>
      <c r="C10" s="161">
        <v>13</v>
      </c>
      <c r="D10" s="162">
        <v>8</v>
      </c>
      <c r="E10" s="162">
        <v>2</v>
      </c>
      <c r="F10" s="163">
        <v>11</v>
      </c>
      <c r="G10" s="73">
        <f t="shared" si="0"/>
        <v>34</v>
      </c>
      <c r="I10" s="528">
        <v>3</v>
      </c>
      <c r="J10" s="528">
        <v>2</v>
      </c>
      <c r="K10" s="161">
        <v>15</v>
      </c>
      <c r="L10" s="162">
        <v>10</v>
      </c>
      <c r="M10" s="162">
        <v>5</v>
      </c>
      <c r="N10" s="163">
        <v>13</v>
      </c>
      <c r="O10" s="73">
        <f t="shared" si="1"/>
        <v>43</v>
      </c>
      <c r="R10" s="529" t="e">
        <f ca="1"/>
        <v>#NAME?</v>
      </c>
      <c r="S10" s="529" t="e">
        <f ca="1"/>
        <v>#NAME?</v>
      </c>
      <c r="T10" s="161" t="e">
        <f ca="1"/>
        <v>#NAME?</v>
      </c>
      <c r="U10" s="533" t="e">
        <f ca="1"/>
        <v>#NAME?</v>
      </c>
      <c r="V10" s="533" t="e">
        <f ca="1"/>
        <v>#NAME?</v>
      </c>
      <c r="W10" s="534" t="e">
        <f ca="1"/>
        <v>#NAME?</v>
      </c>
      <c r="X10" s="73" t="e">
        <f t="shared" ca="1" si="2"/>
        <v>#NAME?</v>
      </c>
    </row>
    <row r="11" spans="1:24" x14ac:dyDescent="0.25">
      <c r="C11" s="164">
        <f>SUM(C5:C10)</f>
        <v>40</v>
      </c>
      <c r="D11" s="164">
        <f>SUM(D5:D10)</f>
        <v>38</v>
      </c>
      <c r="E11" s="164">
        <f>SUM(E5:E10)</f>
        <v>35</v>
      </c>
      <c r="F11" s="164">
        <f>SUM(F5:F10)</f>
        <v>30</v>
      </c>
      <c r="G11" s="166">
        <f>SUM(G5:G10)</f>
        <v>143</v>
      </c>
      <c r="K11" s="164">
        <f>SUM(K5:K10)</f>
        <v>51</v>
      </c>
      <c r="L11" s="164">
        <f>SUM(L5:L10)</f>
        <v>44</v>
      </c>
      <c r="M11" s="164">
        <f>SUM(M5:M10)</f>
        <v>41</v>
      </c>
      <c r="N11" s="164">
        <f>SUM(N5:N10)</f>
        <v>39</v>
      </c>
      <c r="O11" s="166">
        <f>SUM(O5:O10)</f>
        <v>175</v>
      </c>
      <c r="T11" s="164" t="e">
        <f ca="1">SUM(T5:T10)</f>
        <v>#NAME?</v>
      </c>
      <c r="U11" s="164" t="e">
        <f ca="1">SUM(U5:U10)</f>
        <v>#NAME?</v>
      </c>
      <c r="V11" s="164" t="e">
        <f ca="1">SUM(V5:V10)</f>
        <v>#NAME?</v>
      </c>
      <c r="W11" s="164" t="e">
        <f ca="1">SUM(W5:W10)</f>
        <v>#NAME?</v>
      </c>
      <c r="X11" s="166" t="e">
        <f ca="1">SUM(X5:X10)</f>
        <v>#NAME?</v>
      </c>
    </row>
    <row r="12" spans="1:24" x14ac:dyDescent="0.25">
      <c r="O12" s="147"/>
      <c r="X12" s="147"/>
    </row>
    <row r="13" spans="1:24" x14ac:dyDescent="0.25">
      <c r="A13" s="528">
        <v>1</v>
      </c>
      <c r="C13" s="148">
        <f>SUMIF(A5:A10,A13,C5:C10)</f>
        <v>8</v>
      </c>
      <c r="D13" s="149">
        <f>SUMIF(A5:A10,A13,D5:D10)</f>
        <v>10</v>
      </c>
      <c r="E13" s="149">
        <f>SUMIF(A5:A10,A13,E5:E10)</f>
        <v>11</v>
      </c>
      <c r="F13" s="150">
        <f>SUMIF(A5:A10,A13,F5:F10)</f>
        <v>9</v>
      </c>
      <c r="G13" s="165">
        <f>SUM(C13:F13)</f>
        <v>38</v>
      </c>
      <c r="I13" s="528">
        <v>1</v>
      </c>
      <c r="K13" s="148">
        <f>SUMIF(I5:I10,I13,K5:K10)</f>
        <v>12</v>
      </c>
      <c r="L13" s="149">
        <f>SUMIF(I5:I10,I13,L5:L10)</f>
        <v>14</v>
      </c>
      <c r="M13" s="149">
        <f>SUMIF(I5:I10,I13,M5:M10)</f>
        <v>12</v>
      </c>
      <c r="N13" s="150">
        <f>SUMIF(I5:I10,I13,N5:N10)</f>
        <v>12</v>
      </c>
      <c r="O13" s="165">
        <f>SUM(K13:N13)</f>
        <v>50</v>
      </c>
      <c r="R13" s="528">
        <v>1</v>
      </c>
      <c r="T13" s="148">
        <f ca="1">SUMIF(R5:R10,R13,T5:T10)</f>
        <v>0</v>
      </c>
      <c r="U13" s="149">
        <f ca="1">SUMIF(R5:R10,R13,U5:U10)</f>
        <v>0</v>
      </c>
      <c r="V13" s="149">
        <f ca="1">SUMIF(R5:R10,R13,V5:V10)</f>
        <v>0</v>
      </c>
      <c r="W13" s="150">
        <f ca="1">SUMIF(R5:R10,R13,W5:W10)</f>
        <v>0</v>
      </c>
      <c r="X13" s="165">
        <f ca="1">SUM(T13:W13)</f>
        <v>0</v>
      </c>
    </row>
    <row r="14" spans="1:24" x14ac:dyDescent="0.25">
      <c r="A14" s="528">
        <v>2</v>
      </c>
      <c r="C14" s="151">
        <f>SUMIF(A5:A10,A14,C5:C10)</f>
        <v>11</v>
      </c>
      <c r="D14" s="73">
        <f>SUMIF(A5:A10,A14,D5:D10)</f>
        <v>16</v>
      </c>
      <c r="E14" s="73">
        <f>SUMIF(A5:A10,A14,E5:E10)</f>
        <v>10</v>
      </c>
      <c r="F14" s="70">
        <f>SUMIF(A5:A10,A14,F5:F10)</f>
        <v>4</v>
      </c>
      <c r="G14" s="165">
        <f>SUM(C14:F14)</f>
        <v>41</v>
      </c>
      <c r="I14" s="528">
        <v>2</v>
      </c>
      <c r="K14" s="151">
        <f>SUMIF(I5:I10,I14,K5:K10)</f>
        <v>15</v>
      </c>
      <c r="L14" s="73">
        <f>SUMIF(I5:I10,I14,L5:L10)</f>
        <v>14</v>
      </c>
      <c r="M14" s="73">
        <f>SUMIF(I5:I10,I14,M5:M10)</f>
        <v>13</v>
      </c>
      <c r="N14" s="70">
        <f>SUMIF(I5:I10,I14,N5:N10)</f>
        <v>7</v>
      </c>
      <c r="O14" s="165">
        <f>SUM(K14:N14)</f>
        <v>49</v>
      </c>
      <c r="R14" s="528">
        <v>2</v>
      </c>
      <c r="T14" s="151">
        <f ca="1">SUMIF(R5:R10,R14,T5:T10)</f>
        <v>0</v>
      </c>
      <c r="U14" s="73">
        <f ca="1">SUMIF(R5:R10,R14,U5:U10)</f>
        <v>0</v>
      </c>
      <c r="V14" s="73">
        <f ca="1">SUMIF(R5:R10,R14,V5:V10)</f>
        <v>0</v>
      </c>
      <c r="W14" s="70">
        <f ca="1">SUMIF(R5:R10,R14,W5:W10)</f>
        <v>0</v>
      </c>
      <c r="X14" s="165">
        <f ca="1">SUM(T14:W14)</f>
        <v>0</v>
      </c>
    </row>
    <row r="15" spans="1:24" x14ac:dyDescent="0.25">
      <c r="A15" s="528">
        <v>3</v>
      </c>
      <c r="C15" s="152">
        <f>SUMIF(A5:A10,A15,C5:C10)</f>
        <v>21</v>
      </c>
      <c r="D15" s="153">
        <f>SUMIF(A5:A10,A15,D5:D10)</f>
        <v>12</v>
      </c>
      <c r="E15" s="153">
        <f>SUMIF(A5:A10,A15,E5:E10)</f>
        <v>14</v>
      </c>
      <c r="F15" s="154">
        <f>SUMIF(A5:A10,A15,F5:F10)</f>
        <v>17</v>
      </c>
      <c r="G15" s="165">
        <f>SUM(C15:F15)</f>
        <v>64</v>
      </c>
      <c r="I15" s="528">
        <v>3</v>
      </c>
      <c r="K15" s="152">
        <f>SUMIF(I5:I10,I15,K5:K10)</f>
        <v>24</v>
      </c>
      <c r="L15" s="153">
        <f>SUMIF(I5:I10,I15,L5:L10)</f>
        <v>16</v>
      </c>
      <c r="M15" s="153">
        <f>SUMIF(I5:I10,I15,M5:M10)</f>
        <v>16</v>
      </c>
      <c r="N15" s="154">
        <f>SUMIF(I5:I10,I15,N5:N10)</f>
        <v>20</v>
      </c>
      <c r="O15" s="165">
        <f>SUM(K15:N15)</f>
        <v>76</v>
      </c>
      <c r="R15" s="528">
        <v>3</v>
      </c>
      <c r="T15" s="152">
        <f ca="1">SUMIF(R5:R10,R15,T5:T10)</f>
        <v>0</v>
      </c>
      <c r="U15" s="153">
        <f ca="1">SUMIF(R5:R10,R15,U5:U10)</f>
        <v>0</v>
      </c>
      <c r="V15" s="153">
        <f ca="1">SUMIF(R5:R10,R15,V5:V10)</f>
        <v>0</v>
      </c>
      <c r="W15" s="154">
        <f ca="1">SUMIF(R5:R10,R15,W5:W10)</f>
        <v>0</v>
      </c>
      <c r="X15" s="165">
        <f ca="1">SUM(T15:W15)</f>
        <v>0</v>
      </c>
    </row>
    <row r="17" spans="2:24" x14ac:dyDescent="0.25">
      <c r="B17" s="528">
        <v>1</v>
      </c>
      <c r="C17" s="148">
        <f>SUMIF(B5:B10,B17,C5:C10)</f>
        <v>22</v>
      </c>
      <c r="D17" s="149">
        <f>SUMIF(B5:B10,B17,D5:D10)</f>
        <v>19</v>
      </c>
      <c r="E17" s="149">
        <f>SUMIF(B5:B10,B17,E5:E10)</f>
        <v>21</v>
      </c>
      <c r="F17" s="150">
        <f>SUMIF(B5:B10,B17,F5:F10)</f>
        <v>14</v>
      </c>
      <c r="G17" s="165">
        <f>SUM(C17:F17)</f>
        <v>76</v>
      </c>
      <c r="J17" s="528">
        <v>1</v>
      </c>
      <c r="K17" s="148">
        <f>SUMIF(J5:J10,J17,K5:K10)</f>
        <v>28</v>
      </c>
      <c r="L17" s="149">
        <f>SUMIF(J5:J10,J17,L5:L10)</f>
        <v>24</v>
      </c>
      <c r="M17" s="149">
        <f>SUMIF(J5:J10,J17,M5:M10)</f>
        <v>21</v>
      </c>
      <c r="N17" s="150">
        <f>SUMIF(J5:J10,J17,N5:N10)</f>
        <v>17</v>
      </c>
      <c r="O17" s="165">
        <f>SUM(K17:N17)</f>
        <v>90</v>
      </c>
      <c r="S17" s="528">
        <v>1</v>
      </c>
      <c r="T17" s="148">
        <f ca="1">SUMIF(S5:S10,S17,T5:T10)</f>
        <v>0</v>
      </c>
      <c r="U17" s="149">
        <f ca="1">SUMIF(S5:S10,S17,U5:U10)</f>
        <v>0</v>
      </c>
      <c r="V17" s="149">
        <f ca="1">SUMIF(S5:S10,S17,V5:V10)</f>
        <v>0</v>
      </c>
      <c r="W17" s="150">
        <f ca="1">SUMIF(S5:S10,S17,W5:W10)</f>
        <v>0</v>
      </c>
      <c r="X17" s="165">
        <f ca="1">SUM(T17:W17)</f>
        <v>0</v>
      </c>
    </row>
    <row r="18" spans="2:24" x14ac:dyDescent="0.25">
      <c r="B18" s="528">
        <v>2</v>
      </c>
      <c r="C18" s="152">
        <f>SUMIF(B5:B10,B18,C5:C10)</f>
        <v>18</v>
      </c>
      <c r="D18" s="153">
        <f>SUMIF(B5:B10,B18,D5:D10)</f>
        <v>19</v>
      </c>
      <c r="E18" s="153">
        <f>SUMIF(B5:B10,B18,E5:E10)</f>
        <v>14</v>
      </c>
      <c r="F18" s="154">
        <f>SUMIF(B5:B10,B18,F5:F10)</f>
        <v>16</v>
      </c>
      <c r="G18" s="165">
        <f>SUM(C18:F18)</f>
        <v>67</v>
      </c>
      <c r="J18" s="528">
        <v>2</v>
      </c>
      <c r="K18" s="152">
        <f>SUMIF(J5:J10,J18,K5:K10)</f>
        <v>23</v>
      </c>
      <c r="L18" s="153">
        <f>SUMIF(J5:J10,J18,L5:L10)</f>
        <v>20</v>
      </c>
      <c r="M18" s="153">
        <f>SUMIF(J5:J10,J18,M5:M10)</f>
        <v>20</v>
      </c>
      <c r="N18" s="154">
        <f>SUMIF(J5:J10,J18,N5:N10)</f>
        <v>22</v>
      </c>
      <c r="O18" s="165">
        <f>SUM(K18:N18)</f>
        <v>85</v>
      </c>
      <c r="S18" s="528">
        <v>2</v>
      </c>
      <c r="T18" s="152">
        <f ca="1">SUMIF(S5:S10,S18,T5:T10)</f>
        <v>0</v>
      </c>
      <c r="U18" s="153">
        <f ca="1">SUMIF(S5:S10,S18,U5:U10)</f>
        <v>0</v>
      </c>
      <c r="V18" s="153">
        <f ca="1">SUMIF(S5:S10,S18,V5:V10)</f>
        <v>0</v>
      </c>
      <c r="W18" s="154">
        <f ca="1">SUMIF(S5:S10,S18,W5:W10)</f>
        <v>0</v>
      </c>
      <c r="X18" s="165">
        <f ca="1">SUM(T18:W18)</f>
        <v>0</v>
      </c>
    </row>
    <row r="19" spans="2:24" x14ac:dyDescent="0.25">
      <c r="O19" s="147"/>
    </row>
    <row r="20" spans="2:24" x14ac:dyDescent="0.25">
      <c r="O20" s="147"/>
    </row>
    <row r="21" spans="2:24" x14ac:dyDescent="0.25">
      <c r="O21" s="147"/>
    </row>
    <row r="22" spans="2:24" x14ac:dyDescent="0.25">
      <c r="O22" s="147"/>
    </row>
    <row r="23" spans="2:24" x14ac:dyDescent="0.25">
      <c r="O23" s="147"/>
    </row>
    <row r="24" spans="2:24" x14ac:dyDescent="0.25">
      <c r="O24" s="147"/>
    </row>
    <row r="25" spans="2:24" x14ac:dyDescent="0.25">
      <c r="O25" s="147"/>
    </row>
  </sheetData>
  <mergeCells count="3">
    <mergeCell ref="C3:F3"/>
    <mergeCell ref="K3:N3"/>
    <mergeCell ref="T3:W3"/>
  </mergeCells>
  <pageMargins left="0.7" right="0.7" top="0.75" bottom="0.75" header="0.3" footer="0.3"/>
  <ignoredErrors>
    <ignoredError sqref="G5:G10 C11 K11 O5:O10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T151"/>
  <sheetViews>
    <sheetView workbookViewId="0"/>
  </sheetViews>
  <sheetFormatPr defaultRowHeight="15" x14ac:dyDescent="0.25"/>
  <cols>
    <col min="1" max="1" width="4.28515625" customWidth="1"/>
    <col min="2" max="20" width="7.5703125" customWidth="1"/>
  </cols>
  <sheetData>
    <row r="1" spans="1:20" x14ac:dyDescent="0.25">
      <c r="A1" s="1" t="s">
        <v>64</v>
      </c>
    </row>
    <row r="3" spans="1:20" x14ac:dyDescent="0.25">
      <c r="B3" t="s">
        <v>18</v>
      </c>
      <c r="C3" s="13">
        <v>0.1</v>
      </c>
    </row>
    <row r="4" spans="1:20" x14ac:dyDescent="0.25">
      <c r="B4" t="s">
        <v>65</v>
      </c>
    </row>
    <row r="5" spans="1:20" x14ac:dyDescent="0.25">
      <c r="A5" s="12" t="s">
        <v>41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14</v>
      </c>
      <c r="O5">
        <v>15</v>
      </c>
      <c r="P5">
        <v>16</v>
      </c>
      <c r="Q5">
        <v>17</v>
      </c>
      <c r="R5">
        <v>18</v>
      </c>
      <c r="S5">
        <v>19</v>
      </c>
      <c r="T5">
        <v>20</v>
      </c>
    </row>
    <row r="6" spans="1:20" x14ac:dyDescent="0.25">
      <c r="A6">
        <v>1</v>
      </c>
      <c r="B6" s="541">
        <v>8.9290000000000003</v>
      </c>
      <c r="C6" s="481">
        <v>13.436999999999999</v>
      </c>
      <c r="D6" s="481">
        <v>16.358000000000001</v>
      </c>
      <c r="E6" s="481">
        <v>18.488</v>
      </c>
      <c r="F6" s="481">
        <v>20.149999999999999</v>
      </c>
      <c r="G6" s="481">
        <v>21.504000000000001</v>
      </c>
      <c r="H6" s="481">
        <v>22.641999999999999</v>
      </c>
      <c r="I6" s="481">
        <v>23.620999999999999</v>
      </c>
      <c r="J6" s="481">
        <v>24.477</v>
      </c>
      <c r="K6" s="481">
        <v>25.236999999999998</v>
      </c>
      <c r="L6" s="481">
        <v>25.917999999999999</v>
      </c>
      <c r="M6" s="481">
        <v>26.536000000000001</v>
      </c>
      <c r="N6" s="481">
        <v>27.1</v>
      </c>
      <c r="O6" s="481">
        <v>27.617999999999999</v>
      </c>
      <c r="P6" s="481">
        <v>28.097000000000001</v>
      </c>
      <c r="Q6" s="481">
        <v>28.542000000000002</v>
      </c>
      <c r="R6" s="481">
        <v>28.957999999999998</v>
      </c>
      <c r="S6" s="481">
        <v>29.347000000000001</v>
      </c>
      <c r="T6" s="542">
        <v>29.713000000000001</v>
      </c>
    </row>
    <row r="7" spans="1:20" x14ac:dyDescent="0.25">
      <c r="A7">
        <v>2</v>
      </c>
      <c r="B7" s="285">
        <v>4.1289999999999996</v>
      </c>
      <c r="C7" s="36">
        <v>5.7329999999999997</v>
      </c>
      <c r="D7" s="36">
        <v>6.7720000000000002</v>
      </c>
      <c r="E7" s="36">
        <v>7.5380000000000003</v>
      </c>
      <c r="F7" s="36">
        <v>8.1389999999999993</v>
      </c>
      <c r="G7" s="36">
        <v>8.6329999999999991</v>
      </c>
      <c r="H7" s="36">
        <v>9.0489999999999995</v>
      </c>
      <c r="I7" s="36">
        <v>9.4090000000000007</v>
      </c>
      <c r="J7" s="36">
        <v>9.7249999999999996</v>
      </c>
      <c r="K7" s="36">
        <v>10.006</v>
      </c>
      <c r="L7" s="36">
        <v>10.259</v>
      </c>
      <c r="M7" s="36">
        <v>10.488</v>
      </c>
      <c r="N7" s="36">
        <v>10.698</v>
      </c>
      <c r="O7" s="36">
        <v>10.891</v>
      </c>
      <c r="P7" s="36">
        <v>11.07</v>
      </c>
      <c r="Q7" s="36">
        <v>11.237</v>
      </c>
      <c r="R7" s="36">
        <v>11.391999999999999</v>
      </c>
      <c r="S7" s="36">
        <v>11.538</v>
      </c>
      <c r="T7" s="286">
        <v>11.676</v>
      </c>
    </row>
    <row r="8" spans="1:20" x14ac:dyDescent="0.25">
      <c r="A8">
        <v>3</v>
      </c>
      <c r="B8" s="285">
        <v>3.3279999999999998</v>
      </c>
      <c r="C8" s="36">
        <v>4.4669999999999996</v>
      </c>
      <c r="D8" s="36">
        <v>5.1989999999999998</v>
      </c>
      <c r="E8" s="36">
        <v>5.7380000000000004</v>
      </c>
      <c r="F8" s="36">
        <v>6.1619999999999999</v>
      </c>
      <c r="G8" s="36">
        <v>6.5110000000000001</v>
      </c>
      <c r="H8" s="36">
        <v>6.806</v>
      </c>
      <c r="I8" s="36">
        <v>7.0620000000000003</v>
      </c>
      <c r="J8" s="36">
        <v>7.2869999999999999</v>
      </c>
      <c r="K8" s="36">
        <v>7.4870000000000001</v>
      </c>
      <c r="L8" s="36">
        <v>7.6669999999999998</v>
      </c>
      <c r="M8" s="36">
        <v>7.8310000000000004</v>
      </c>
      <c r="N8" s="36">
        <v>7.9820000000000002</v>
      </c>
      <c r="O8" s="36">
        <v>8.1199999999999992</v>
      </c>
      <c r="P8" s="36">
        <v>8.2479999999999993</v>
      </c>
      <c r="Q8" s="36">
        <v>8.3680000000000003</v>
      </c>
      <c r="R8" s="36">
        <v>8.4789999999999992</v>
      </c>
      <c r="S8" s="36">
        <v>8.5839999999999996</v>
      </c>
      <c r="T8" s="286">
        <v>8.6829999999999998</v>
      </c>
    </row>
    <row r="9" spans="1:20" x14ac:dyDescent="0.25">
      <c r="A9">
        <v>4</v>
      </c>
      <c r="B9" s="285">
        <v>3.0150000000000001</v>
      </c>
      <c r="C9" s="36">
        <v>3.976</v>
      </c>
      <c r="D9" s="36">
        <v>4.5860000000000003</v>
      </c>
      <c r="E9" s="36">
        <v>5.0350000000000001</v>
      </c>
      <c r="F9" s="36">
        <v>5.3879999999999999</v>
      </c>
      <c r="G9" s="36">
        <v>5.6790000000000003</v>
      </c>
      <c r="H9" s="36">
        <v>5.9260000000000002</v>
      </c>
      <c r="I9" s="36">
        <v>6.1390000000000002</v>
      </c>
      <c r="J9" s="36">
        <v>6.327</v>
      </c>
      <c r="K9" s="36">
        <v>6.4939999999999998</v>
      </c>
      <c r="L9" s="36">
        <v>6.6449999999999996</v>
      </c>
      <c r="M9" s="36">
        <v>6.7830000000000004</v>
      </c>
      <c r="N9" s="36">
        <v>6.9089999999999998</v>
      </c>
      <c r="O9" s="36">
        <v>7.0250000000000004</v>
      </c>
      <c r="P9" s="36">
        <v>7.1319999999999997</v>
      </c>
      <c r="Q9" s="36">
        <v>7.2329999999999997</v>
      </c>
      <c r="R9" s="36">
        <v>7.3259999999999996</v>
      </c>
      <c r="S9" s="36">
        <v>7.4139999999999997</v>
      </c>
      <c r="T9" s="286">
        <v>7.4969999999999999</v>
      </c>
    </row>
    <row r="10" spans="1:20" x14ac:dyDescent="0.25">
      <c r="A10">
        <v>5</v>
      </c>
      <c r="B10" s="285">
        <v>2.85</v>
      </c>
      <c r="C10" s="36">
        <v>3.7170000000000001</v>
      </c>
      <c r="D10" s="36">
        <v>4.2640000000000002</v>
      </c>
      <c r="E10" s="36">
        <v>4.6639999999999997</v>
      </c>
      <c r="F10" s="36">
        <v>4.9790000000000001</v>
      </c>
      <c r="G10" s="36">
        <v>5.2380000000000004</v>
      </c>
      <c r="H10" s="36">
        <v>5.4580000000000002</v>
      </c>
      <c r="I10" s="36">
        <v>5.6479999999999997</v>
      </c>
      <c r="J10" s="36">
        <v>5.8159999999999998</v>
      </c>
      <c r="K10" s="36">
        <v>5.9649999999999999</v>
      </c>
      <c r="L10" s="36">
        <v>6.1</v>
      </c>
      <c r="M10" s="36">
        <v>6.2229999999999999</v>
      </c>
      <c r="N10" s="36">
        <v>6.3360000000000003</v>
      </c>
      <c r="O10" s="36">
        <v>6.4390000000000001</v>
      </c>
      <c r="P10" s="36">
        <v>6.5359999999999996</v>
      </c>
      <c r="Q10" s="36">
        <v>6.6260000000000003</v>
      </c>
      <c r="R10" s="36">
        <v>6.71</v>
      </c>
      <c r="S10" s="36">
        <v>6.7880000000000003</v>
      </c>
      <c r="T10" s="286">
        <v>6.8630000000000004</v>
      </c>
    </row>
    <row r="11" spans="1:20" x14ac:dyDescent="0.25">
      <c r="A11">
        <v>6</v>
      </c>
      <c r="B11" s="285">
        <v>2.7480000000000002</v>
      </c>
      <c r="C11" s="36">
        <v>3.5579999999999998</v>
      </c>
      <c r="D11" s="36">
        <v>4.0650000000000004</v>
      </c>
      <c r="E11" s="36">
        <v>4.4349999999999996</v>
      </c>
      <c r="F11" s="36">
        <v>4.726</v>
      </c>
      <c r="G11" s="36">
        <v>4.9660000000000002</v>
      </c>
      <c r="H11" s="36">
        <v>5.1680000000000001</v>
      </c>
      <c r="I11" s="36">
        <v>5.3440000000000003</v>
      </c>
      <c r="J11" s="36">
        <v>5.4989999999999997</v>
      </c>
      <c r="K11" s="36">
        <v>5.6369999999999996</v>
      </c>
      <c r="L11" s="36">
        <v>5.7619999999999996</v>
      </c>
      <c r="M11" s="36">
        <v>5.875</v>
      </c>
      <c r="N11" s="36">
        <v>5.9790000000000001</v>
      </c>
      <c r="O11" s="36">
        <v>6.0750000000000002</v>
      </c>
      <c r="P11" s="36">
        <v>6.1639999999999997</v>
      </c>
      <c r="Q11" s="36">
        <v>6.2469999999999999</v>
      </c>
      <c r="R11" s="36">
        <v>6.3250000000000002</v>
      </c>
      <c r="S11" s="36">
        <v>6.3979999999999997</v>
      </c>
      <c r="T11" s="286">
        <v>6.4660000000000002</v>
      </c>
    </row>
    <row r="12" spans="1:20" x14ac:dyDescent="0.25">
      <c r="A12">
        <v>7</v>
      </c>
      <c r="B12" s="285">
        <v>2.6789999999999998</v>
      </c>
      <c r="C12" s="36">
        <v>3.4510000000000001</v>
      </c>
      <c r="D12" s="36">
        <v>3.931</v>
      </c>
      <c r="E12" s="36">
        <v>4.28</v>
      </c>
      <c r="F12" s="36">
        <v>4.5549999999999997</v>
      </c>
      <c r="G12" s="36">
        <v>4.78</v>
      </c>
      <c r="H12" s="36">
        <v>4.9710000000000001</v>
      </c>
      <c r="I12" s="36">
        <v>5.1369999999999996</v>
      </c>
      <c r="J12" s="36">
        <v>5.2830000000000004</v>
      </c>
      <c r="K12" s="36">
        <v>5.4130000000000003</v>
      </c>
      <c r="L12" s="36">
        <v>5.53</v>
      </c>
      <c r="M12" s="36">
        <v>5.6369999999999996</v>
      </c>
      <c r="N12" s="36">
        <v>5.7350000000000003</v>
      </c>
      <c r="O12" s="36">
        <v>5.8259999999999996</v>
      </c>
      <c r="P12" s="36">
        <v>5.91</v>
      </c>
      <c r="Q12" s="36">
        <v>5.9880000000000004</v>
      </c>
      <c r="R12" s="36">
        <v>6.0609999999999999</v>
      </c>
      <c r="S12" s="36">
        <v>6.13</v>
      </c>
      <c r="T12" s="286">
        <v>6.1950000000000003</v>
      </c>
    </row>
    <row r="13" spans="1:20" x14ac:dyDescent="0.25">
      <c r="A13">
        <v>8</v>
      </c>
      <c r="B13" s="285">
        <v>2.63</v>
      </c>
      <c r="C13" s="36">
        <v>3.3740000000000001</v>
      </c>
      <c r="D13" s="36">
        <v>3.8340000000000001</v>
      </c>
      <c r="E13" s="36">
        <v>4.1689999999999996</v>
      </c>
      <c r="F13" s="36">
        <v>4.431</v>
      </c>
      <c r="G13" s="36">
        <v>4.6459999999999999</v>
      </c>
      <c r="H13" s="36">
        <v>4.8289999999999997</v>
      </c>
      <c r="I13" s="36">
        <v>4.9870000000000001</v>
      </c>
      <c r="J13" s="36">
        <v>5.1260000000000003</v>
      </c>
      <c r="K13" s="36">
        <v>5.25</v>
      </c>
      <c r="L13" s="36">
        <v>5.3620000000000001</v>
      </c>
      <c r="M13" s="36">
        <v>5.4640000000000004</v>
      </c>
      <c r="N13" s="36">
        <v>5.5579999999999998</v>
      </c>
      <c r="O13" s="36">
        <v>5.6440000000000001</v>
      </c>
      <c r="P13" s="36">
        <v>5.7240000000000002</v>
      </c>
      <c r="Q13" s="36">
        <v>5.7990000000000004</v>
      </c>
      <c r="R13" s="36">
        <v>5.8689999999999998</v>
      </c>
      <c r="S13" s="36">
        <v>5.9349999999999996</v>
      </c>
      <c r="T13" s="286">
        <v>5.9969999999999999</v>
      </c>
    </row>
    <row r="14" spans="1:20" x14ac:dyDescent="0.25">
      <c r="A14">
        <v>9</v>
      </c>
      <c r="B14" s="285">
        <v>2.5920000000000001</v>
      </c>
      <c r="C14" s="36">
        <v>3.3159999999999998</v>
      </c>
      <c r="D14" s="36">
        <v>3.7610000000000001</v>
      </c>
      <c r="E14" s="36">
        <v>4.0839999999999996</v>
      </c>
      <c r="F14" s="36">
        <v>4.3369999999999997</v>
      </c>
      <c r="G14" s="36">
        <v>4.5449999999999999</v>
      </c>
      <c r="H14" s="36">
        <v>4.7210000000000001</v>
      </c>
      <c r="I14" s="36">
        <v>4.8730000000000002</v>
      </c>
      <c r="J14" s="36">
        <v>5.0069999999999997</v>
      </c>
      <c r="K14" s="36">
        <v>5.1260000000000003</v>
      </c>
      <c r="L14" s="36">
        <v>5.234</v>
      </c>
      <c r="M14" s="36">
        <v>5.3330000000000002</v>
      </c>
      <c r="N14" s="36">
        <v>5.423</v>
      </c>
      <c r="O14" s="36">
        <v>5.5060000000000002</v>
      </c>
      <c r="P14" s="36">
        <v>5.5830000000000002</v>
      </c>
      <c r="Q14" s="36">
        <v>5.6550000000000002</v>
      </c>
      <c r="R14" s="36">
        <v>5.7220000000000004</v>
      </c>
      <c r="S14" s="36">
        <v>5.7859999999999996</v>
      </c>
      <c r="T14" s="286">
        <v>5.8449999999999998</v>
      </c>
    </row>
    <row r="15" spans="1:20" x14ac:dyDescent="0.25">
      <c r="A15">
        <v>10</v>
      </c>
      <c r="B15" s="285">
        <v>2.5630000000000002</v>
      </c>
      <c r="C15" s="36">
        <v>3.27</v>
      </c>
      <c r="D15" s="36">
        <v>3.7040000000000002</v>
      </c>
      <c r="E15" s="36">
        <v>4.0179999999999998</v>
      </c>
      <c r="F15" s="36">
        <v>4.2640000000000002</v>
      </c>
      <c r="G15" s="36">
        <v>4.4649999999999999</v>
      </c>
      <c r="H15" s="36">
        <v>4.6360000000000001</v>
      </c>
      <c r="I15" s="36">
        <v>4.7830000000000004</v>
      </c>
      <c r="J15" s="36">
        <v>4.9130000000000003</v>
      </c>
      <c r="K15" s="36">
        <v>5.0289999999999999</v>
      </c>
      <c r="L15" s="36">
        <v>5.1340000000000003</v>
      </c>
      <c r="M15" s="36">
        <v>5.2290000000000001</v>
      </c>
      <c r="N15" s="36">
        <v>5.3159999999999998</v>
      </c>
      <c r="O15" s="36">
        <v>5.3970000000000002</v>
      </c>
      <c r="P15" s="36">
        <v>5.4720000000000004</v>
      </c>
      <c r="Q15" s="36">
        <v>5.5419999999999998</v>
      </c>
      <c r="R15" s="36">
        <v>5.6070000000000002</v>
      </c>
      <c r="S15" s="36">
        <v>5.6680000000000001</v>
      </c>
      <c r="T15" s="286">
        <v>5.726</v>
      </c>
    </row>
    <row r="16" spans="1:20" x14ac:dyDescent="0.25">
      <c r="A16">
        <v>11</v>
      </c>
      <c r="B16" s="285">
        <v>2.54</v>
      </c>
      <c r="C16" s="36">
        <v>3.234</v>
      </c>
      <c r="D16" s="36">
        <v>3.6579999999999999</v>
      </c>
      <c r="E16" s="36">
        <v>3.9649999999999999</v>
      </c>
      <c r="F16" s="36">
        <v>4.2050000000000001</v>
      </c>
      <c r="G16" s="36">
        <v>4.4009999999999998</v>
      </c>
      <c r="H16" s="36">
        <v>4.5670000000000002</v>
      </c>
      <c r="I16" s="36">
        <v>4.7110000000000003</v>
      </c>
      <c r="J16" s="36">
        <v>4.8380000000000001</v>
      </c>
      <c r="K16" s="36">
        <v>4.9509999999999996</v>
      </c>
      <c r="L16" s="36">
        <v>5.0529999999999999</v>
      </c>
      <c r="M16" s="36">
        <v>5.1449999999999996</v>
      </c>
      <c r="N16" s="36">
        <v>5.2309999999999999</v>
      </c>
      <c r="O16" s="36">
        <v>5.3090000000000002</v>
      </c>
      <c r="P16" s="36">
        <v>5.3819999999999997</v>
      </c>
      <c r="Q16" s="36">
        <v>5.45</v>
      </c>
      <c r="R16" s="36">
        <v>5.5140000000000002</v>
      </c>
      <c r="S16" s="36">
        <v>5.5730000000000004</v>
      </c>
      <c r="T16" s="286">
        <v>5.63</v>
      </c>
    </row>
    <row r="17" spans="1:20" x14ac:dyDescent="0.25">
      <c r="A17">
        <v>12</v>
      </c>
      <c r="B17" s="285">
        <v>2.5209999999999999</v>
      </c>
      <c r="C17" s="36">
        <v>3.2040000000000002</v>
      </c>
      <c r="D17" s="36">
        <v>3.621</v>
      </c>
      <c r="E17" s="36">
        <v>3.9209999999999998</v>
      </c>
      <c r="F17" s="36">
        <v>4.1559999999999997</v>
      </c>
      <c r="G17" s="36">
        <v>4.3490000000000002</v>
      </c>
      <c r="H17" s="36">
        <v>4.5110000000000001</v>
      </c>
      <c r="I17" s="36">
        <v>4.6520000000000001</v>
      </c>
      <c r="J17" s="36">
        <v>4.7759999999999998</v>
      </c>
      <c r="K17" s="36">
        <v>4.8860000000000001</v>
      </c>
      <c r="L17" s="36">
        <v>4.9859999999999998</v>
      </c>
      <c r="M17" s="36">
        <v>5.0759999999999996</v>
      </c>
      <c r="N17" s="36">
        <v>5.16</v>
      </c>
      <c r="O17" s="36">
        <v>5.2359999999999998</v>
      </c>
      <c r="P17" s="36">
        <v>5.3079999999999998</v>
      </c>
      <c r="Q17" s="36">
        <v>5.3739999999999997</v>
      </c>
      <c r="R17" s="36">
        <v>5.4359999999999999</v>
      </c>
      <c r="S17" s="36">
        <v>5.4950000000000001</v>
      </c>
      <c r="T17" s="286">
        <v>5.55</v>
      </c>
    </row>
    <row r="18" spans="1:20" x14ac:dyDescent="0.25">
      <c r="A18">
        <v>13</v>
      </c>
      <c r="B18" s="285">
        <v>2.504</v>
      </c>
      <c r="C18" s="36">
        <v>3.1789999999999998</v>
      </c>
      <c r="D18" s="36">
        <v>3.589</v>
      </c>
      <c r="E18" s="36">
        <v>3.8849999999999998</v>
      </c>
      <c r="F18" s="36">
        <v>4.1159999999999997</v>
      </c>
      <c r="G18" s="36">
        <v>4.3040000000000003</v>
      </c>
      <c r="H18" s="36">
        <v>4.4640000000000004</v>
      </c>
      <c r="I18" s="36">
        <v>4.6020000000000003</v>
      </c>
      <c r="J18" s="36">
        <v>4.7240000000000002</v>
      </c>
      <c r="K18" s="36">
        <v>4.8319999999999999</v>
      </c>
      <c r="L18" s="36">
        <v>4.93</v>
      </c>
      <c r="M18" s="36">
        <v>5.0190000000000001</v>
      </c>
      <c r="N18" s="36">
        <v>5.0999999999999996</v>
      </c>
      <c r="O18" s="36">
        <v>5.1749999999999998</v>
      </c>
      <c r="P18" s="36">
        <v>5.2450000000000001</v>
      </c>
      <c r="Q18" s="36">
        <v>5.31</v>
      </c>
      <c r="R18" s="36">
        <v>5.3710000000000004</v>
      </c>
      <c r="S18" s="36">
        <v>5.4290000000000003</v>
      </c>
      <c r="T18" s="286">
        <v>5.4829999999999997</v>
      </c>
    </row>
    <row r="19" spans="1:20" x14ac:dyDescent="0.25">
      <c r="A19">
        <v>14</v>
      </c>
      <c r="B19" s="285">
        <v>2.4910000000000001</v>
      </c>
      <c r="C19" s="36">
        <v>3.1579999999999999</v>
      </c>
      <c r="D19" s="36">
        <v>3.5630000000000002</v>
      </c>
      <c r="E19" s="36">
        <v>3.8540000000000001</v>
      </c>
      <c r="F19" s="36">
        <v>4.0810000000000004</v>
      </c>
      <c r="G19" s="36">
        <v>4.2670000000000003</v>
      </c>
      <c r="H19" s="36">
        <v>4.4240000000000004</v>
      </c>
      <c r="I19" s="36">
        <v>4.5599999999999996</v>
      </c>
      <c r="J19" s="36">
        <v>4.6790000000000003</v>
      </c>
      <c r="K19" s="36">
        <v>4.7859999999999996</v>
      </c>
      <c r="L19" s="36">
        <v>4.8819999999999997</v>
      </c>
      <c r="M19" s="36">
        <v>4.9690000000000003</v>
      </c>
      <c r="N19" s="36">
        <v>5.05</v>
      </c>
      <c r="O19" s="36">
        <v>5.1239999999999997</v>
      </c>
      <c r="P19" s="36">
        <v>5.1920000000000002</v>
      </c>
      <c r="Q19" s="36">
        <v>5.2560000000000002</v>
      </c>
      <c r="R19" s="36">
        <v>5.3159999999999998</v>
      </c>
      <c r="S19" s="36">
        <v>5.3719999999999999</v>
      </c>
      <c r="T19" s="286">
        <v>5.4260000000000002</v>
      </c>
    </row>
    <row r="20" spans="1:20" x14ac:dyDescent="0.25">
      <c r="A20">
        <v>15</v>
      </c>
      <c r="B20" s="285">
        <v>2.4790000000000001</v>
      </c>
      <c r="C20" s="36">
        <v>3.14</v>
      </c>
      <c r="D20" s="36">
        <v>3.54</v>
      </c>
      <c r="E20" s="36">
        <v>3.8279999999999998</v>
      </c>
      <c r="F20" s="36">
        <v>4.0519999999999996</v>
      </c>
      <c r="G20" s="36">
        <v>4.2350000000000003</v>
      </c>
      <c r="H20" s="36">
        <v>4.3899999999999997</v>
      </c>
      <c r="I20" s="36">
        <v>4.524</v>
      </c>
      <c r="J20" s="36">
        <v>4.641</v>
      </c>
      <c r="K20" s="36">
        <v>4.7460000000000004</v>
      </c>
      <c r="L20" s="36">
        <v>4.8410000000000002</v>
      </c>
      <c r="M20" s="36">
        <v>4.9269999999999996</v>
      </c>
      <c r="N20" s="36">
        <v>5.0060000000000002</v>
      </c>
      <c r="O20" s="36">
        <v>5.0789999999999997</v>
      </c>
      <c r="P20" s="36">
        <v>5.1459999999999999</v>
      </c>
      <c r="Q20" s="36">
        <v>5.2089999999999996</v>
      </c>
      <c r="R20" s="36">
        <v>5.2679999999999998</v>
      </c>
      <c r="S20" s="36">
        <v>5.3239999999999998</v>
      </c>
      <c r="T20" s="286">
        <v>5.3760000000000003</v>
      </c>
    </row>
    <row r="21" spans="1:20" x14ac:dyDescent="0.25">
      <c r="A21">
        <v>16</v>
      </c>
      <c r="B21" s="285">
        <v>2.4689999999999999</v>
      </c>
      <c r="C21" s="36">
        <v>3.1240000000000001</v>
      </c>
      <c r="D21" s="36">
        <v>3.52</v>
      </c>
      <c r="E21" s="36">
        <v>3.8039999999999998</v>
      </c>
      <c r="F21" s="36">
        <v>4.0259999999999998</v>
      </c>
      <c r="G21" s="36">
        <v>4.2069999999999999</v>
      </c>
      <c r="H21" s="36">
        <v>4.3600000000000003</v>
      </c>
      <c r="I21" s="36">
        <v>4.492</v>
      </c>
      <c r="J21" s="36">
        <v>4.6079999999999997</v>
      </c>
      <c r="K21" s="36">
        <v>4.7119999999999997</v>
      </c>
      <c r="L21" s="36">
        <v>4.8049999999999997</v>
      </c>
      <c r="M21" s="36">
        <v>4.8899999999999997</v>
      </c>
      <c r="N21" s="36">
        <v>4.968</v>
      </c>
      <c r="O21" s="36">
        <v>5.04</v>
      </c>
      <c r="P21" s="36">
        <v>5.1059999999999999</v>
      </c>
      <c r="Q21" s="36">
        <v>5.1689999999999996</v>
      </c>
      <c r="R21" s="36">
        <v>5.2270000000000003</v>
      </c>
      <c r="S21" s="36">
        <v>5.282</v>
      </c>
      <c r="T21" s="286">
        <v>5.3330000000000002</v>
      </c>
    </row>
    <row r="22" spans="1:20" x14ac:dyDescent="0.25">
      <c r="A22">
        <v>17</v>
      </c>
      <c r="B22" s="285">
        <v>2.46</v>
      </c>
      <c r="C22" s="36">
        <v>3.11</v>
      </c>
      <c r="D22" s="36">
        <v>3.5030000000000001</v>
      </c>
      <c r="E22" s="36">
        <v>3.7839999999999998</v>
      </c>
      <c r="F22" s="36">
        <v>4.0030000000000001</v>
      </c>
      <c r="G22" s="36">
        <v>4.1820000000000004</v>
      </c>
      <c r="H22" s="36">
        <v>4.3339999999999996</v>
      </c>
      <c r="I22" s="36">
        <v>4.4640000000000004</v>
      </c>
      <c r="J22" s="36">
        <v>4.5789999999999997</v>
      </c>
      <c r="K22" s="36">
        <v>4.681</v>
      </c>
      <c r="L22" s="36">
        <v>4.774</v>
      </c>
      <c r="M22" s="36">
        <v>4.8570000000000002</v>
      </c>
      <c r="N22" s="36">
        <v>4.9340000000000002</v>
      </c>
      <c r="O22" s="36">
        <v>5.0049999999999999</v>
      </c>
      <c r="P22" s="36">
        <v>5.0709999999999997</v>
      </c>
      <c r="Q22" s="36">
        <v>5.133</v>
      </c>
      <c r="R22" s="36">
        <v>5.19</v>
      </c>
      <c r="S22" s="36">
        <v>5.2439999999999998</v>
      </c>
      <c r="T22" s="286">
        <v>5.2949999999999999</v>
      </c>
    </row>
    <row r="23" spans="1:20" x14ac:dyDescent="0.25">
      <c r="A23">
        <v>18</v>
      </c>
      <c r="B23" s="285">
        <v>2.452</v>
      </c>
      <c r="C23" s="36">
        <v>3.0979999999999999</v>
      </c>
      <c r="D23" s="36">
        <v>3.4870000000000001</v>
      </c>
      <c r="E23" s="36">
        <v>3.766</v>
      </c>
      <c r="F23" s="36">
        <v>3.984</v>
      </c>
      <c r="G23" s="36">
        <v>4.1609999999999996</v>
      </c>
      <c r="H23" s="36">
        <v>4.3099999999999996</v>
      </c>
      <c r="I23" s="36">
        <v>4.4400000000000004</v>
      </c>
      <c r="J23" s="36">
        <v>4.5529999999999999</v>
      </c>
      <c r="K23" s="36">
        <v>4.6539999999999999</v>
      </c>
      <c r="L23" s="36">
        <v>4.7460000000000004</v>
      </c>
      <c r="M23" s="36">
        <v>4.8289999999999997</v>
      </c>
      <c r="N23" s="36">
        <v>4.9050000000000002</v>
      </c>
      <c r="O23" s="36">
        <v>4.9749999999999996</v>
      </c>
      <c r="P23" s="36">
        <v>5.04</v>
      </c>
      <c r="Q23" s="36">
        <v>5.101</v>
      </c>
      <c r="R23" s="36">
        <v>5.1580000000000004</v>
      </c>
      <c r="S23" s="36">
        <v>5.2110000000000003</v>
      </c>
      <c r="T23" s="286">
        <v>5.2619999999999996</v>
      </c>
    </row>
    <row r="24" spans="1:20" x14ac:dyDescent="0.25">
      <c r="A24">
        <v>19</v>
      </c>
      <c r="B24" s="285">
        <v>2.4449999999999998</v>
      </c>
      <c r="C24" s="36">
        <v>3.0870000000000002</v>
      </c>
      <c r="D24" s="36">
        <v>3.4740000000000002</v>
      </c>
      <c r="E24" s="36">
        <v>3.7509999999999999</v>
      </c>
      <c r="F24" s="36">
        <v>3.9660000000000002</v>
      </c>
      <c r="G24" s="36">
        <v>4.1420000000000003</v>
      </c>
      <c r="H24" s="36">
        <v>4.29</v>
      </c>
      <c r="I24" s="36">
        <v>4.4180000000000001</v>
      </c>
      <c r="J24" s="36">
        <v>4.53</v>
      </c>
      <c r="K24" s="36">
        <v>4.63</v>
      </c>
      <c r="L24" s="36">
        <v>4.7210000000000001</v>
      </c>
      <c r="M24" s="36">
        <v>4.8029999999999999</v>
      </c>
      <c r="N24" s="36">
        <v>4.8780000000000001</v>
      </c>
      <c r="O24" s="36">
        <v>4.9480000000000004</v>
      </c>
      <c r="P24" s="36">
        <v>5.0119999999999996</v>
      </c>
      <c r="Q24" s="36">
        <v>5.0720000000000001</v>
      </c>
      <c r="R24" s="36">
        <v>5.1289999999999996</v>
      </c>
      <c r="S24" s="36">
        <v>5.1820000000000004</v>
      </c>
      <c r="T24" s="286">
        <v>5.2320000000000002</v>
      </c>
    </row>
    <row r="25" spans="1:20" x14ac:dyDescent="0.25">
      <c r="A25">
        <v>20</v>
      </c>
      <c r="B25" s="285">
        <v>2.4390000000000001</v>
      </c>
      <c r="C25" s="36">
        <v>3.077</v>
      </c>
      <c r="D25" s="36">
        <v>3.4620000000000002</v>
      </c>
      <c r="E25" s="36">
        <v>3.7360000000000002</v>
      </c>
      <c r="F25" s="36">
        <v>3.95</v>
      </c>
      <c r="G25" s="36">
        <v>4.1239999999999997</v>
      </c>
      <c r="H25" s="36">
        <v>4.2709999999999999</v>
      </c>
      <c r="I25" s="36">
        <v>4.3979999999999997</v>
      </c>
      <c r="J25" s="36">
        <v>4.51</v>
      </c>
      <c r="K25" s="36">
        <v>4.609</v>
      </c>
      <c r="L25" s="36">
        <v>4.6989999999999998</v>
      </c>
      <c r="M25" s="36">
        <v>4.78</v>
      </c>
      <c r="N25" s="36">
        <v>4.8550000000000004</v>
      </c>
      <c r="O25" s="36">
        <v>4.923</v>
      </c>
      <c r="P25" s="36">
        <v>4.9870000000000001</v>
      </c>
      <c r="Q25" s="36">
        <v>5.0469999999999997</v>
      </c>
      <c r="R25" s="36">
        <v>5.1029999999999998</v>
      </c>
      <c r="S25" s="36">
        <v>5.1550000000000002</v>
      </c>
      <c r="T25" s="286">
        <v>5.2050000000000001</v>
      </c>
    </row>
    <row r="26" spans="1:20" x14ac:dyDescent="0.25">
      <c r="A26">
        <v>21</v>
      </c>
      <c r="B26" s="285">
        <v>2.4329999999999998</v>
      </c>
      <c r="C26" s="36">
        <v>3.069</v>
      </c>
      <c r="D26" s="36">
        <v>3.4510000000000001</v>
      </c>
      <c r="E26" s="36">
        <v>3.7240000000000002</v>
      </c>
      <c r="F26" s="36">
        <v>3.9359999999999999</v>
      </c>
      <c r="G26" s="36">
        <v>4.109</v>
      </c>
      <c r="H26" s="36">
        <v>4.2549999999999999</v>
      </c>
      <c r="I26" s="36">
        <v>4.38</v>
      </c>
      <c r="J26" s="36">
        <v>4.4909999999999997</v>
      </c>
      <c r="K26" s="36">
        <v>4.59</v>
      </c>
      <c r="L26" s="36">
        <v>4.6779999999999999</v>
      </c>
      <c r="M26" s="36">
        <v>4.7590000000000003</v>
      </c>
      <c r="N26" s="36">
        <v>4.8330000000000002</v>
      </c>
      <c r="O26" s="36">
        <v>4.9009999999999998</v>
      </c>
      <c r="P26" s="36">
        <v>4.9649999999999999</v>
      </c>
      <c r="Q26" s="36">
        <v>5.024</v>
      </c>
      <c r="R26" s="36">
        <v>5.0789999999999997</v>
      </c>
      <c r="S26" s="36">
        <v>5.1310000000000002</v>
      </c>
      <c r="T26" s="286">
        <v>5.18</v>
      </c>
    </row>
    <row r="27" spans="1:20" x14ac:dyDescent="0.25">
      <c r="A27">
        <v>22</v>
      </c>
      <c r="B27" s="285">
        <v>2.4279999999999999</v>
      </c>
      <c r="C27" s="36">
        <v>3.0609999999999999</v>
      </c>
      <c r="D27" s="36">
        <v>3.4409999999999998</v>
      </c>
      <c r="E27" s="36">
        <v>3.7120000000000002</v>
      </c>
      <c r="F27" s="36">
        <v>3.923</v>
      </c>
      <c r="G27" s="36">
        <v>4.0949999999999998</v>
      </c>
      <c r="H27" s="36">
        <v>4.2389999999999999</v>
      </c>
      <c r="I27" s="36">
        <v>4.3639999999999999</v>
      </c>
      <c r="J27" s="36">
        <v>4.4740000000000002</v>
      </c>
      <c r="K27" s="36">
        <v>4.5720000000000001</v>
      </c>
      <c r="L27" s="36">
        <v>4.66</v>
      </c>
      <c r="M27" s="36">
        <v>4.74</v>
      </c>
      <c r="N27" s="36">
        <v>4.8140000000000001</v>
      </c>
      <c r="O27" s="36">
        <v>4.8819999999999997</v>
      </c>
      <c r="P27" s="36">
        <v>4.944</v>
      </c>
      <c r="Q27" s="36">
        <v>5.0030000000000001</v>
      </c>
      <c r="R27" s="36">
        <v>5.0579999999999998</v>
      </c>
      <c r="S27" s="36">
        <v>5.109</v>
      </c>
      <c r="T27" s="286">
        <v>5.1580000000000004</v>
      </c>
    </row>
    <row r="28" spans="1:20" x14ac:dyDescent="0.25">
      <c r="A28">
        <v>23</v>
      </c>
      <c r="B28" s="285">
        <v>2.4239999999999999</v>
      </c>
      <c r="C28" s="36">
        <v>3.0539999999999998</v>
      </c>
      <c r="D28" s="36">
        <v>3.4319999999999999</v>
      </c>
      <c r="E28" s="36">
        <v>3.7010000000000001</v>
      </c>
      <c r="F28" s="36">
        <v>3.911</v>
      </c>
      <c r="G28" s="36">
        <v>4.0819999999999999</v>
      </c>
      <c r="H28" s="36">
        <v>4.226</v>
      </c>
      <c r="I28" s="36">
        <v>4.3499999999999996</v>
      </c>
      <c r="J28" s="36">
        <v>4.4589999999999996</v>
      </c>
      <c r="K28" s="36">
        <v>4.556</v>
      </c>
      <c r="L28" s="36">
        <v>4.6440000000000001</v>
      </c>
      <c r="M28" s="36">
        <v>4.7229999999999999</v>
      </c>
      <c r="N28" s="36">
        <v>4.7960000000000003</v>
      </c>
      <c r="O28" s="36">
        <v>4.8630000000000004</v>
      </c>
      <c r="P28" s="36">
        <v>4.9260000000000002</v>
      </c>
      <c r="Q28" s="36">
        <v>4.984</v>
      </c>
      <c r="R28" s="36">
        <v>5.0380000000000003</v>
      </c>
      <c r="S28" s="36">
        <v>5.0890000000000004</v>
      </c>
      <c r="T28" s="286">
        <v>5.1379999999999999</v>
      </c>
    </row>
    <row r="29" spans="1:20" x14ac:dyDescent="0.25">
      <c r="A29">
        <v>24</v>
      </c>
      <c r="B29" s="285">
        <v>2.42</v>
      </c>
      <c r="C29" s="36">
        <v>3.0470000000000002</v>
      </c>
      <c r="D29" s="36">
        <v>3.423</v>
      </c>
      <c r="E29" s="36">
        <v>3.6920000000000002</v>
      </c>
      <c r="F29" s="36">
        <v>3.9</v>
      </c>
      <c r="G29" s="36">
        <v>4.07</v>
      </c>
      <c r="H29" s="36">
        <v>4.2130000000000001</v>
      </c>
      <c r="I29" s="36">
        <v>4.3360000000000003</v>
      </c>
      <c r="J29" s="36">
        <v>4.4450000000000003</v>
      </c>
      <c r="K29" s="36">
        <v>4.5410000000000004</v>
      </c>
      <c r="L29" s="36">
        <v>4.6280000000000001</v>
      </c>
      <c r="M29" s="36">
        <v>4.7069999999999999</v>
      </c>
      <c r="N29" s="36">
        <v>4.78</v>
      </c>
      <c r="O29" s="36">
        <v>4.8470000000000004</v>
      </c>
      <c r="P29" s="36">
        <v>4.9089999999999998</v>
      </c>
      <c r="Q29" s="36">
        <v>4.9660000000000002</v>
      </c>
      <c r="R29" s="36">
        <v>5.0199999999999996</v>
      </c>
      <c r="S29" s="36">
        <v>5.0709999999999997</v>
      </c>
      <c r="T29" s="286">
        <v>5.1189999999999998</v>
      </c>
    </row>
    <row r="30" spans="1:20" x14ac:dyDescent="0.25">
      <c r="A30">
        <v>25</v>
      </c>
      <c r="B30" s="285">
        <v>2.4159999999999999</v>
      </c>
      <c r="C30" s="36">
        <v>3.0409999999999999</v>
      </c>
      <c r="D30" s="36">
        <v>3.4159999999999999</v>
      </c>
      <c r="E30" s="36">
        <v>3.6829999999999998</v>
      </c>
      <c r="F30" s="36">
        <v>3.89</v>
      </c>
      <c r="G30" s="36">
        <v>4.0590000000000002</v>
      </c>
      <c r="H30" s="36">
        <v>4.2009999999999996</v>
      </c>
      <c r="I30" s="36">
        <v>4.3239999999999998</v>
      </c>
      <c r="J30" s="36">
        <v>4.4320000000000004</v>
      </c>
      <c r="K30" s="36">
        <v>4.5279999999999996</v>
      </c>
      <c r="L30" s="36">
        <v>4.6139999999999999</v>
      </c>
      <c r="M30" s="36">
        <v>4.6929999999999996</v>
      </c>
      <c r="N30" s="36">
        <v>4.7649999999999997</v>
      </c>
      <c r="O30" s="36">
        <v>4.8310000000000004</v>
      </c>
      <c r="P30" s="36">
        <v>4.8929999999999998</v>
      </c>
      <c r="Q30" s="36">
        <v>4.95</v>
      </c>
      <c r="R30" s="36">
        <v>5.0039999999999996</v>
      </c>
      <c r="S30" s="36">
        <v>5.0549999999999997</v>
      </c>
      <c r="T30" s="286">
        <v>5.1020000000000003</v>
      </c>
    </row>
    <row r="31" spans="1:20" x14ac:dyDescent="0.25">
      <c r="A31">
        <v>26</v>
      </c>
      <c r="B31" s="285">
        <v>2.4119999999999999</v>
      </c>
      <c r="C31" s="36">
        <v>3.036</v>
      </c>
      <c r="D31" s="36">
        <v>3.4089999999999998</v>
      </c>
      <c r="E31" s="36">
        <v>3.6749999999999998</v>
      </c>
      <c r="F31" s="36">
        <v>3.8809999999999998</v>
      </c>
      <c r="G31" s="36">
        <v>4.0490000000000004</v>
      </c>
      <c r="H31" s="36">
        <v>4.1909999999999998</v>
      </c>
      <c r="I31" s="36">
        <v>4.3129999999999997</v>
      </c>
      <c r="J31" s="36">
        <v>4.42</v>
      </c>
      <c r="K31" s="36">
        <v>4.5149999999999997</v>
      </c>
      <c r="L31" s="36">
        <v>4.601</v>
      </c>
      <c r="M31" s="36">
        <v>4.68</v>
      </c>
      <c r="N31" s="36">
        <v>4.7510000000000003</v>
      </c>
      <c r="O31" s="36">
        <v>4.8170000000000002</v>
      </c>
      <c r="P31" s="36">
        <v>4.8780000000000001</v>
      </c>
      <c r="Q31" s="36">
        <v>4.9359999999999999</v>
      </c>
      <c r="R31" s="36">
        <v>4.9889999999999999</v>
      </c>
      <c r="S31" s="36">
        <v>5.0389999999999997</v>
      </c>
      <c r="T31" s="286">
        <v>5.0860000000000003</v>
      </c>
    </row>
    <row r="32" spans="1:20" x14ac:dyDescent="0.25">
      <c r="A32">
        <v>27</v>
      </c>
      <c r="B32" s="285">
        <v>2.4089999999999998</v>
      </c>
      <c r="C32" s="36">
        <v>3.03</v>
      </c>
      <c r="D32" s="36">
        <v>3.4020000000000001</v>
      </c>
      <c r="E32" s="36">
        <v>3.6669999999999998</v>
      </c>
      <c r="F32" s="36">
        <v>3.8730000000000002</v>
      </c>
      <c r="G32" s="36">
        <v>4.04</v>
      </c>
      <c r="H32" s="36">
        <v>4.181</v>
      </c>
      <c r="I32" s="36">
        <v>4.3019999999999996</v>
      </c>
      <c r="J32" s="36">
        <v>4.4089999999999998</v>
      </c>
      <c r="K32" s="36">
        <v>4.5039999999999996</v>
      </c>
      <c r="L32" s="36">
        <v>4.59</v>
      </c>
      <c r="M32" s="36">
        <v>4.6669999999999998</v>
      </c>
      <c r="N32" s="36">
        <v>4.7389999999999999</v>
      </c>
      <c r="O32" s="36">
        <v>4.8040000000000003</v>
      </c>
      <c r="P32" s="36">
        <v>4.8650000000000002</v>
      </c>
      <c r="Q32" s="36">
        <v>4.9219999999999997</v>
      </c>
      <c r="R32" s="36">
        <v>4.9749999999999996</v>
      </c>
      <c r="S32" s="36">
        <v>5.0250000000000004</v>
      </c>
      <c r="T32" s="286">
        <v>5.0720000000000001</v>
      </c>
    </row>
    <row r="33" spans="1:20" x14ac:dyDescent="0.25">
      <c r="A33">
        <v>28</v>
      </c>
      <c r="B33" s="285">
        <v>2.4060000000000001</v>
      </c>
      <c r="C33" s="36">
        <v>3.0259999999999998</v>
      </c>
      <c r="D33" s="36">
        <v>3.3959999999999999</v>
      </c>
      <c r="E33" s="36">
        <v>3.66</v>
      </c>
      <c r="F33" s="36">
        <v>3.8650000000000002</v>
      </c>
      <c r="G33" s="36">
        <v>4.032</v>
      </c>
      <c r="H33" s="36">
        <v>4.1719999999999997</v>
      </c>
      <c r="I33" s="36">
        <v>4.2930000000000001</v>
      </c>
      <c r="J33" s="36">
        <v>4.399</v>
      </c>
      <c r="K33" s="36">
        <v>4.4930000000000003</v>
      </c>
      <c r="L33" s="36">
        <v>4.5789999999999997</v>
      </c>
      <c r="M33" s="36">
        <v>4.6559999999999997</v>
      </c>
      <c r="N33" s="36">
        <v>4.7270000000000003</v>
      </c>
      <c r="O33" s="36">
        <v>4.7919999999999998</v>
      </c>
      <c r="P33" s="36">
        <v>4.8529999999999998</v>
      </c>
      <c r="Q33" s="36">
        <v>4.9089999999999998</v>
      </c>
      <c r="R33" s="36">
        <v>4.9619999999999997</v>
      </c>
      <c r="S33" s="36">
        <v>5.0119999999999996</v>
      </c>
      <c r="T33" s="286">
        <v>5.0579999999999998</v>
      </c>
    </row>
    <row r="34" spans="1:20" x14ac:dyDescent="0.25">
      <c r="A34">
        <v>29</v>
      </c>
      <c r="B34" s="285">
        <v>2.403</v>
      </c>
      <c r="C34" s="36">
        <v>3.0209999999999999</v>
      </c>
      <c r="D34" s="36">
        <v>3.391</v>
      </c>
      <c r="E34" s="36">
        <v>3.6539999999999999</v>
      </c>
      <c r="F34" s="36">
        <v>3.8580000000000001</v>
      </c>
      <c r="G34" s="36">
        <v>4.024</v>
      </c>
      <c r="H34" s="36">
        <v>4.1630000000000003</v>
      </c>
      <c r="I34" s="36">
        <v>4.2839999999999998</v>
      </c>
      <c r="J34" s="36">
        <v>4.3890000000000002</v>
      </c>
      <c r="K34" s="36">
        <v>4.484</v>
      </c>
      <c r="L34" s="36">
        <v>4.5679999999999996</v>
      </c>
      <c r="M34" s="36">
        <v>4.6449999999999996</v>
      </c>
      <c r="N34" s="36">
        <v>4.7160000000000002</v>
      </c>
      <c r="O34" s="36">
        <v>4.7809999999999997</v>
      </c>
      <c r="P34" s="36">
        <v>4.8410000000000002</v>
      </c>
      <c r="Q34" s="36">
        <v>4.8970000000000002</v>
      </c>
      <c r="R34" s="36">
        <v>4.95</v>
      </c>
      <c r="S34" s="36">
        <v>4.9989999999999997</v>
      </c>
      <c r="T34" s="286">
        <v>5.0460000000000003</v>
      </c>
    </row>
    <row r="35" spans="1:20" x14ac:dyDescent="0.25">
      <c r="A35">
        <v>30</v>
      </c>
      <c r="B35" s="285">
        <v>2.4</v>
      </c>
      <c r="C35" s="36">
        <v>3.0169999999999999</v>
      </c>
      <c r="D35" s="36">
        <v>3.3860000000000001</v>
      </c>
      <c r="E35" s="36">
        <v>3.6480000000000001</v>
      </c>
      <c r="F35" s="36">
        <v>3.851</v>
      </c>
      <c r="G35" s="36">
        <v>4.016</v>
      </c>
      <c r="H35" s="36">
        <v>4.1550000000000002</v>
      </c>
      <c r="I35" s="36">
        <v>4.2750000000000004</v>
      </c>
      <c r="J35" s="36">
        <v>4.3810000000000002</v>
      </c>
      <c r="K35" s="36">
        <v>4.4740000000000002</v>
      </c>
      <c r="L35" s="36">
        <v>4.5590000000000002</v>
      </c>
      <c r="M35" s="36">
        <v>4.6349999999999998</v>
      </c>
      <c r="N35" s="36">
        <v>4.7060000000000004</v>
      </c>
      <c r="O35" s="36">
        <v>4.7699999999999996</v>
      </c>
      <c r="P35" s="36">
        <v>4.83</v>
      </c>
      <c r="Q35" s="36">
        <v>4.8860000000000001</v>
      </c>
      <c r="R35" s="36">
        <v>4.9390000000000001</v>
      </c>
      <c r="S35" s="36">
        <v>4.9880000000000004</v>
      </c>
      <c r="T35" s="286">
        <v>5.0339999999999998</v>
      </c>
    </row>
    <row r="36" spans="1:20" x14ac:dyDescent="0.25">
      <c r="A36">
        <v>31</v>
      </c>
      <c r="B36" s="285">
        <v>2.3980000000000001</v>
      </c>
      <c r="C36" s="36">
        <v>3.0129999999999999</v>
      </c>
      <c r="D36" s="36">
        <v>3.3809999999999998</v>
      </c>
      <c r="E36" s="36">
        <v>3.6419999999999999</v>
      </c>
      <c r="F36" s="36">
        <v>3.8450000000000002</v>
      </c>
      <c r="G36" s="36">
        <v>4.0090000000000003</v>
      </c>
      <c r="H36" s="36">
        <v>4.1479999999999997</v>
      </c>
      <c r="I36" s="36">
        <v>4.2679999999999998</v>
      </c>
      <c r="J36" s="36">
        <v>4.3719999999999999</v>
      </c>
      <c r="K36" s="36">
        <v>4.4660000000000002</v>
      </c>
      <c r="L36" s="36">
        <v>4.55</v>
      </c>
      <c r="M36" s="36">
        <v>4.6260000000000003</v>
      </c>
      <c r="N36" s="36">
        <v>4.6959999999999997</v>
      </c>
      <c r="O36" s="36">
        <v>4.76</v>
      </c>
      <c r="P36" s="36">
        <v>4.82</v>
      </c>
      <c r="Q36" s="36">
        <v>4.8760000000000003</v>
      </c>
      <c r="R36" s="36">
        <v>4.9279999999999999</v>
      </c>
      <c r="S36" s="36">
        <v>4.9770000000000003</v>
      </c>
      <c r="T36" s="286">
        <v>5.0229999999999997</v>
      </c>
    </row>
    <row r="37" spans="1:20" x14ac:dyDescent="0.25">
      <c r="A37">
        <v>32</v>
      </c>
      <c r="B37" s="285">
        <v>2.3959999999999999</v>
      </c>
      <c r="C37" s="36">
        <v>3.01</v>
      </c>
      <c r="D37" s="36">
        <v>3.3759999999999999</v>
      </c>
      <c r="E37" s="36">
        <v>3.637</v>
      </c>
      <c r="F37" s="36">
        <v>3.839</v>
      </c>
      <c r="G37" s="36">
        <v>4.0030000000000001</v>
      </c>
      <c r="H37" s="36">
        <v>4.141</v>
      </c>
      <c r="I37" s="36">
        <v>4.26</v>
      </c>
      <c r="J37" s="36">
        <v>4.3650000000000002</v>
      </c>
      <c r="K37" s="36">
        <v>4.4580000000000002</v>
      </c>
      <c r="L37" s="36">
        <v>4.5410000000000004</v>
      </c>
      <c r="M37" s="36">
        <v>4.617</v>
      </c>
      <c r="N37" s="36">
        <v>4.6870000000000003</v>
      </c>
      <c r="O37" s="36">
        <v>4.7510000000000003</v>
      </c>
      <c r="P37" s="36">
        <v>4.8109999999999999</v>
      </c>
      <c r="Q37" s="36">
        <v>4.8659999999999997</v>
      </c>
      <c r="R37" s="36">
        <v>4.9180000000000001</v>
      </c>
      <c r="S37" s="36">
        <v>4.9669999999999996</v>
      </c>
      <c r="T37" s="286">
        <v>5.0129999999999999</v>
      </c>
    </row>
    <row r="38" spans="1:20" x14ac:dyDescent="0.25">
      <c r="A38">
        <v>33</v>
      </c>
      <c r="B38" s="285">
        <v>2.3929999999999998</v>
      </c>
      <c r="C38" s="36">
        <v>3.0059999999999998</v>
      </c>
      <c r="D38" s="36">
        <v>3.3719999999999999</v>
      </c>
      <c r="E38" s="36">
        <v>3.6320000000000001</v>
      </c>
      <c r="F38" s="36">
        <v>3.8330000000000002</v>
      </c>
      <c r="G38" s="36">
        <v>3.9969999999999999</v>
      </c>
      <c r="H38" s="36">
        <v>4.1349999999999998</v>
      </c>
      <c r="I38" s="36">
        <v>4.2530000000000001</v>
      </c>
      <c r="J38" s="36">
        <v>4.3570000000000002</v>
      </c>
      <c r="K38" s="36">
        <v>4.45</v>
      </c>
      <c r="L38" s="36">
        <v>4.5330000000000004</v>
      </c>
      <c r="M38" s="36">
        <v>4.609</v>
      </c>
      <c r="N38" s="36">
        <v>4.6790000000000003</v>
      </c>
      <c r="O38" s="36">
        <v>4.7430000000000003</v>
      </c>
      <c r="P38" s="36">
        <v>4.8019999999999996</v>
      </c>
      <c r="Q38" s="36">
        <v>4.8570000000000002</v>
      </c>
      <c r="R38" s="36">
        <v>4.9089999999999998</v>
      </c>
      <c r="S38" s="36">
        <v>4.9569999999999999</v>
      </c>
      <c r="T38" s="286">
        <v>5.0030000000000001</v>
      </c>
    </row>
    <row r="39" spans="1:20" x14ac:dyDescent="0.25">
      <c r="A39">
        <v>34</v>
      </c>
      <c r="B39" s="285">
        <v>2.391</v>
      </c>
      <c r="C39" s="36">
        <v>3.0030000000000001</v>
      </c>
      <c r="D39" s="36">
        <v>3.3679999999999999</v>
      </c>
      <c r="E39" s="36">
        <v>3.6269999999999998</v>
      </c>
      <c r="F39" s="36">
        <v>3.8279999999999998</v>
      </c>
      <c r="G39" s="36">
        <v>3.9910000000000001</v>
      </c>
      <c r="H39" s="36">
        <v>4.1289999999999996</v>
      </c>
      <c r="I39" s="36">
        <v>4.2469999999999999</v>
      </c>
      <c r="J39" s="36">
        <v>4.351</v>
      </c>
      <c r="K39" s="36">
        <v>4.4429999999999996</v>
      </c>
      <c r="L39" s="36">
        <v>4.5259999999999998</v>
      </c>
      <c r="M39" s="36">
        <v>4.6020000000000003</v>
      </c>
      <c r="N39" s="36">
        <v>4.6710000000000003</v>
      </c>
      <c r="O39" s="36">
        <v>4.734</v>
      </c>
      <c r="P39" s="36">
        <v>4.7939999999999996</v>
      </c>
      <c r="Q39" s="36">
        <v>4.8490000000000002</v>
      </c>
      <c r="R39" s="36">
        <v>4.9000000000000004</v>
      </c>
      <c r="S39" s="36">
        <v>4.9489999999999998</v>
      </c>
      <c r="T39" s="286">
        <v>4.9939999999999998</v>
      </c>
    </row>
    <row r="40" spans="1:20" x14ac:dyDescent="0.25">
      <c r="A40">
        <v>35</v>
      </c>
      <c r="B40" s="285">
        <v>2.3889999999999998</v>
      </c>
      <c r="C40" s="36">
        <v>3</v>
      </c>
      <c r="D40" s="36">
        <v>3.3639999999999999</v>
      </c>
      <c r="E40" s="36">
        <v>3.6230000000000002</v>
      </c>
      <c r="F40" s="36">
        <v>3.823</v>
      </c>
      <c r="G40" s="36">
        <v>3.9860000000000002</v>
      </c>
      <c r="H40" s="36">
        <v>4.1230000000000002</v>
      </c>
      <c r="I40" s="36">
        <v>4.2409999999999997</v>
      </c>
      <c r="J40" s="36">
        <v>4.3440000000000003</v>
      </c>
      <c r="K40" s="36">
        <v>4.4359999999999999</v>
      </c>
      <c r="L40" s="36">
        <v>4.5190000000000001</v>
      </c>
      <c r="M40" s="36">
        <v>4.5940000000000003</v>
      </c>
      <c r="N40" s="36">
        <v>4.6630000000000003</v>
      </c>
      <c r="O40" s="36">
        <v>4.7270000000000003</v>
      </c>
      <c r="P40" s="36">
        <v>4.7859999999999996</v>
      </c>
      <c r="Q40" s="36">
        <v>4.8410000000000002</v>
      </c>
      <c r="R40" s="36">
        <v>4.8920000000000003</v>
      </c>
      <c r="S40" s="36">
        <v>4.9400000000000004</v>
      </c>
      <c r="T40" s="286">
        <v>4.9859999999999998</v>
      </c>
    </row>
    <row r="41" spans="1:20" x14ac:dyDescent="0.25">
      <c r="A41">
        <v>36</v>
      </c>
      <c r="B41" s="285">
        <v>2.3879999999999999</v>
      </c>
      <c r="C41" s="36">
        <v>2.9980000000000002</v>
      </c>
      <c r="D41" s="36">
        <v>3.3610000000000002</v>
      </c>
      <c r="E41" s="36">
        <v>3.6190000000000002</v>
      </c>
      <c r="F41" s="36">
        <v>3.819</v>
      </c>
      <c r="G41" s="36">
        <v>3.9809999999999999</v>
      </c>
      <c r="H41" s="36">
        <v>4.117</v>
      </c>
      <c r="I41" s="36">
        <v>4.2350000000000003</v>
      </c>
      <c r="J41" s="36">
        <v>4.3380000000000001</v>
      </c>
      <c r="K41" s="36">
        <v>4.43</v>
      </c>
      <c r="L41" s="36">
        <v>4.5119999999999996</v>
      </c>
      <c r="M41" s="36">
        <v>4.5880000000000001</v>
      </c>
      <c r="N41" s="36">
        <v>4.6559999999999997</v>
      </c>
      <c r="O41" s="36">
        <v>4.72</v>
      </c>
      <c r="P41" s="36">
        <v>4.7779999999999996</v>
      </c>
      <c r="Q41" s="36">
        <v>4.8330000000000002</v>
      </c>
      <c r="R41" s="36">
        <v>4.8840000000000003</v>
      </c>
      <c r="S41" s="36">
        <v>4.9320000000000004</v>
      </c>
      <c r="T41" s="286">
        <v>4.9779999999999998</v>
      </c>
    </row>
    <row r="42" spans="1:20" x14ac:dyDescent="0.25">
      <c r="A42">
        <v>37</v>
      </c>
      <c r="B42" s="285">
        <v>2.3860000000000001</v>
      </c>
      <c r="C42" s="36">
        <v>2.9950000000000001</v>
      </c>
      <c r="D42" s="36">
        <v>3.3570000000000002</v>
      </c>
      <c r="E42" s="36">
        <v>3.6150000000000002</v>
      </c>
      <c r="F42" s="36">
        <v>3.8140000000000001</v>
      </c>
      <c r="G42" s="36">
        <v>3.976</v>
      </c>
      <c r="H42" s="36">
        <v>4.1120000000000001</v>
      </c>
      <c r="I42" s="36">
        <v>4.2300000000000004</v>
      </c>
      <c r="J42" s="36">
        <v>4.3319999999999999</v>
      </c>
      <c r="K42" s="36">
        <v>4.4240000000000004</v>
      </c>
      <c r="L42" s="36">
        <v>4.5060000000000002</v>
      </c>
      <c r="M42" s="36">
        <v>4.5810000000000004</v>
      </c>
      <c r="N42" s="36">
        <v>4.6500000000000004</v>
      </c>
      <c r="O42" s="36">
        <v>4.7130000000000001</v>
      </c>
      <c r="P42" s="36">
        <v>4.7709999999999999</v>
      </c>
      <c r="Q42" s="36">
        <v>4.8259999999999996</v>
      </c>
      <c r="R42" s="36">
        <v>4.8769999999999998</v>
      </c>
      <c r="S42" s="36">
        <v>4.9249999999999998</v>
      </c>
      <c r="T42" s="286">
        <v>4.97</v>
      </c>
    </row>
    <row r="43" spans="1:20" x14ac:dyDescent="0.25">
      <c r="A43">
        <v>38</v>
      </c>
      <c r="B43" s="285">
        <v>2.3839999999999999</v>
      </c>
      <c r="C43" s="36">
        <v>2.992</v>
      </c>
      <c r="D43" s="36">
        <v>3.3540000000000001</v>
      </c>
      <c r="E43" s="36">
        <v>3.6110000000000002</v>
      </c>
      <c r="F43" s="36">
        <v>3.81</v>
      </c>
      <c r="G43" s="36">
        <v>3.972</v>
      </c>
      <c r="H43" s="36">
        <v>4.1070000000000002</v>
      </c>
      <c r="I43" s="36">
        <v>4.2240000000000002</v>
      </c>
      <c r="J43" s="36">
        <v>4.327</v>
      </c>
      <c r="K43" s="36">
        <v>4.4180000000000001</v>
      </c>
      <c r="L43" s="36">
        <v>4.5</v>
      </c>
      <c r="M43" s="36">
        <v>4.5750000000000002</v>
      </c>
      <c r="N43" s="36">
        <v>4.6429999999999998</v>
      </c>
      <c r="O43" s="36">
        <v>4.7060000000000004</v>
      </c>
      <c r="P43" s="36">
        <v>4.7649999999999997</v>
      </c>
      <c r="Q43" s="36">
        <v>4.819</v>
      </c>
      <c r="R43" s="36">
        <v>4.87</v>
      </c>
      <c r="S43" s="36">
        <v>4.9180000000000001</v>
      </c>
      <c r="T43" s="286">
        <v>4.9630000000000001</v>
      </c>
    </row>
    <row r="44" spans="1:20" x14ac:dyDescent="0.25">
      <c r="A44">
        <v>39</v>
      </c>
      <c r="B44" s="285">
        <v>2.383</v>
      </c>
      <c r="C44" s="36">
        <v>2.99</v>
      </c>
      <c r="D44" s="36">
        <v>3.351</v>
      </c>
      <c r="E44" s="36">
        <v>3.6080000000000001</v>
      </c>
      <c r="F44" s="36">
        <v>3.806</v>
      </c>
      <c r="G44" s="36">
        <v>3.9670000000000001</v>
      </c>
      <c r="H44" s="36">
        <v>4.1029999999999998</v>
      </c>
      <c r="I44" s="36">
        <v>4.22</v>
      </c>
      <c r="J44" s="36">
        <v>4.3220000000000001</v>
      </c>
      <c r="K44" s="36">
        <v>4.4130000000000003</v>
      </c>
      <c r="L44" s="36">
        <v>4.4950000000000001</v>
      </c>
      <c r="M44" s="36">
        <v>4.569</v>
      </c>
      <c r="N44" s="36">
        <v>4.6369999999999996</v>
      </c>
      <c r="O44" s="36">
        <v>4.7</v>
      </c>
      <c r="P44" s="36">
        <v>4.758</v>
      </c>
      <c r="Q44" s="36">
        <v>4.8120000000000003</v>
      </c>
      <c r="R44" s="36">
        <v>4.8630000000000004</v>
      </c>
      <c r="S44" s="36">
        <v>4.9109999999999996</v>
      </c>
      <c r="T44" s="286">
        <v>4.9560000000000004</v>
      </c>
    </row>
    <row r="45" spans="1:20" x14ac:dyDescent="0.25">
      <c r="A45">
        <v>40</v>
      </c>
      <c r="B45" s="285">
        <v>2.3809999999999998</v>
      </c>
      <c r="C45" s="36">
        <v>2.988</v>
      </c>
      <c r="D45" s="36">
        <v>3.3479999999999999</v>
      </c>
      <c r="E45" s="36">
        <v>3.605</v>
      </c>
      <c r="F45" s="36">
        <v>3.802</v>
      </c>
      <c r="G45" s="36">
        <v>3.9630000000000001</v>
      </c>
      <c r="H45" s="36">
        <v>4.0990000000000002</v>
      </c>
      <c r="I45" s="36">
        <v>4.2149999999999999</v>
      </c>
      <c r="J45" s="36">
        <v>4.3170000000000002</v>
      </c>
      <c r="K45" s="36">
        <v>4.4080000000000004</v>
      </c>
      <c r="L45" s="36">
        <v>4.49</v>
      </c>
      <c r="M45" s="36">
        <v>4.5640000000000001</v>
      </c>
      <c r="N45" s="36">
        <v>4.6319999999999997</v>
      </c>
      <c r="O45" s="36">
        <v>4.694</v>
      </c>
      <c r="P45" s="36">
        <v>4.7519999999999998</v>
      </c>
      <c r="Q45" s="36">
        <v>4.806</v>
      </c>
      <c r="R45" s="36">
        <v>4.8570000000000002</v>
      </c>
      <c r="S45" s="36">
        <v>4.9039999999999999</v>
      </c>
      <c r="T45" s="286">
        <v>4.9489999999999998</v>
      </c>
    </row>
    <row r="46" spans="1:20" x14ac:dyDescent="0.25">
      <c r="A46">
        <v>48</v>
      </c>
      <c r="B46" s="285">
        <v>2.3719999999999999</v>
      </c>
      <c r="C46" s="36">
        <v>2.9729999999999999</v>
      </c>
      <c r="D46" s="36">
        <v>3.33</v>
      </c>
      <c r="E46" s="36">
        <v>3.5830000000000002</v>
      </c>
      <c r="F46" s="36">
        <v>3.778</v>
      </c>
      <c r="G46" s="36">
        <v>3.9369999999999998</v>
      </c>
      <c r="H46" s="36">
        <v>4.07</v>
      </c>
      <c r="I46" s="36">
        <v>4.1849999999999996</v>
      </c>
      <c r="J46" s="36">
        <v>4.2850000000000001</v>
      </c>
      <c r="K46" s="36">
        <v>4.375</v>
      </c>
      <c r="L46" s="36">
        <v>4.4550000000000001</v>
      </c>
      <c r="M46" s="36">
        <v>4.5279999999999996</v>
      </c>
      <c r="N46" s="36">
        <v>4.5949999999999998</v>
      </c>
      <c r="O46" s="36">
        <v>4.6559999999999997</v>
      </c>
      <c r="P46" s="36">
        <v>4.7130000000000001</v>
      </c>
      <c r="Q46" s="36">
        <v>4.766</v>
      </c>
      <c r="R46" s="36">
        <v>4.8159999999999998</v>
      </c>
      <c r="S46" s="36">
        <v>4.8630000000000004</v>
      </c>
      <c r="T46" s="286">
        <v>4.907</v>
      </c>
    </row>
    <row r="47" spans="1:20" x14ac:dyDescent="0.25">
      <c r="A47">
        <v>60</v>
      </c>
      <c r="B47" s="285">
        <v>2.363</v>
      </c>
      <c r="C47" s="36">
        <v>2.9590000000000001</v>
      </c>
      <c r="D47" s="36">
        <v>3.3119999999999998</v>
      </c>
      <c r="E47" s="36">
        <v>3.5619999999999998</v>
      </c>
      <c r="F47" s="36">
        <v>3.7549999999999999</v>
      </c>
      <c r="G47" s="36">
        <v>3.911</v>
      </c>
      <c r="H47" s="36">
        <v>4.0419999999999998</v>
      </c>
      <c r="I47" s="36">
        <v>4.1550000000000002</v>
      </c>
      <c r="J47" s="36">
        <v>4.2539999999999996</v>
      </c>
      <c r="K47" s="36">
        <v>4.3419999999999996</v>
      </c>
      <c r="L47" s="36">
        <v>4.4210000000000003</v>
      </c>
      <c r="M47" s="36">
        <v>4.4930000000000003</v>
      </c>
      <c r="N47" s="36">
        <v>4.5579999999999998</v>
      </c>
      <c r="O47" s="36">
        <v>4.6189999999999998</v>
      </c>
      <c r="P47" s="36">
        <v>4.6749999999999998</v>
      </c>
      <c r="Q47" s="36">
        <v>4.7270000000000003</v>
      </c>
      <c r="R47" s="36">
        <v>4.7750000000000004</v>
      </c>
      <c r="S47" s="36">
        <v>4.8209999999999997</v>
      </c>
      <c r="T47" s="286">
        <v>4.8639999999999999</v>
      </c>
    </row>
    <row r="48" spans="1:20" x14ac:dyDescent="0.25">
      <c r="A48">
        <v>80</v>
      </c>
      <c r="B48" s="285">
        <v>2.3530000000000002</v>
      </c>
      <c r="C48" s="36">
        <v>2.9449999999999998</v>
      </c>
      <c r="D48" s="36">
        <v>3.294</v>
      </c>
      <c r="E48" s="36">
        <v>3.5409999999999999</v>
      </c>
      <c r="F48" s="36">
        <v>3.7309999999999999</v>
      </c>
      <c r="G48" s="36">
        <v>3.8849999999999998</v>
      </c>
      <c r="H48" s="36">
        <v>4.0140000000000002</v>
      </c>
      <c r="I48" s="36">
        <v>4.125</v>
      </c>
      <c r="J48" s="36">
        <v>4.2229999999999999</v>
      </c>
      <c r="K48" s="36">
        <v>4.3090000000000002</v>
      </c>
      <c r="L48" s="36">
        <v>4.3869999999999996</v>
      </c>
      <c r="M48" s="36">
        <v>4.4569999999999999</v>
      </c>
      <c r="N48" s="36">
        <v>4.5209999999999999</v>
      </c>
      <c r="O48" s="36">
        <v>4.5810000000000004</v>
      </c>
      <c r="P48" s="36">
        <v>4.6360000000000001</v>
      </c>
      <c r="Q48" s="36">
        <v>4.6870000000000003</v>
      </c>
      <c r="R48" s="36">
        <v>4.7350000000000003</v>
      </c>
      <c r="S48" s="36">
        <v>4.78</v>
      </c>
      <c r="T48" s="286">
        <v>4.8220000000000001</v>
      </c>
    </row>
    <row r="49" spans="1:20" x14ac:dyDescent="0.25">
      <c r="A49">
        <v>120</v>
      </c>
      <c r="B49" s="285">
        <v>2.3439999999999999</v>
      </c>
      <c r="C49" s="36">
        <v>2.93</v>
      </c>
      <c r="D49" s="36">
        <v>3.2759999999999998</v>
      </c>
      <c r="E49" s="36">
        <v>3.52</v>
      </c>
      <c r="F49" s="36">
        <v>3.7069999999999999</v>
      </c>
      <c r="G49" s="36">
        <v>3.859</v>
      </c>
      <c r="H49" s="36">
        <v>3.9860000000000002</v>
      </c>
      <c r="I49" s="36">
        <v>4.0960000000000001</v>
      </c>
      <c r="J49" s="36">
        <v>4.1909999999999998</v>
      </c>
      <c r="K49" s="36">
        <v>4.2759999999999998</v>
      </c>
      <c r="L49" s="36">
        <v>4.3529999999999998</v>
      </c>
      <c r="M49" s="36">
        <v>4.4219999999999997</v>
      </c>
      <c r="N49" s="36">
        <v>4.4850000000000003</v>
      </c>
      <c r="O49" s="36">
        <v>4.5430000000000001</v>
      </c>
      <c r="P49" s="36">
        <v>4.5970000000000004</v>
      </c>
      <c r="Q49" s="36">
        <v>4.6470000000000002</v>
      </c>
      <c r="R49" s="36">
        <v>4.694</v>
      </c>
      <c r="S49" s="36">
        <v>4.7380000000000004</v>
      </c>
      <c r="T49" s="286">
        <v>4.7789999999999999</v>
      </c>
    </row>
    <row r="50" spans="1:20" x14ac:dyDescent="0.25">
      <c r="A50">
        <v>240</v>
      </c>
      <c r="B50" s="285">
        <v>2.335</v>
      </c>
      <c r="C50" s="36">
        <v>2.9159999999999999</v>
      </c>
      <c r="D50" s="36">
        <v>3.258</v>
      </c>
      <c r="E50" s="36">
        <v>3.4990000000000001</v>
      </c>
      <c r="F50" s="36">
        <v>3.6840000000000002</v>
      </c>
      <c r="G50" s="36">
        <v>3.8340000000000001</v>
      </c>
      <c r="H50" s="36">
        <v>3.9590000000000001</v>
      </c>
      <c r="I50" s="36">
        <v>4.0659999999999998</v>
      </c>
      <c r="J50" s="36">
        <v>4.16</v>
      </c>
      <c r="K50" s="36">
        <v>4.2439999999999998</v>
      </c>
      <c r="L50" s="36">
        <v>4.319</v>
      </c>
      <c r="M50" s="36">
        <v>4.3860000000000001</v>
      </c>
      <c r="N50" s="36">
        <v>4.4480000000000004</v>
      </c>
      <c r="O50" s="36">
        <v>4.5049999999999999</v>
      </c>
      <c r="P50" s="36">
        <v>4.5579999999999998</v>
      </c>
      <c r="Q50" s="36">
        <v>4.6070000000000002</v>
      </c>
      <c r="R50" s="36">
        <v>4.6529999999999996</v>
      </c>
      <c r="S50" s="36">
        <v>4.6959999999999997</v>
      </c>
      <c r="T50" s="286">
        <v>4.7370000000000001</v>
      </c>
    </row>
    <row r="51" spans="1:20" x14ac:dyDescent="0.25">
      <c r="A51" s="12" t="s">
        <v>66</v>
      </c>
      <c r="B51" s="287">
        <v>2.3260000000000001</v>
      </c>
      <c r="C51" s="483">
        <v>2.9020000000000001</v>
      </c>
      <c r="D51" s="483">
        <v>3.24</v>
      </c>
      <c r="E51" s="483">
        <v>3.4780000000000002</v>
      </c>
      <c r="F51" s="483">
        <v>3.661</v>
      </c>
      <c r="G51" s="483">
        <v>3.8079999999999998</v>
      </c>
      <c r="H51" s="483">
        <v>3.931</v>
      </c>
      <c r="I51" s="483">
        <v>4.0369999999999999</v>
      </c>
      <c r="J51" s="483">
        <v>4.1289999999999996</v>
      </c>
      <c r="K51" s="483">
        <v>4.2110000000000003</v>
      </c>
      <c r="L51" s="483">
        <v>4.2850000000000001</v>
      </c>
      <c r="M51" s="483">
        <v>4.351</v>
      </c>
      <c r="N51" s="483">
        <v>4.4119999999999999</v>
      </c>
      <c r="O51" s="483">
        <v>4.468</v>
      </c>
      <c r="P51" s="483">
        <v>4.5190000000000001</v>
      </c>
      <c r="Q51" s="483">
        <v>4.5679999999999996</v>
      </c>
      <c r="R51" s="483">
        <v>4.6120000000000001</v>
      </c>
      <c r="S51" s="483">
        <v>4.6539999999999999</v>
      </c>
      <c r="T51" s="288">
        <v>4.694</v>
      </c>
    </row>
    <row r="53" spans="1:20" x14ac:dyDescent="0.25">
      <c r="B53" t="s">
        <v>18</v>
      </c>
      <c r="C53">
        <v>0.05</v>
      </c>
    </row>
    <row r="54" spans="1:20" x14ac:dyDescent="0.25">
      <c r="B54" t="s">
        <v>65</v>
      </c>
    </row>
    <row r="55" spans="1:20" x14ac:dyDescent="0.25">
      <c r="A55" s="12" t="s">
        <v>41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</row>
    <row r="56" spans="1:20" x14ac:dyDescent="0.25">
      <c r="A56">
        <v>1</v>
      </c>
      <c r="B56" s="541">
        <v>17.969000000000001</v>
      </c>
      <c r="C56" s="481">
        <v>26.975999999999999</v>
      </c>
      <c r="D56" s="481">
        <v>32.819000000000003</v>
      </c>
      <c r="E56" s="481">
        <v>37.082000000000001</v>
      </c>
      <c r="F56" s="481">
        <v>40.408000000000001</v>
      </c>
      <c r="G56" s="481">
        <v>43.119</v>
      </c>
      <c r="H56" s="481">
        <v>45.396999999999998</v>
      </c>
      <c r="I56" s="481">
        <v>47.356999999999999</v>
      </c>
      <c r="J56" s="481">
        <v>49.070999999999998</v>
      </c>
      <c r="K56" s="481">
        <v>50.591999999999999</v>
      </c>
      <c r="L56" s="481">
        <v>51.957000000000001</v>
      </c>
      <c r="M56" s="481">
        <v>53.194000000000003</v>
      </c>
      <c r="N56" s="481">
        <v>54.323</v>
      </c>
      <c r="O56" s="481">
        <v>55.360999999999997</v>
      </c>
      <c r="P56" s="481">
        <v>56.32</v>
      </c>
      <c r="Q56" s="481">
        <v>57.212000000000003</v>
      </c>
      <c r="R56" s="481">
        <v>58.043999999999997</v>
      </c>
      <c r="S56" s="481">
        <v>58.823999999999998</v>
      </c>
      <c r="T56" s="542">
        <v>59.558</v>
      </c>
    </row>
    <row r="57" spans="1:20" x14ac:dyDescent="0.25">
      <c r="A57">
        <v>2</v>
      </c>
      <c r="B57" s="285">
        <v>6.085</v>
      </c>
      <c r="C57" s="36">
        <v>8.3309999999999995</v>
      </c>
      <c r="D57" s="36">
        <v>9.798</v>
      </c>
      <c r="E57" s="36">
        <v>10.881</v>
      </c>
      <c r="F57" s="36">
        <v>11.734</v>
      </c>
      <c r="G57" s="36">
        <v>12.435</v>
      </c>
      <c r="H57" s="36">
        <v>13.026999999999999</v>
      </c>
      <c r="I57" s="36">
        <v>13.539</v>
      </c>
      <c r="J57" s="36">
        <v>13.988</v>
      </c>
      <c r="K57" s="36">
        <v>14.388999999999999</v>
      </c>
      <c r="L57" s="36">
        <v>14.749000000000001</v>
      </c>
      <c r="M57" s="36">
        <v>15.076000000000001</v>
      </c>
      <c r="N57" s="36">
        <v>15.375</v>
      </c>
      <c r="O57" s="36">
        <v>15.65</v>
      </c>
      <c r="P57" s="36">
        <v>15.904999999999999</v>
      </c>
      <c r="Q57" s="36">
        <v>16.143000000000001</v>
      </c>
      <c r="R57" s="36">
        <v>16.364999999999998</v>
      </c>
      <c r="S57" s="36">
        <v>16.573</v>
      </c>
      <c r="T57" s="286">
        <v>16.768999999999998</v>
      </c>
    </row>
    <row r="58" spans="1:20" x14ac:dyDescent="0.25">
      <c r="A58">
        <v>3</v>
      </c>
      <c r="B58" s="285">
        <v>4.5010000000000003</v>
      </c>
      <c r="C58" s="36">
        <v>5.91</v>
      </c>
      <c r="D58" s="36">
        <v>6.8250000000000002</v>
      </c>
      <c r="E58" s="36">
        <v>7.5019999999999998</v>
      </c>
      <c r="F58" s="36">
        <v>8.0370000000000008</v>
      </c>
      <c r="G58" s="36">
        <v>8.4779999999999998</v>
      </c>
      <c r="H58" s="36">
        <v>8.8520000000000003</v>
      </c>
      <c r="I58" s="36">
        <v>9.1769999999999996</v>
      </c>
      <c r="J58" s="36">
        <v>9.4619999999999997</v>
      </c>
      <c r="K58" s="36">
        <v>9.7170000000000005</v>
      </c>
      <c r="L58" s="36">
        <v>9.9459999999999997</v>
      </c>
      <c r="M58" s="36">
        <v>10.154999999999999</v>
      </c>
      <c r="N58" s="36">
        <v>10.346</v>
      </c>
      <c r="O58" s="36">
        <v>10.522</v>
      </c>
      <c r="P58" s="36">
        <v>10.686</v>
      </c>
      <c r="Q58" s="36">
        <v>10.837999999999999</v>
      </c>
      <c r="R58" s="36">
        <v>10.98</v>
      </c>
      <c r="S58" s="36">
        <v>11.114000000000001</v>
      </c>
      <c r="T58" s="286">
        <v>11.24</v>
      </c>
    </row>
    <row r="59" spans="1:20" x14ac:dyDescent="0.25">
      <c r="A59">
        <v>4</v>
      </c>
      <c r="B59" s="285">
        <v>3.9260000000000002</v>
      </c>
      <c r="C59" s="36">
        <v>5.04</v>
      </c>
      <c r="D59" s="36">
        <v>5.7569999999999997</v>
      </c>
      <c r="E59" s="36">
        <v>6.2869999999999999</v>
      </c>
      <c r="F59" s="36">
        <v>6.7060000000000004</v>
      </c>
      <c r="G59" s="36">
        <v>7.0529999999999999</v>
      </c>
      <c r="H59" s="36">
        <v>7.3470000000000004</v>
      </c>
      <c r="I59" s="36">
        <v>7.6020000000000003</v>
      </c>
      <c r="J59" s="36">
        <v>7.8259999999999996</v>
      </c>
      <c r="K59" s="36">
        <v>8.0269999999999992</v>
      </c>
      <c r="L59" s="36">
        <v>8.2080000000000002</v>
      </c>
      <c r="M59" s="36">
        <v>8.3729999999999993</v>
      </c>
      <c r="N59" s="36">
        <v>8.5239999999999991</v>
      </c>
      <c r="O59" s="36">
        <v>8.6639999999999997</v>
      </c>
      <c r="P59" s="36">
        <v>8.7929999999999993</v>
      </c>
      <c r="Q59" s="36">
        <v>8.9139999999999997</v>
      </c>
      <c r="R59" s="36">
        <v>9.0269999999999992</v>
      </c>
      <c r="S59" s="36">
        <v>9.1329999999999991</v>
      </c>
      <c r="T59" s="286">
        <v>9.2330000000000005</v>
      </c>
    </row>
    <row r="60" spans="1:20" x14ac:dyDescent="0.25">
      <c r="A60">
        <v>5</v>
      </c>
      <c r="B60" s="285">
        <v>3.6349999999999998</v>
      </c>
      <c r="C60" s="36">
        <v>4.6020000000000003</v>
      </c>
      <c r="D60" s="36">
        <v>5.218</v>
      </c>
      <c r="E60" s="36">
        <v>5.673</v>
      </c>
      <c r="F60" s="36">
        <v>6.0330000000000004</v>
      </c>
      <c r="G60" s="36">
        <v>6.33</v>
      </c>
      <c r="H60" s="36">
        <v>6.5819999999999999</v>
      </c>
      <c r="I60" s="36">
        <v>6.8010000000000002</v>
      </c>
      <c r="J60" s="36">
        <v>6.9950000000000001</v>
      </c>
      <c r="K60" s="36">
        <v>7.1669999999999998</v>
      </c>
      <c r="L60" s="36">
        <v>7.3230000000000004</v>
      </c>
      <c r="M60" s="36">
        <v>7.4660000000000002</v>
      </c>
      <c r="N60" s="36">
        <v>7.5960000000000001</v>
      </c>
      <c r="O60" s="36">
        <v>7.7160000000000002</v>
      </c>
      <c r="P60" s="36">
        <v>7.8280000000000003</v>
      </c>
      <c r="Q60" s="36">
        <v>7.9320000000000004</v>
      </c>
      <c r="R60" s="36">
        <v>8.0299999999999994</v>
      </c>
      <c r="S60" s="36">
        <v>8.1219999999999999</v>
      </c>
      <c r="T60" s="286">
        <v>8.2080000000000002</v>
      </c>
    </row>
    <row r="61" spans="1:20" x14ac:dyDescent="0.25">
      <c r="A61">
        <v>6</v>
      </c>
      <c r="B61" s="285">
        <v>3.46</v>
      </c>
      <c r="C61" s="36">
        <v>4.3390000000000004</v>
      </c>
      <c r="D61" s="36">
        <v>4.8959999999999999</v>
      </c>
      <c r="E61" s="36">
        <v>5.3049999999999997</v>
      </c>
      <c r="F61" s="36">
        <v>5.6280000000000001</v>
      </c>
      <c r="G61" s="36">
        <v>5.8949999999999996</v>
      </c>
      <c r="H61" s="36">
        <v>6.1219999999999999</v>
      </c>
      <c r="I61" s="36">
        <v>6.319</v>
      </c>
      <c r="J61" s="36">
        <v>6.4930000000000003</v>
      </c>
      <c r="K61" s="36">
        <v>6.649</v>
      </c>
      <c r="L61" s="36">
        <v>6.7889999999999997</v>
      </c>
      <c r="M61" s="36">
        <v>6.9169999999999998</v>
      </c>
      <c r="N61" s="36">
        <v>7.0339999999999998</v>
      </c>
      <c r="O61" s="36">
        <v>7.1429999999999998</v>
      </c>
      <c r="P61" s="36">
        <v>7.2439999999999998</v>
      </c>
      <c r="Q61" s="36">
        <v>7.3380000000000001</v>
      </c>
      <c r="R61" s="36">
        <v>7.4260000000000002</v>
      </c>
      <c r="S61" s="36">
        <v>7.508</v>
      </c>
      <c r="T61" s="286">
        <v>7.5860000000000003</v>
      </c>
    </row>
    <row r="62" spans="1:20" x14ac:dyDescent="0.25">
      <c r="A62">
        <v>7</v>
      </c>
      <c r="B62" s="285">
        <v>3.3439999999999999</v>
      </c>
      <c r="C62" s="36">
        <v>4.165</v>
      </c>
      <c r="D62" s="36">
        <v>4.681</v>
      </c>
      <c r="E62" s="36">
        <v>5.0599999999999996</v>
      </c>
      <c r="F62" s="36">
        <v>5.359</v>
      </c>
      <c r="G62" s="36">
        <v>5.6059999999999999</v>
      </c>
      <c r="H62" s="36">
        <v>5.8150000000000004</v>
      </c>
      <c r="I62" s="36">
        <v>5.9969999999999999</v>
      </c>
      <c r="J62" s="36">
        <v>6.1580000000000004</v>
      </c>
      <c r="K62" s="36">
        <v>6.3019999999999996</v>
      </c>
      <c r="L62" s="36">
        <v>6.431</v>
      </c>
      <c r="M62" s="36">
        <v>6.55</v>
      </c>
      <c r="N62" s="36">
        <v>6.6580000000000004</v>
      </c>
      <c r="O62" s="36">
        <v>6.7590000000000003</v>
      </c>
      <c r="P62" s="36">
        <v>6.8520000000000003</v>
      </c>
      <c r="Q62" s="36">
        <v>6.9390000000000001</v>
      </c>
      <c r="R62" s="36">
        <v>7.02</v>
      </c>
      <c r="S62" s="36">
        <v>7.0970000000000004</v>
      </c>
      <c r="T62" s="286">
        <v>7.1689999999999996</v>
      </c>
    </row>
    <row r="63" spans="1:20" x14ac:dyDescent="0.25">
      <c r="A63">
        <v>8</v>
      </c>
      <c r="B63" s="285">
        <v>3.2610000000000001</v>
      </c>
      <c r="C63" s="36">
        <v>4.0410000000000004</v>
      </c>
      <c r="D63" s="36">
        <v>4.5289999999999999</v>
      </c>
      <c r="E63" s="36">
        <v>4.8860000000000001</v>
      </c>
      <c r="F63" s="36">
        <v>5.1669999999999998</v>
      </c>
      <c r="G63" s="36">
        <v>5.399</v>
      </c>
      <c r="H63" s="36">
        <v>5.5960000000000001</v>
      </c>
      <c r="I63" s="36">
        <v>5.7670000000000003</v>
      </c>
      <c r="J63" s="36">
        <v>5.9180000000000001</v>
      </c>
      <c r="K63" s="36">
        <v>6.0529999999999999</v>
      </c>
      <c r="L63" s="36">
        <v>6.1749999999999998</v>
      </c>
      <c r="M63" s="36">
        <v>6.2869999999999999</v>
      </c>
      <c r="N63" s="36">
        <v>6.3890000000000002</v>
      </c>
      <c r="O63" s="36">
        <v>6.4829999999999997</v>
      </c>
      <c r="P63" s="36">
        <v>6.5709999999999997</v>
      </c>
      <c r="Q63" s="36">
        <v>6.6529999999999996</v>
      </c>
      <c r="R63" s="36">
        <v>6.7290000000000001</v>
      </c>
      <c r="S63" s="36">
        <v>6.8010000000000002</v>
      </c>
      <c r="T63" s="286">
        <v>6.8689999999999998</v>
      </c>
    </row>
    <row r="64" spans="1:20" x14ac:dyDescent="0.25">
      <c r="A64">
        <v>9</v>
      </c>
      <c r="B64" s="285">
        <v>3.1989999999999998</v>
      </c>
      <c r="C64" s="36">
        <v>3.948</v>
      </c>
      <c r="D64" s="36">
        <v>4.415</v>
      </c>
      <c r="E64" s="36">
        <v>4.7549999999999999</v>
      </c>
      <c r="F64" s="36">
        <v>5.024</v>
      </c>
      <c r="G64" s="36">
        <v>5.2439999999999998</v>
      </c>
      <c r="H64" s="36">
        <v>5.4320000000000004</v>
      </c>
      <c r="I64" s="36">
        <v>5.5949999999999998</v>
      </c>
      <c r="J64" s="36">
        <v>5.7380000000000004</v>
      </c>
      <c r="K64" s="36">
        <v>5.867</v>
      </c>
      <c r="L64" s="36">
        <v>5.9829999999999997</v>
      </c>
      <c r="M64" s="36">
        <v>6.0890000000000004</v>
      </c>
      <c r="N64" s="36">
        <v>6.1859999999999999</v>
      </c>
      <c r="O64" s="36">
        <v>6.2759999999999998</v>
      </c>
      <c r="P64" s="36">
        <v>6.359</v>
      </c>
      <c r="Q64" s="36">
        <v>6.4370000000000003</v>
      </c>
      <c r="R64" s="36">
        <v>6.51</v>
      </c>
      <c r="S64" s="36">
        <v>6.5789999999999997</v>
      </c>
      <c r="T64" s="286">
        <v>6.6429999999999998</v>
      </c>
    </row>
    <row r="65" spans="1:20" x14ac:dyDescent="0.25">
      <c r="A65">
        <v>10</v>
      </c>
      <c r="B65" s="285">
        <v>3.1509999999999998</v>
      </c>
      <c r="C65" s="36">
        <v>3.8769999999999998</v>
      </c>
      <c r="D65" s="36">
        <v>4.327</v>
      </c>
      <c r="E65" s="36">
        <v>4.6539999999999999</v>
      </c>
      <c r="F65" s="36">
        <v>4.9119999999999999</v>
      </c>
      <c r="G65" s="36">
        <v>5.1239999999999997</v>
      </c>
      <c r="H65" s="36">
        <v>5.3040000000000003</v>
      </c>
      <c r="I65" s="36">
        <v>5.46</v>
      </c>
      <c r="J65" s="36">
        <v>5.5979999999999999</v>
      </c>
      <c r="K65" s="36">
        <v>5.7220000000000004</v>
      </c>
      <c r="L65" s="36">
        <v>5.8330000000000002</v>
      </c>
      <c r="M65" s="36">
        <v>5.9349999999999996</v>
      </c>
      <c r="N65" s="36">
        <v>6.0279999999999996</v>
      </c>
      <c r="O65" s="36">
        <v>6.1139999999999999</v>
      </c>
      <c r="P65" s="36">
        <v>6.194</v>
      </c>
      <c r="Q65" s="36">
        <v>6.2690000000000001</v>
      </c>
      <c r="R65" s="36">
        <v>6.3390000000000004</v>
      </c>
      <c r="S65" s="36">
        <v>6.4050000000000002</v>
      </c>
      <c r="T65" s="286">
        <v>6.4669999999999996</v>
      </c>
    </row>
    <row r="66" spans="1:20" x14ac:dyDescent="0.25">
      <c r="A66">
        <v>11</v>
      </c>
      <c r="B66" s="285">
        <v>3.113</v>
      </c>
      <c r="C66" s="36">
        <v>3.82</v>
      </c>
      <c r="D66" s="36">
        <v>4.2560000000000002</v>
      </c>
      <c r="E66" s="36">
        <v>4.5739999999999998</v>
      </c>
      <c r="F66" s="36">
        <v>4.8230000000000004</v>
      </c>
      <c r="G66" s="36">
        <v>5.0279999999999996</v>
      </c>
      <c r="H66" s="36">
        <v>5.202</v>
      </c>
      <c r="I66" s="36">
        <v>5.3529999999999998</v>
      </c>
      <c r="J66" s="36">
        <v>5.4859999999999998</v>
      </c>
      <c r="K66" s="36">
        <v>5.6050000000000004</v>
      </c>
      <c r="L66" s="36">
        <v>5.7130000000000001</v>
      </c>
      <c r="M66" s="36">
        <v>5.8109999999999999</v>
      </c>
      <c r="N66" s="36">
        <v>5.9009999999999998</v>
      </c>
      <c r="O66" s="36">
        <v>5.984</v>
      </c>
      <c r="P66" s="36">
        <v>6.0620000000000003</v>
      </c>
      <c r="Q66" s="36">
        <v>6.1340000000000003</v>
      </c>
      <c r="R66" s="36">
        <v>6.202</v>
      </c>
      <c r="S66" s="36">
        <v>6.2649999999999997</v>
      </c>
      <c r="T66" s="286">
        <v>6.3250000000000002</v>
      </c>
    </row>
    <row r="67" spans="1:20" x14ac:dyDescent="0.25">
      <c r="A67">
        <v>12</v>
      </c>
      <c r="B67" s="285">
        <v>3.081</v>
      </c>
      <c r="C67" s="36">
        <v>3.7730000000000001</v>
      </c>
      <c r="D67" s="36">
        <v>4.1989999999999998</v>
      </c>
      <c r="E67" s="36">
        <v>4.508</v>
      </c>
      <c r="F67" s="36">
        <v>4.75</v>
      </c>
      <c r="G67" s="36">
        <v>4.95</v>
      </c>
      <c r="H67" s="36">
        <v>5.1189999999999998</v>
      </c>
      <c r="I67" s="36">
        <v>5.2649999999999997</v>
      </c>
      <c r="J67" s="36">
        <v>5.3949999999999996</v>
      </c>
      <c r="K67" s="36">
        <v>5.51</v>
      </c>
      <c r="L67" s="36">
        <v>5.6150000000000002</v>
      </c>
      <c r="M67" s="36">
        <v>5.71</v>
      </c>
      <c r="N67" s="36">
        <v>5.7969999999999997</v>
      </c>
      <c r="O67" s="36">
        <v>5.8780000000000001</v>
      </c>
      <c r="P67" s="36">
        <v>5.9530000000000003</v>
      </c>
      <c r="Q67" s="36">
        <v>6.0229999999999997</v>
      </c>
      <c r="R67" s="36">
        <v>6.0890000000000004</v>
      </c>
      <c r="S67" s="36">
        <v>6.1509999999999998</v>
      </c>
      <c r="T67" s="286">
        <v>6.2089999999999996</v>
      </c>
    </row>
    <row r="68" spans="1:20" x14ac:dyDescent="0.25">
      <c r="A68">
        <v>13</v>
      </c>
      <c r="B68" s="285">
        <v>3.0550000000000002</v>
      </c>
      <c r="C68" s="36">
        <v>3.734</v>
      </c>
      <c r="D68" s="36">
        <v>4.1509999999999998</v>
      </c>
      <c r="E68" s="36">
        <v>4.4530000000000003</v>
      </c>
      <c r="F68" s="36">
        <v>4.6900000000000004</v>
      </c>
      <c r="G68" s="36">
        <v>4.8840000000000003</v>
      </c>
      <c r="H68" s="36">
        <v>5.0490000000000004</v>
      </c>
      <c r="I68" s="36">
        <v>5.1920000000000002</v>
      </c>
      <c r="J68" s="36">
        <v>5.3179999999999996</v>
      </c>
      <c r="K68" s="36">
        <v>5.431</v>
      </c>
      <c r="L68" s="36">
        <v>5.5330000000000004</v>
      </c>
      <c r="M68" s="36">
        <v>5.625</v>
      </c>
      <c r="N68" s="36">
        <v>5.7110000000000003</v>
      </c>
      <c r="O68" s="36">
        <v>5.7889999999999997</v>
      </c>
      <c r="P68" s="36">
        <v>5.8620000000000001</v>
      </c>
      <c r="Q68" s="36">
        <v>5.931</v>
      </c>
      <c r="R68" s="36">
        <v>5.9950000000000001</v>
      </c>
      <c r="S68" s="36">
        <v>6.0549999999999997</v>
      </c>
      <c r="T68" s="286">
        <v>6.1120000000000001</v>
      </c>
    </row>
    <row r="69" spans="1:20" x14ac:dyDescent="0.25">
      <c r="A69">
        <v>14</v>
      </c>
      <c r="B69" s="285">
        <v>3.0329999999999999</v>
      </c>
      <c r="C69" s="36">
        <v>3.7010000000000001</v>
      </c>
      <c r="D69" s="36">
        <v>4.1109999999999998</v>
      </c>
      <c r="E69" s="36">
        <v>4.407</v>
      </c>
      <c r="F69" s="36">
        <v>4.6390000000000002</v>
      </c>
      <c r="G69" s="36">
        <v>4.8289999999999997</v>
      </c>
      <c r="H69" s="36">
        <v>4.99</v>
      </c>
      <c r="I69" s="36">
        <v>5.13</v>
      </c>
      <c r="J69" s="36">
        <v>5.2530000000000001</v>
      </c>
      <c r="K69" s="36">
        <v>5.3639999999999999</v>
      </c>
      <c r="L69" s="36">
        <v>5.4630000000000001</v>
      </c>
      <c r="M69" s="36">
        <v>5.5540000000000003</v>
      </c>
      <c r="N69" s="36">
        <v>5.6369999999999996</v>
      </c>
      <c r="O69" s="36">
        <v>5.7140000000000004</v>
      </c>
      <c r="P69" s="36">
        <v>5.7850000000000001</v>
      </c>
      <c r="Q69" s="36">
        <v>5.8520000000000003</v>
      </c>
      <c r="R69" s="36">
        <v>5.915</v>
      </c>
      <c r="S69" s="36">
        <v>5.9729999999999999</v>
      </c>
      <c r="T69" s="286">
        <v>6.0289999999999999</v>
      </c>
    </row>
    <row r="70" spans="1:20" x14ac:dyDescent="0.25">
      <c r="A70">
        <v>15</v>
      </c>
      <c r="B70" s="285">
        <v>3.0139999999999998</v>
      </c>
      <c r="C70" s="36">
        <v>3.673</v>
      </c>
      <c r="D70" s="36">
        <v>4.0759999999999996</v>
      </c>
      <c r="E70" s="36">
        <v>4.367</v>
      </c>
      <c r="F70" s="36">
        <v>4.5949999999999998</v>
      </c>
      <c r="G70" s="36">
        <v>4.782</v>
      </c>
      <c r="H70" s="36">
        <v>4.9400000000000004</v>
      </c>
      <c r="I70" s="36">
        <v>5.077</v>
      </c>
      <c r="J70" s="36">
        <v>5.1980000000000004</v>
      </c>
      <c r="K70" s="36">
        <v>5.306</v>
      </c>
      <c r="L70" s="36">
        <v>5.4029999999999996</v>
      </c>
      <c r="M70" s="36">
        <v>5.492</v>
      </c>
      <c r="N70" s="36">
        <v>5.5739999999999998</v>
      </c>
      <c r="O70" s="36">
        <v>5.649</v>
      </c>
      <c r="P70" s="36">
        <v>5.7190000000000003</v>
      </c>
      <c r="Q70" s="36">
        <v>5.7850000000000001</v>
      </c>
      <c r="R70" s="36">
        <v>5.8460000000000001</v>
      </c>
      <c r="S70" s="36">
        <v>5.9039999999999999</v>
      </c>
      <c r="T70" s="286">
        <v>5.9580000000000002</v>
      </c>
    </row>
    <row r="71" spans="1:20" x14ac:dyDescent="0.25">
      <c r="A71">
        <v>16</v>
      </c>
      <c r="B71" s="285">
        <v>2.9980000000000002</v>
      </c>
      <c r="C71" s="36">
        <v>3.649</v>
      </c>
      <c r="D71" s="36">
        <v>4.0460000000000003</v>
      </c>
      <c r="E71" s="36">
        <v>4.3330000000000002</v>
      </c>
      <c r="F71" s="36">
        <v>4.5570000000000004</v>
      </c>
      <c r="G71" s="36">
        <v>4.7409999999999997</v>
      </c>
      <c r="H71" s="36">
        <v>4.8959999999999999</v>
      </c>
      <c r="I71" s="36">
        <v>5.0309999999999997</v>
      </c>
      <c r="J71" s="36">
        <v>5.15</v>
      </c>
      <c r="K71" s="36">
        <v>5.2560000000000002</v>
      </c>
      <c r="L71" s="36">
        <v>5.3520000000000003</v>
      </c>
      <c r="M71" s="36">
        <v>5.4390000000000001</v>
      </c>
      <c r="N71" s="36">
        <v>5.5190000000000001</v>
      </c>
      <c r="O71" s="36">
        <v>5.593</v>
      </c>
      <c r="P71" s="36">
        <v>5.6619999999999999</v>
      </c>
      <c r="Q71" s="36">
        <v>5.726</v>
      </c>
      <c r="R71" s="36">
        <v>5.7859999999999996</v>
      </c>
      <c r="S71" s="36">
        <v>5.843</v>
      </c>
      <c r="T71" s="286">
        <v>5.8959999999999999</v>
      </c>
    </row>
    <row r="72" spans="1:20" x14ac:dyDescent="0.25">
      <c r="A72">
        <v>17</v>
      </c>
      <c r="B72" s="285">
        <v>2.984</v>
      </c>
      <c r="C72" s="36">
        <v>3.6280000000000001</v>
      </c>
      <c r="D72" s="36">
        <v>4.0199999999999996</v>
      </c>
      <c r="E72" s="36">
        <v>4.3029999999999999</v>
      </c>
      <c r="F72" s="36">
        <v>4.524</v>
      </c>
      <c r="G72" s="36">
        <v>4.7050000000000001</v>
      </c>
      <c r="H72" s="36">
        <v>4.8579999999999997</v>
      </c>
      <c r="I72" s="36">
        <v>4.9909999999999997</v>
      </c>
      <c r="J72" s="36">
        <v>5.1079999999999997</v>
      </c>
      <c r="K72" s="36">
        <v>5.2119999999999997</v>
      </c>
      <c r="L72" s="36">
        <v>5.306</v>
      </c>
      <c r="M72" s="36">
        <v>5.3920000000000003</v>
      </c>
      <c r="N72" s="36">
        <v>5.4710000000000001</v>
      </c>
      <c r="O72" s="36">
        <v>5.5439999999999996</v>
      </c>
      <c r="P72" s="36">
        <v>5.6120000000000001</v>
      </c>
      <c r="Q72" s="36">
        <v>5.6749999999999998</v>
      </c>
      <c r="R72" s="36">
        <v>5.734</v>
      </c>
      <c r="S72" s="36">
        <v>5.79</v>
      </c>
      <c r="T72" s="286">
        <v>5.8419999999999996</v>
      </c>
    </row>
    <row r="73" spans="1:20" x14ac:dyDescent="0.25">
      <c r="A73">
        <v>18</v>
      </c>
      <c r="B73" s="285">
        <v>2.9710000000000001</v>
      </c>
      <c r="C73" s="36">
        <v>3.609</v>
      </c>
      <c r="D73" s="36">
        <v>3.9969999999999999</v>
      </c>
      <c r="E73" s="36">
        <v>4.2759999999999998</v>
      </c>
      <c r="F73" s="36">
        <v>4.4939999999999998</v>
      </c>
      <c r="G73" s="36">
        <v>4.673</v>
      </c>
      <c r="H73" s="36">
        <v>4.8239999999999998</v>
      </c>
      <c r="I73" s="36">
        <v>4.9550000000000001</v>
      </c>
      <c r="J73" s="36">
        <v>5.0709999999999997</v>
      </c>
      <c r="K73" s="36">
        <v>5.173</v>
      </c>
      <c r="L73" s="36">
        <v>5.266</v>
      </c>
      <c r="M73" s="36">
        <v>5.351</v>
      </c>
      <c r="N73" s="36">
        <v>5.4290000000000003</v>
      </c>
      <c r="O73" s="36">
        <v>5.5010000000000003</v>
      </c>
      <c r="P73" s="36">
        <v>5.5670000000000002</v>
      </c>
      <c r="Q73" s="36">
        <v>5.6289999999999996</v>
      </c>
      <c r="R73" s="36">
        <v>5.6879999999999997</v>
      </c>
      <c r="S73" s="36">
        <v>5.7430000000000003</v>
      </c>
      <c r="T73" s="286">
        <v>5.7939999999999996</v>
      </c>
    </row>
    <row r="74" spans="1:20" x14ac:dyDescent="0.25">
      <c r="A74">
        <v>19</v>
      </c>
      <c r="B74" s="285">
        <v>2.96</v>
      </c>
      <c r="C74" s="36">
        <v>3.593</v>
      </c>
      <c r="D74" s="36">
        <v>3.9769999999999999</v>
      </c>
      <c r="E74" s="36">
        <v>4.2530000000000001</v>
      </c>
      <c r="F74" s="36">
        <v>4.468</v>
      </c>
      <c r="G74" s="36">
        <v>4.6449999999999996</v>
      </c>
      <c r="H74" s="36">
        <v>4.7939999999999996</v>
      </c>
      <c r="I74" s="36">
        <v>4.9240000000000004</v>
      </c>
      <c r="J74" s="36">
        <v>5.0369999999999999</v>
      </c>
      <c r="K74" s="36">
        <v>5.1390000000000002</v>
      </c>
      <c r="L74" s="36">
        <v>5.2309999999999999</v>
      </c>
      <c r="M74" s="36">
        <v>5.3140000000000001</v>
      </c>
      <c r="N74" s="36">
        <v>5.391</v>
      </c>
      <c r="O74" s="36">
        <v>5.4619999999999997</v>
      </c>
      <c r="P74" s="36">
        <v>5.5279999999999996</v>
      </c>
      <c r="Q74" s="36">
        <v>5.5890000000000004</v>
      </c>
      <c r="R74" s="36">
        <v>5.6470000000000002</v>
      </c>
      <c r="S74" s="36">
        <v>5.7009999999999996</v>
      </c>
      <c r="T74" s="286">
        <v>5.7519999999999998</v>
      </c>
    </row>
    <row r="75" spans="1:20" x14ac:dyDescent="0.25">
      <c r="A75">
        <v>20</v>
      </c>
      <c r="B75" s="285">
        <v>2.95</v>
      </c>
      <c r="C75" s="36">
        <v>3.5779999999999998</v>
      </c>
      <c r="D75" s="36">
        <v>3.9580000000000002</v>
      </c>
      <c r="E75" s="36">
        <v>4.2320000000000002</v>
      </c>
      <c r="F75" s="36">
        <v>4.4450000000000003</v>
      </c>
      <c r="G75" s="36">
        <v>4.62</v>
      </c>
      <c r="H75" s="36">
        <v>4.7679999999999998</v>
      </c>
      <c r="I75" s="36">
        <v>4.8949999999999996</v>
      </c>
      <c r="J75" s="36">
        <v>5.008</v>
      </c>
      <c r="K75" s="36">
        <v>5.1079999999999997</v>
      </c>
      <c r="L75" s="36">
        <v>5.1989999999999998</v>
      </c>
      <c r="M75" s="36">
        <v>5.282</v>
      </c>
      <c r="N75" s="36">
        <v>5.3570000000000002</v>
      </c>
      <c r="O75" s="36">
        <v>5.4269999999999996</v>
      </c>
      <c r="P75" s="36">
        <v>5.492</v>
      </c>
      <c r="Q75" s="36">
        <v>5.5529999999999999</v>
      </c>
      <c r="R75" s="36">
        <v>5.61</v>
      </c>
      <c r="S75" s="36">
        <v>5.6630000000000003</v>
      </c>
      <c r="T75" s="286">
        <v>5.7140000000000004</v>
      </c>
    </row>
    <row r="76" spans="1:20" x14ac:dyDescent="0.25">
      <c r="A76">
        <v>21</v>
      </c>
      <c r="B76" s="285">
        <v>2.9409999999999998</v>
      </c>
      <c r="C76" s="36">
        <v>3.5649999999999999</v>
      </c>
      <c r="D76" s="36">
        <v>3.9420000000000002</v>
      </c>
      <c r="E76" s="36">
        <v>4.2130000000000001</v>
      </c>
      <c r="F76" s="36">
        <v>4.4240000000000004</v>
      </c>
      <c r="G76" s="36">
        <v>4.5970000000000004</v>
      </c>
      <c r="H76" s="36">
        <v>4.7430000000000003</v>
      </c>
      <c r="I76" s="36">
        <v>4.87</v>
      </c>
      <c r="J76" s="36">
        <v>4.9809999999999999</v>
      </c>
      <c r="K76" s="36">
        <v>5.0810000000000004</v>
      </c>
      <c r="L76" s="36">
        <v>5.17</v>
      </c>
      <c r="M76" s="36">
        <v>5.2519999999999998</v>
      </c>
      <c r="N76" s="36">
        <v>5.327</v>
      </c>
      <c r="O76" s="36">
        <v>5.3959999999999999</v>
      </c>
      <c r="P76" s="36">
        <v>5.46</v>
      </c>
      <c r="Q76" s="36">
        <v>5.52</v>
      </c>
      <c r="R76" s="36">
        <v>5.5759999999999996</v>
      </c>
      <c r="S76" s="36">
        <v>5.6289999999999996</v>
      </c>
      <c r="T76" s="286">
        <v>5.6790000000000003</v>
      </c>
    </row>
    <row r="77" spans="1:20" x14ac:dyDescent="0.25">
      <c r="A77">
        <v>22</v>
      </c>
      <c r="B77" s="285">
        <v>2.9329999999999998</v>
      </c>
      <c r="C77" s="36">
        <v>3.5529999999999999</v>
      </c>
      <c r="D77" s="36">
        <v>3.927</v>
      </c>
      <c r="E77" s="36">
        <v>4.1959999999999997</v>
      </c>
      <c r="F77" s="36">
        <v>4.4050000000000002</v>
      </c>
      <c r="G77" s="36">
        <v>4.577</v>
      </c>
      <c r="H77" s="36">
        <v>4.7220000000000004</v>
      </c>
      <c r="I77" s="36">
        <v>4.8470000000000004</v>
      </c>
      <c r="J77" s="36">
        <v>4.9569999999999999</v>
      </c>
      <c r="K77" s="36">
        <v>5.056</v>
      </c>
      <c r="L77" s="36">
        <v>5.1440000000000001</v>
      </c>
      <c r="M77" s="36">
        <v>5.2249999999999996</v>
      </c>
      <c r="N77" s="36">
        <v>5.2990000000000004</v>
      </c>
      <c r="O77" s="36">
        <v>5.3680000000000003</v>
      </c>
      <c r="P77" s="36">
        <v>5.431</v>
      </c>
      <c r="Q77" s="36">
        <v>5.4909999999999997</v>
      </c>
      <c r="R77" s="36">
        <v>5.5460000000000003</v>
      </c>
      <c r="S77" s="36">
        <v>5.5990000000000002</v>
      </c>
      <c r="T77" s="286">
        <v>5.6479999999999997</v>
      </c>
    </row>
    <row r="78" spans="1:20" x14ac:dyDescent="0.25">
      <c r="A78">
        <v>23</v>
      </c>
      <c r="B78" s="285">
        <v>2.9260000000000002</v>
      </c>
      <c r="C78" s="36">
        <v>3.5419999999999998</v>
      </c>
      <c r="D78" s="36">
        <v>3.9140000000000001</v>
      </c>
      <c r="E78" s="36">
        <v>4.18</v>
      </c>
      <c r="F78" s="36">
        <v>4.3879999999999999</v>
      </c>
      <c r="G78" s="36">
        <v>4.5579999999999998</v>
      </c>
      <c r="H78" s="36">
        <v>4.702</v>
      </c>
      <c r="I78" s="36">
        <v>4.8259999999999996</v>
      </c>
      <c r="J78" s="36">
        <v>4.9349999999999996</v>
      </c>
      <c r="K78" s="36">
        <v>5.0330000000000004</v>
      </c>
      <c r="L78" s="36">
        <v>5.1210000000000004</v>
      </c>
      <c r="M78" s="36">
        <v>5.2009999999999996</v>
      </c>
      <c r="N78" s="36">
        <v>5.274</v>
      </c>
      <c r="O78" s="36">
        <v>5.3419999999999996</v>
      </c>
      <c r="P78" s="36">
        <v>5.4050000000000002</v>
      </c>
      <c r="Q78" s="36">
        <v>5.4640000000000004</v>
      </c>
      <c r="R78" s="36">
        <v>5.5190000000000001</v>
      </c>
      <c r="S78" s="36">
        <v>5.5709999999999997</v>
      </c>
      <c r="T78" s="286">
        <v>5.62</v>
      </c>
    </row>
    <row r="79" spans="1:20" x14ac:dyDescent="0.25">
      <c r="A79">
        <v>24</v>
      </c>
      <c r="B79" s="285">
        <v>2.919</v>
      </c>
      <c r="C79" s="36">
        <v>3.532</v>
      </c>
      <c r="D79" s="36">
        <v>3.9009999999999998</v>
      </c>
      <c r="E79" s="36">
        <v>4.1660000000000004</v>
      </c>
      <c r="F79" s="36">
        <v>4.3730000000000002</v>
      </c>
      <c r="G79" s="36">
        <v>4.5410000000000004</v>
      </c>
      <c r="H79" s="36">
        <v>4.6840000000000002</v>
      </c>
      <c r="I79" s="36">
        <v>4.8070000000000004</v>
      </c>
      <c r="J79" s="36">
        <v>4.915</v>
      </c>
      <c r="K79" s="36">
        <v>5.0119999999999996</v>
      </c>
      <c r="L79" s="36">
        <v>5.0990000000000002</v>
      </c>
      <c r="M79" s="36">
        <v>5.1790000000000003</v>
      </c>
      <c r="N79" s="36">
        <v>5.2510000000000003</v>
      </c>
      <c r="O79" s="36">
        <v>5.319</v>
      </c>
      <c r="P79" s="36">
        <v>5.3810000000000002</v>
      </c>
      <c r="Q79" s="36">
        <v>5.4390000000000001</v>
      </c>
      <c r="R79" s="36">
        <v>5.4939999999999998</v>
      </c>
      <c r="S79" s="36">
        <v>5.5449999999999999</v>
      </c>
      <c r="T79" s="286">
        <v>5.5940000000000003</v>
      </c>
    </row>
    <row r="80" spans="1:20" x14ac:dyDescent="0.25">
      <c r="A80">
        <v>25</v>
      </c>
      <c r="B80" s="285">
        <v>2.9129999999999998</v>
      </c>
      <c r="C80" s="36">
        <v>3.5230000000000001</v>
      </c>
      <c r="D80" s="36">
        <v>3.89</v>
      </c>
      <c r="E80" s="36">
        <v>4.1529999999999996</v>
      </c>
      <c r="F80" s="36">
        <v>4.3579999999999997</v>
      </c>
      <c r="G80" s="36">
        <v>4.5259999999999998</v>
      </c>
      <c r="H80" s="36">
        <v>4.6669999999999998</v>
      </c>
      <c r="I80" s="36">
        <v>4.7889999999999997</v>
      </c>
      <c r="J80" s="36">
        <v>4.8970000000000002</v>
      </c>
      <c r="K80" s="36">
        <v>4.9930000000000003</v>
      </c>
      <c r="L80" s="36">
        <v>5.0789999999999997</v>
      </c>
      <c r="M80" s="36">
        <v>5.1580000000000004</v>
      </c>
      <c r="N80" s="36">
        <v>5.23</v>
      </c>
      <c r="O80" s="36">
        <v>5.2969999999999997</v>
      </c>
      <c r="P80" s="36">
        <v>5.359</v>
      </c>
      <c r="Q80" s="36">
        <v>5.4169999999999998</v>
      </c>
      <c r="R80" s="36">
        <v>5.4710000000000001</v>
      </c>
      <c r="S80" s="36">
        <v>5.5220000000000002</v>
      </c>
      <c r="T80" s="286">
        <v>5.57</v>
      </c>
    </row>
    <row r="81" spans="1:20" x14ac:dyDescent="0.25">
      <c r="A81">
        <v>26</v>
      </c>
      <c r="B81" s="285">
        <v>2.907</v>
      </c>
      <c r="C81" s="36">
        <v>3.5139999999999998</v>
      </c>
      <c r="D81" s="36">
        <v>3.88</v>
      </c>
      <c r="E81" s="36">
        <v>4.141</v>
      </c>
      <c r="F81" s="36">
        <v>4.3449999999999998</v>
      </c>
      <c r="G81" s="36">
        <v>4.5110000000000001</v>
      </c>
      <c r="H81" s="36">
        <v>4.6520000000000001</v>
      </c>
      <c r="I81" s="36">
        <v>4.7729999999999997</v>
      </c>
      <c r="J81" s="36">
        <v>4.88</v>
      </c>
      <c r="K81" s="36">
        <v>4.9749999999999996</v>
      </c>
      <c r="L81" s="36">
        <v>5.0609999999999999</v>
      </c>
      <c r="M81" s="36">
        <v>5.1390000000000002</v>
      </c>
      <c r="N81" s="36">
        <v>5.2110000000000003</v>
      </c>
      <c r="O81" s="36">
        <v>5.2770000000000001</v>
      </c>
      <c r="P81" s="36">
        <v>5.3390000000000004</v>
      </c>
      <c r="Q81" s="36">
        <v>5.3959999999999999</v>
      </c>
      <c r="R81" s="36">
        <v>5.45</v>
      </c>
      <c r="S81" s="36">
        <v>5.5</v>
      </c>
      <c r="T81" s="286">
        <v>5.548</v>
      </c>
    </row>
    <row r="82" spans="1:20" x14ac:dyDescent="0.25">
      <c r="A82">
        <v>27</v>
      </c>
      <c r="B82" s="285">
        <v>2.9020000000000001</v>
      </c>
      <c r="C82" s="36">
        <v>3.5059999999999998</v>
      </c>
      <c r="D82" s="36">
        <v>3.87</v>
      </c>
      <c r="E82" s="36">
        <v>4.13</v>
      </c>
      <c r="F82" s="36">
        <v>4.3330000000000002</v>
      </c>
      <c r="G82" s="36">
        <v>4.4980000000000002</v>
      </c>
      <c r="H82" s="36">
        <v>4.6379999999999999</v>
      </c>
      <c r="I82" s="36">
        <v>4.758</v>
      </c>
      <c r="J82" s="36">
        <v>4.8639999999999999</v>
      </c>
      <c r="K82" s="36">
        <v>4.9589999999999996</v>
      </c>
      <c r="L82" s="36">
        <v>5.0439999999999996</v>
      </c>
      <c r="M82" s="36">
        <v>5.1219999999999999</v>
      </c>
      <c r="N82" s="36">
        <v>5.1929999999999996</v>
      </c>
      <c r="O82" s="36">
        <v>5.2590000000000003</v>
      </c>
      <c r="P82" s="36">
        <v>5.32</v>
      </c>
      <c r="Q82" s="36">
        <v>5.3769999999999998</v>
      </c>
      <c r="R82" s="36">
        <v>5.43</v>
      </c>
      <c r="S82" s="36">
        <v>5.48</v>
      </c>
      <c r="T82" s="286">
        <v>5.5279999999999996</v>
      </c>
    </row>
    <row r="83" spans="1:20" x14ac:dyDescent="0.25">
      <c r="A83">
        <v>28</v>
      </c>
      <c r="B83" s="285">
        <v>2.8969999999999998</v>
      </c>
      <c r="C83" s="36">
        <v>3.4990000000000001</v>
      </c>
      <c r="D83" s="36">
        <v>3.8610000000000002</v>
      </c>
      <c r="E83" s="36">
        <v>4.12</v>
      </c>
      <c r="F83" s="36">
        <v>4.3220000000000001</v>
      </c>
      <c r="G83" s="36">
        <v>4.4859999999999998</v>
      </c>
      <c r="H83" s="36">
        <v>4.625</v>
      </c>
      <c r="I83" s="36">
        <v>4.7450000000000001</v>
      </c>
      <c r="J83" s="36">
        <v>4.8499999999999996</v>
      </c>
      <c r="K83" s="36">
        <v>4.944</v>
      </c>
      <c r="L83" s="36">
        <v>5.0289999999999999</v>
      </c>
      <c r="M83" s="36">
        <v>5.1059999999999999</v>
      </c>
      <c r="N83" s="36">
        <v>5.1769999999999996</v>
      </c>
      <c r="O83" s="36">
        <v>5.242</v>
      </c>
      <c r="P83" s="36">
        <v>5.3019999999999996</v>
      </c>
      <c r="Q83" s="36">
        <v>5.359</v>
      </c>
      <c r="R83" s="36">
        <v>5.4119999999999999</v>
      </c>
      <c r="S83" s="36">
        <v>5.4619999999999997</v>
      </c>
      <c r="T83" s="286">
        <v>5.5090000000000003</v>
      </c>
    </row>
    <row r="84" spans="1:20" x14ac:dyDescent="0.25">
      <c r="A84">
        <v>29</v>
      </c>
      <c r="B84" s="285">
        <v>2.8919999999999999</v>
      </c>
      <c r="C84" s="36">
        <v>3.4929999999999999</v>
      </c>
      <c r="D84" s="36">
        <v>3.8530000000000002</v>
      </c>
      <c r="E84" s="36">
        <v>4.1109999999999998</v>
      </c>
      <c r="F84" s="36">
        <v>4.3109999999999999</v>
      </c>
      <c r="G84" s="36">
        <v>4.4749999999999996</v>
      </c>
      <c r="H84" s="36">
        <v>4.6130000000000004</v>
      </c>
      <c r="I84" s="36">
        <v>4.7320000000000002</v>
      </c>
      <c r="J84" s="36">
        <v>4.8369999999999997</v>
      </c>
      <c r="K84" s="36">
        <v>4.93</v>
      </c>
      <c r="L84" s="36">
        <v>5.0140000000000002</v>
      </c>
      <c r="M84" s="36">
        <v>5.0910000000000002</v>
      </c>
      <c r="N84" s="36">
        <v>5.1609999999999996</v>
      </c>
      <c r="O84" s="36">
        <v>5.226</v>
      </c>
      <c r="P84" s="36">
        <v>5.2859999999999996</v>
      </c>
      <c r="Q84" s="36">
        <v>5.3419999999999996</v>
      </c>
      <c r="R84" s="36">
        <v>5.3949999999999996</v>
      </c>
      <c r="S84" s="36">
        <v>5.4450000000000003</v>
      </c>
      <c r="T84" s="286">
        <v>5.4909999999999997</v>
      </c>
    </row>
    <row r="85" spans="1:20" x14ac:dyDescent="0.25">
      <c r="A85">
        <v>30</v>
      </c>
      <c r="B85" s="285">
        <v>2.8879999999999999</v>
      </c>
      <c r="C85" s="36">
        <v>3.4860000000000002</v>
      </c>
      <c r="D85" s="36">
        <v>3.8450000000000002</v>
      </c>
      <c r="E85" s="36">
        <v>4.1020000000000003</v>
      </c>
      <c r="F85" s="36">
        <v>4.3010000000000002</v>
      </c>
      <c r="G85" s="36">
        <v>4.4640000000000004</v>
      </c>
      <c r="H85" s="36">
        <v>4.601</v>
      </c>
      <c r="I85" s="36">
        <v>4.72</v>
      </c>
      <c r="J85" s="36">
        <v>4.8239999999999998</v>
      </c>
      <c r="K85" s="36">
        <v>4.9169999999999998</v>
      </c>
      <c r="L85" s="36">
        <v>5.0010000000000003</v>
      </c>
      <c r="M85" s="36">
        <v>5.077</v>
      </c>
      <c r="N85" s="36">
        <v>5.1470000000000002</v>
      </c>
      <c r="O85" s="36">
        <v>5.2110000000000003</v>
      </c>
      <c r="P85" s="36">
        <v>5.2709999999999999</v>
      </c>
      <c r="Q85" s="36">
        <v>5.327</v>
      </c>
      <c r="R85" s="36">
        <v>5.3789999999999996</v>
      </c>
      <c r="S85" s="36">
        <v>5.4290000000000003</v>
      </c>
      <c r="T85" s="286">
        <v>5.4749999999999996</v>
      </c>
    </row>
    <row r="86" spans="1:20" x14ac:dyDescent="0.25">
      <c r="A86">
        <v>31</v>
      </c>
      <c r="B86" s="285">
        <v>2.8839999999999999</v>
      </c>
      <c r="C86" s="36">
        <v>3.4809999999999999</v>
      </c>
      <c r="D86" s="36">
        <v>3.8380000000000001</v>
      </c>
      <c r="E86" s="36">
        <v>4.0940000000000003</v>
      </c>
      <c r="F86" s="36">
        <v>4.2919999999999998</v>
      </c>
      <c r="G86" s="36">
        <v>4.4539999999999997</v>
      </c>
      <c r="H86" s="36">
        <v>4.5910000000000002</v>
      </c>
      <c r="I86" s="36">
        <v>4.7089999999999996</v>
      </c>
      <c r="J86" s="36">
        <v>4.8120000000000003</v>
      </c>
      <c r="K86" s="36">
        <v>4.9050000000000002</v>
      </c>
      <c r="L86" s="36">
        <v>4.9880000000000004</v>
      </c>
      <c r="M86" s="36">
        <v>5.0640000000000001</v>
      </c>
      <c r="N86" s="36">
        <v>5.1340000000000003</v>
      </c>
      <c r="O86" s="36">
        <v>5.1980000000000004</v>
      </c>
      <c r="P86" s="36">
        <v>5.2569999999999997</v>
      </c>
      <c r="Q86" s="36">
        <v>5.3129999999999997</v>
      </c>
      <c r="R86" s="36">
        <v>5.3650000000000002</v>
      </c>
      <c r="S86" s="36">
        <v>5.4139999999999997</v>
      </c>
      <c r="T86" s="286">
        <v>5.46</v>
      </c>
    </row>
    <row r="87" spans="1:20" x14ac:dyDescent="0.25">
      <c r="A87">
        <v>32</v>
      </c>
      <c r="B87" s="285">
        <v>2.8809999999999998</v>
      </c>
      <c r="C87" s="36">
        <v>3.4750000000000001</v>
      </c>
      <c r="D87" s="36">
        <v>3.8319999999999999</v>
      </c>
      <c r="E87" s="36">
        <v>4.0860000000000003</v>
      </c>
      <c r="F87" s="36">
        <v>4.2839999999999998</v>
      </c>
      <c r="G87" s="36">
        <v>4.4450000000000003</v>
      </c>
      <c r="H87" s="36">
        <v>4.5810000000000004</v>
      </c>
      <c r="I87" s="36">
        <v>4.6980000000000004</v>
      </c>
      <c r="J87" s="36">
        <v>4.8019999999999996</v>
      </c>
      <c r="K87" s="36">
        <v>4.8940000000000001</v>
      </c>
      <c r="L87" s="36">
        <v>4.976</v>
      </c>
      <c r="M87" s="36">
        <v>5.0519999999999996</v>
      </c>
      <c r="N87" s="36">
        <v>5.1210000000000004</v>
      </c>
      <c r="O87" s="36">
        <v>5.1849999999999996</v>
      </c>
      <c r="P87" s="36">
        <v>5.2439999999999998</v>
      </c>
      <c r="Q87" s="36">
        <v>5.2990000000000004</v>
      </c>
      <c r="R87" s="36">
        <v>5.351</v>
      </c>
      <c r="S87" s="36">
        <v>5.4</v>
      </c>
      <c r="T87" s="286">
        <v>5.4450000000000003</v>
      </c>
    </row>
    <row r="88" spans="1:20" x14ac:dyDescent="0.25">
      <c r="A88">
        <v>33</v>
      </c>
      <c r="B88" s="285">
        <v>2.8769999999999998</v>
      </c>
      <c r="C88" s="36">
        <v>3.47</v>
      </c>
      <c r="D88" s="36">
        <v>3.8250000000000002</v>
      </c>
      <c r="E88" s="36">
        <v>4.0789999999999997</v>
      </c>
      <c r="F88" s="36">
        <v>4.2759999999999998</v>
      </c>
      <c r="G88" s="36">
        <v>4.4359999999999999</v>
      </c>
      <c r="H88" s="36">
        <v>4.5720000000000001</v>
      </c>
      <c r="I88" s="36">
        <v>4.6890000000000001</v>
      </c>
      <c r="J88" s="36">
        <v>4.7910000000000004</v>
      </c>
      <c r="K88" s="36">
        <v>4.883</v>
      </c>
      <c r="L88" s="36">
        <v>4.9649999999999999</v>
      </c>
      <c r="M88" s="36">
        <v>5.04</v>
      </c>
      <c r="N88" s="36">
        <v>5.109</v>
      </c>
      <c r="O88" s="36">
        <v>5.173</v>
      </c>
      <c r="P88" s="36">
        <v>5.2320000000000002</v>
      </c>
      <c r="Q88" s="36">
        <v>5.2869999999999999</v>
      </c>
      <c r="R88" s="36">
        <v>5.3380000000000001</v>
      </c>
      <c r="S88" s="36">
        <v>5.3860000000000001</v>
      </c>
      <c r="T88" s="286">
        <v>5.4320000000000004</v>
      </c>
    </row>
    <row r="89" spans="1:20" x14ac:dyDescent="0.25">
      <c r="A89">
        <v>34</v>
      </c>
      <c r="B89" s="285">
        <v>2.8740000000000001</v>
      </c>
      <c r="C89" s="36">
        <v>3.4649999999999999</v>
      </c>
      <c r="D89" s="36">
        <v>3.82</v>
      </c>
      <c r="E89" s="36">
        <v>4.0720000000000001</v>
      </c>
      <c r="F89" s="36">
        <v>4.2679999999999998</v>
      </c>
      <c r="G89" s="36">
        <v>4.4279999999999999</v>
      </c>
      <c r="H89" s="36">
        <v>4.5629999999999997</v>
      </c>
      <c r="I89" s="36">
        <v>4.68</v>
      </c>
      <c r="J89" s="36">
        <v>4.782</v>
      </c>
      <c r="K89" s="36">
        <v>4.8730000000000002</v>
      </c>
      <c r="L89" s="36">
        <v>4.9550000000000001</v>
      </c>
      <c r="M89" s="36">
        <v>5.03</v>
      </c>
      <c r="N89" s="36">
        <v>5.0979999999999999</v>
      </c>
      <c r="O89" s="36">
        <v>5.1609999999999996</v>
      </c>
      <c r="P89" s="36">
        <v>5.22</v>
      </c>
      <c r="Q89" s="36">
        <v>5.2750000000000004</v>
      </c>
      <c r="R89" s="36">
        <v>5.3259999999999996</v>
      </c>
      <c r="S89" s="36">
        <v>5.3739999999999997</v>
      </c>
      <c r="T89" s="286">
        <v>5.42</v>
      </c>
    </row>
    <row r="90" spans="1:20" x14ac:dyDescent="0.25">
      <c r="A90">
        <v>35</v>
      </c>
      <c r="B90" s="285">
        <v>2.871</v>
      </c>
      <c r="C90" s="36">
        <v>3.4609999999999999</v>
      </c>
      <c r="D90" s="36">
        <v>3.8140000000000001</v>
      </c>
      <c r="E90" s="36">
        <v>4.0659999999999998</v>
      </c>
      <c r="F90" s="36">
        <v>4.2610000000000001</v>
      </c>
      <c r="G90" s="36">
        <v>4.4210000000000003</v>
      </c>
      <c r="H90" s="36">
        <v>4.5549999999999997</v>
      </c>
      <c r="I90" s="36">
        <v>4.6710000000000003</v>
      </c>
      <c r="J90" s="36">
        <v>4.7729999999999997</v>
      </c>
      <c r="K90" s="36">
        <v>4.8630000000000004</v>
      </c>
      <c r="L90" s="36">
        <v>4.9450000000000003</v>
      </c>
      <c r="M90" s="36">
        <v>5.0199999999999996</v>
      </c>
      <c r="N90" s="36">
        <v>5.0880000000000001</v>
      </c>
      <c r="O90" s="36">
        <v>5.1509999999999998</v>
      </c>
      <c r="P90" s="36">
        <v>5.2089999999999996</v>
      </c>
      <c r="Q90" s="36">
        <v>5.2640000000000002</v>
      </c>
      <c r="R90" s="36">
        <v>5.3150000000000004</v>
      </c>
      <c r="S90" s="36">
        <v>5.3620000000000001</v>
      </c>
      <c r="T90" s="286">
        <v>5.4080000000000004</v>
      </c>
    </row>
    <row r="91" spans="1:20" x14ac:dyDescent="0.25">
      <c r="A91">
        <v>36</v>
      </c>
      <c r="B91" s="285">
        <v>2.8679999999999999</v>
      </c>
      <c r="C91" s="36">
        <v>3.4569999999999999</v>
      </c>
      <c r="D91" s="36">
        <v>3.8090000000000002</v>
      </c>
      <c r="E91" s="36">
        <v>4.0599999999999996</v>
      </c>
      <c r="F91" s="36">
        <v>4.2549999999999999</v>
      </c>
      <c r="G91" s="36">
        <v>4.4139999999999997</v>
      </c>
      <c r="H91" s="36">
        <v>4.5469999999999997</v>
      </c>
      <c r="I91" s="36">
        <v>4.6630000000000003</v>
      </c>
      <c r="J91" s="36">
        <v>4.7640000000000002</v>
      </c>
      <c r="K91" s="36">
        <v>4.8550000000000004</v>
      </c>
      <c r="L91" s="36">
        <v>4.9359999999999999</v>
      </c>
      <c r="M91" s="36">
        <v>5.01</v>
      </c>
      <c r="N91" s="36">
        <v>5.0780000000000003</v>
      </c>
      <c r="O91" s="36">
        <v>5.141</v>
      </c>
      <c r="P91" s="36">
        <v>5.1989999999999998</v>
      </c>
      <c r="Q91" s="36">
        <v>5.2530000000000001</v>
      </c>
      <c r="R91" s="36">
        <v>5.3040000000000003</v>
      </c>
      <c r="S91" s="36">
        <v>5.3520000000000003</v>
      </c>
      <c r="T91" s="286">
        <v>5.3970000000000002</v>
      </c>
    </row>
    <row r="92" spans="1:20" x14ac:dyDescent="0.25">
      <c r="A92">
        <v>37</v>
      </c>
      <c r="B92" s="285">
        <v>2.8650000000000002</v>
      </c>
      <c r="C92" s="36">
        <v>3.4529999999999998</v>
      </c>
      <c r="D92" s="36">
        <v>3.8039999999999998</v>
      </c>
      <c r="E92" s="36">
        <v>4.0540000000000003</v>
      </c>
      <c r="F92" s="36">
        <v>4.2489999999999997</v>
      </c>
      <c r="G92" s="36">
        <v>4.407</v>
      </c>
      <c r="H92" s="36">
        <v>4.54</v>
      </c>
      <c r="I92" s="36">
        <v>4.6550000000000002</v>
      </c>
      <c r="J92" s="36">
        <v>4.7560000000000002</v>
      </c>
      <c r="K92" s="36">
        <v>4.8460000000000001</v>
      </c>
      <c r="L92" s="36">
        <v>4.9269999999999996</v>
      </c>
      <c r="M92" s="36">
        <v>5.0010000000000003</v>
      </c>
      <c r="N92" s="36">
        <v>5.069</v>
      </c>
      <c r="O92" s="36">
        <v>5.1310000000000002</v>
      </c>
      <c r="P92" s="36">
        <v>5.1890000000000001</v>
      </c>
      <c r="Q92" s="36">
        <v>5.2430000000000003</v>
      </c>
      <c r="R92" s="36">
        <v>5.2939999999999996</v>
      </c>
      <c r="S92" s="36">
        <v>5.3410000000000002</v>
      </c>
      <c r="T92" s="286">
        <v>5.3860000000000001</v>
      </c>
    </row>
    <row r="93" spans="1:20" x14ac:dyDescent="0.25">
      <c r="A93">
        <v>38</v>
      </c>
      <c r="B93" s="285">
        <v>2.863</v>
      </c>
      <c r="C93" s="36">
        <v>3.4489999999999998</v>
      </c>
      <c r="D93" s="36">
        <v>3.7989999999999999</v>
      </c>
      <c r="E93" s="36">
        <v>4.0490000000000004</v>
      </c>
      <c r="F93" s="36">
        <v>4.2430000000000003</v>
      </c>
      <c r="G93" s="36">
        <v>4.4000000000000004</v>
      </c>
      <c r="H93" s="36">
        <v>4.5330000000000004</v>
      </c>
      <c r="I93" s="36">
        <v>4.6479999999999997</v>
      </c>
      <c r="J93" s="36">
        <v>4.7489999999999997</v>
      </c>
      <c r="K93" s="36">
        <v>4.8380000000000001</v>
      </c>
      <c r="L93" s="36">
        <v>4.9189999999999996</v>
      </c>
      <c r="M93" s="36">
        <v>4.9930000000000003</v>
      </c>
      <c r="N93" s="36">
        <v>5.0599999999999996</v>
      </c>
      <c r="O93" s="36">
        <v>5.1219999999999999</v>
      </c>
      <c r="P93" s="36">
        <v>5.18</v>
      </c>
      <c r="Q93" s="36">
        <v>5.234</v>
      </c>
      <c r="R93" s="36">
        <v>5.2839999999999998</v>
      </c>
      <c r="S93" s="36">
        <v>5.3310000000000004</v>
      </c>
      <c r="T93" s="286">
        <v>5.3760000000000003</v>
      </c>
    </row>
    <row r="94" spans="1:20" x14ac:dyDescent="0.25">
      <c r="A94">
        <v>39</v>
      </c>
      <c r="B94" s="285">
        <v>2.8610000000000002</v>
      </c>
      <c r="C94" s="36">
        <v>3.4449999999999998</v>
      </c>
      <c r="D94" s="36">
        <v>3.7949999999999999</v>
      </c>
      <c r="E94" s="36">
        <v>4.0439999999999996</v>
      </c>
      <c r="F94" s="36">
        <v>4.2370000000000001</v>
      </c>
      <c r="G94" s="36">
        <v>4.3940000000000001</v>
      </c>
      <c r="H94" s="36">
        <v>4.5270000000000001</v>
      </c>
      <c r="I94" s="36">
        <v>4.641</v>
      </c>
      <c r="J94" s="36">
        <v>4.7409999999999997</v>
      </c>
      <c r="K94" s="36">
        <v>4.8310000000000004</v>
      </c>
      <c r="L94" s="36">
        <v>4.9109999999999996</v>
      </c>
      <c r="M94" s="36">
        <v>4.9850000000000003</v>
      </c>
      <c r="N94" s="36">
        <v>5.0519999999999996</v>
      </c>
      <c r="O94" s="36">
        <v>5.1139999999999999</v>
      </c>
      <c r="P94" s="36">
        <v>5.1710000000000003</v>
      </c>
      <c r="Q94" s="36">
        <v>5.2249999999999996</v>
      </c>
      <c r="R94" s="36">
        <v>5.2750000000000004</v>
      </c>
      <c r="S94" s="36">
        <v>5.3220000000000001</v>
      </c>
      <c r="T94" s="286">
        <v>5.367</v>
      </c>
    </row>
    <row r="95" spans="1:20" x14ac:dyDescent="0.25">
      <c r="A95">
        <v>40</v>
      </c>
      <c r="B95" s="285">
        <v>2.8580000000000001</v>
      </c>
      <c r="C95" s="36">
        <v>3.4420000000000002</v>
      </c>
      <c r="D95" s="36">
        <v>3.7909999999999999</v>
      </c>
      <c r="E95" s="36">
        <v>4.0389999999999997</v>
      </c>
      <c r="F95" s="36">
        <v>4.2320000000000002</v>
      </c>
      <c r="G95" s="36">
        <v>4.3879999999999999</v>
      </c>
      <c r="H95" s="36">
        <v>4.5209999999999999</v>
      </c>
      <c r="I95" s="36">
        <v>4.6340000000000003</v>
      </c>
      <c r="J95" s="36">
        <v>4.7350000000000003</v>
      </c>
      <c r="K95" s="36">
        <v>4.8239999999999998</v>
      </c>
      <c r="L95" s="36">
        <v>4.9039999999999999</v>
      </c>
      <c r="M95" s="36">
        <v>4.9770000000000003</v>
      </c>
      <c r="N95" s="36">
        <v>5.0439999999999996</v>
      </c>
      <c r="O95" s="36">
        <v>5.1059999999999999</v>
      </c>
      <c r="P95" s="36">
        <v>5.1630000000000003</v>
      </c>
      <c r="Q95" s="36">
        <v>5.2160000000000002</v>
      </c>
      <c r="R95" s="36">
        <v>5.266</v>
      </c>
      <c r="S95" s="36">
        <v>5.3129999999999997</v>
      </c>
      <c r="T95" s="286">
        <v>5.3579999999999997</v>
      </c>
    </row>
    <row r="96" spans="1:20" x14ac:dyDescent="0.25">
      <c r="A96">
        <v>48</v>
      </c>
      <c r="B96" s="285">
        <v>2.843</v>
      </c>
      <c r="C96" s="36">
        <v>3.42</v>
      </c>
      <c r="D96" s="36">
        <v>3.7639999999999998</v>
      </c>
      <c r="E96" s="36">
        <v>4.008</v>
      </c>
      <c r="F96" s="36">
        <v>4.1970000000000001</v>
      </c>
      <c r="G96" s="36">
        <v>4.351</v>
      </c>
      <c r="H96" s="36">
        <v>4.4809999999999999</v>
      </c>
      <c r="I96" s="36">
        <v>4.5919999999999996</v>
      </c>
      <c r="J96" s="36">
        <v>4.6900000000000004</v>
      </c>
      <c r="K96" s="36">
        <v>4.7770000000000001</v>
      </c>
      <c r="L96" s="36">
        <v>4.8559999999999999</v>
      </c>
      <c r="M96" s="36">
        <v>4.9269999999999996</v>
      </c>
      <c r="N96" s="36">
        <v>4.9930000000000003</v>
      </c>
      <c r="O96" s="36">
        <v>5.0529999999999999</v>
      </c>
      <c r="P96" s="36">
        <v>5.109</v>
      </c>
      <c r="Q96" s="36">
        <v>5.1609999999999996</v>
      </c>
      <c r="R96" s="36">
        <v>5.21</v>
      </c>
      <c r="S96" s="36">
        <v>5.2560000000000002</v>
      </c>
      <c r="T96" s="286">
        <v>5.2990000000000004</v>
      </c>
    </row>
    <row r="97" spans="1:20" x14ac:dyDescent="0.25">
      <c r="A97">
        <v>60</v>
      </c>
      <c r="B97" s="285">
        <v>2.8290000000000002</v>
      </c>
      <c r="C97" s="36">
        <v>3.399</v>
      </c>
      <c r="D97" s="36">
        <v>3.7370000000000001</v>
      </c>
      <c r="E97" s="36">
        <v>3.9769999999999999</v>
      </c>
      <c r="F97" s="36">
        <v>4.1630000000000003</v>
      </c>
      <c r="G97" s="36">
        <v>4.3140000000000001</v>
      </c>
      <c r="H97" s="36">
        <v>4.4409999999999998</v>
      </c>
      <c r="I97" s="36">
        <v>4.55</v>
      </c>
      <c r="J97" s="36">
        <v>4.6459999999999999</v>
      </c>
      <c r="K97" s="36">
        <v>4.7320000000000002</v>
      </c>
      <c r="L97" s="36">
        <v>4.8079999999999998</v>
      </c>
      <c r="M97" s="36">
        <v>4.8780000000000001</v>
      </c>
      <c r="N97" s="36">
        <v>4.9420000000000002</v>
      </c>
      <c r="O97" s="36">
        <v>5.0010000000000003</v>
      </c>
      <c r="P97" s="36">
        <v>5.056</v>
      </c>
      <c r="Q97" s="36">
        <v>5.1070000000000002</v>
      </c>
      <c r="R97" s="36">
        <v>5.1539999999999999</v>
      </c>
      <c r="S97" s="36">
        <v>5.1989999999999998</v>
      </c>
      <c r="T97" s="286">
        <v>5.2409999999999997</v>
      </c>
    </row>
    <row r="98" spans="1:20" x14ac:dyDescent="0.25">
      <c r="A98">
        <v>80</v>
      </c>
      <c r="B98" s="285">
        <v>2.8140000000000001</v>
      </c>
      <c r="C98" s="36">
        <v>3.3769999999999998</v>
      </c>
      <c r="D98" s="36">
        <v>3.7109999999999999</v>
      </c>
      <c r="E98" s="36">
        <v>3.9470000000000001</v>
      </c>
      <c r="F98" s="36">
        <v>4.1289999999999996</v>
      </c>
      <c r="G98" s="36">
        <v>4.2770000000000001</v>
      </c>
      <c r="H98" s="36">
        <v>4.4020000000000001</v>
      </c>
      <c r="I98" s="36">
        <v>4.5090000000000003</v>
      </c>
      <c r="J98" s="36">
        <v>4.6029999999999998</v>
      </c>
      <c r="K98" s="36">
        <v>4.6859999999999999</v>
      </c>
      <c r="L98" s="36">
        <v>4.7610000000000001</v>
      </c>
      <c r="M98" s="36">
        <v>4.8289999999999997</v>
      </c>
      <c r="N98" s="36">
        <v>4.8920000000000003</v>
      </c>
      <c r="O98" s="36">
        <v>4.9489999999999998</v>
      </c>
      <c r="P98" s="36">
        <v>5.0030000000000001</v>
      </c>
      <c r="Q98" s="36">
        <v>5.0519999999999996</v>
      </c>
      <c r="R98" s="36">
        <v>5.0990000000000002</v>
      </c>
      <c r="S98" s="36">
        <v>5.1420000000000003</v>
      </c>
      <c r="T98" s="286">
        <v>5.1829999999999998</v>
      </c>
    </row>
    <row r="99" spans="1:20" x14ac:dyDescent="0.25">
      <c r="A99">
        <v>120</v>
      </c>
      <c r="B99" s="285">
        <v>2.8</v>
      </c>
      <c r="C99" s="36">
        <v>3.3559999999999999</v>
      </c>
      <c r="D99" s="36">
        <v>3.6850000000000001</v>
      </c>
      <c r="E99" s="36">
        <v>3.9169999999999998</v>
      </c>
      <c r="F99" s="36">
        <v>4.0960000000000001</v>
      </c>
      <c r="G99" s="36">
        <v>4.2409999999999997</v>
      </c>
      <c r="H99" s="36">
        <v>4.3630000000000004</v>
      </c>
      <c r="I99" s="36">
        <v>4.468</v>
      </c>
      <c r="J99" s="36">
        <v>4.5599999999999996</v>
      </c>
      <c r="K99" s="36">
        <v>4.641</v>
      </c>
      <c r="L99" s="36">
        <v>4.7140000000000004</v>
      </c>
      <c r="M99" s="36">
        <v>4.7809999999999997</v>
      </c>
      <c r="N99" s="36">
        <v>4.8419999999999996</v>
      </c>
      <c r="O99" s="36">
        <v>4.8979999999999997</v>
      </c>
      <c r="P99" s="36">
        <v>4.95</v>
      </c>
      <c r="Q99" s="36">
        <v>4.9980000000000002</v>
      </c>
      <c r="R99" s="36">
        <v>5.0430000000000001</v>
      </c>
      <c r="S99" s="36">
        <v>5.0860000000000003</v>
      </c>
      <c r="T99" s="286">
        <v>5.1260000000000003</v>
      </c>
    </row>
    <row r="100" spans="1:20" x14ac:dyDescent="0.25">
      <c r="A100">
        <v>240</v>
      </c>
      <c r="B100" s="285">
        <v>2.786</v>
      </c>
      <c r="C100" s="36">
        <v>3.335</v>
      </c>
      <c r="D100" s="36">
        <v>3.6589999999999998</v>
      </c>
      <c r="E100" s="36">
        <v>3.887</v>
      </c>
      <c r="F100" s="36">
        <v>4.0629999999999997</v>
      </c>
      <c r="G100" s="36">
        <v>4.2050000000000001</v>
      </c>
      <c r="H100" s="36">
        <v>4.3239999999999998</v>
      </c>
      <c r="I100" s="36">
        <v>4.4269999999999996</v>
      </c>
      <c r="J100" s="36">
        <v>4.5170000000000003</v>
      </c>
      <c r="K100" s="36">
        <v>4.5960000000000001</v>
      </c>
      <c r="L100" s="36">
        <v>4.6680000000000001</v>
      </c>
      <c r="M100" s="36">
        <v>4.7329999999999997</v>
      </c>
      <c r="N100" s="36">
        <v>4.7919999999999998</v>
      </c>
      <c r="O100" s="36">
        <v>4.8470000000000004</v>
      </c>
      <c r="P100" s="36">
        <v>4.8970000000000002</v>
      </c>
      <c r="Q100" s="36">
        <v>4.944</v>
      </c>
      <c r="R100" s="36">
        <v>4.9880000000000004</v>
      </c>
      <c r="S100" s="36">
        <v>5.03</v>
      </c>
      <c r="T100" s="286">
        <v>5.069</v>
      </c>
    </row>
    <row r="101" spans="1:20" x14ac:dyDescent="0.25">
      <c r="A101" s="12" t="s">
        <v>66</v>
      </c>
      <c r="B101" s="287">
        <v>2.7719999999999998</v>
      </c>
      <c r="C101" s="483">
        <v>3.3140000000000001</v>
      </c>
      <c r="D101" s="483">
        <v>3.633</v>
      </c>
      <c r="E101" s="483">
        <v>3.8580000000000001</v>
      </c>
      <c r="F101" s="483">
        <v>4.03</v>
      </c>
      <c r="G101" s="483">
        <v>4.17</v>
      </c>
      <c r="H101" s="483">
        <v>4.2859999999999996</v>
      </c>
      <c r="I101" s="483">
        <v>4.3869999999999996</v>
      </c>
      <c r="J101" s="483">
        <v>4.4740000000000002</v>
      </c>
      <c r="K101" s="483">
        <v>4.5519999999999996</v>
      </c>
      <c r="L101" s="483">
        <v>4.6219999999999999</v>
      </c>
      <c r="M101" s="483">
        <v>4.6849999999999996</v>
      </c>
      <c r="N101" s="483">
        <v>4.7430000000000003</v>
      </c>
      <c r="O101" s="483">
        <v>4.7960000000000003</v>
      </c>
      <c r="P101" s="483">
        <v>4.8449999999999998</v>
      </c>
      <c r="Q101" s="483">
        <v>4.891</v>
      </c>
      <c r="R101" s="483">
        <v>4.9340000000000002</v>
      </c>
      <c r="S101" s="483">
        <v>4.9740000000000002</v>
      </c>
      <c r="T101" s="288">
        <v>5.0119999999999996</v>
      </c>
    </row>
    <row r="103" spans="1:20" x14ac:dyDescent="0.25">
      <c r="B103" t="s">
        <v>18</v>
      </c>
      <c r="C103">
        <v>0.01</v>
      </c>
    </row>
    <row r="104" spans="1:20" x14ac:dyDescent="0.25">
      <c r="B104" t="s">
        <v>65</v>
      </c>
    </row>
    <row r="105" spans="1:20" x14ac:dyDescent="0.25">
      <c r="A105" s="12" t="s">
        <v>41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8</v>
      </c>
      <c r="I105">
        <v>9</v>
      </c>
      <c r="J105">
        <v>10</v>
      </c>
      <c r="K105">
        <v>11</v>
      </c>
      <c r="L105">
        <v>12</v>
      </c>
      <c r="M105">
        <v>13</v>
      </c>
      <c r="N105">
        <v>14</v>
      </c>
      <c r="O105">
        <v>15</v>
      </c>
      <c r="P105">
        <v>16</v>
      </c>
      <c r="Q105">
        <v>17</v>
      </c>
      <c r="R105">
        <v>18</v>
      </c>
      <c r="S105">
        <v>19</v>
      </c>
      <c r="T105">
        <v>20</v>
      </c>
    </row>
    <row r="106" spans="1:20" x14ac:dyDescent="0.25">
      <c r="A106">
        <v>1</v>
      </c>
      <c r="B106" s="541">
        <v>90.024000000000001</v>
      </c>
      <c r="C106" s="481">
        <v>135.041</v>
      </c>
      <c r="D106" s="481">
        <v>164.25800000000001</v>
      </c>
      <c r="E106" s="481">
        <v>185.57499999999999</v>
      </c>
      <c r="F106" s="481">
        <v>202.21</v>
      </c>
      <c r="G106" s="481">
        <v>215.76900000000001</v>
      </c>
      <c r="H106" s="481">
        <v>227.166</v>
      </c>
      <c r="I106" s="481">
        <v>236.96600000000001</v>
      </c>
      <c r="J106" s="481">
        <v>245.542</v>
      </c>
      <c r="K106" s="481">
        <v>253.15100000000001</v>
      </c>
      <c r="L106" s="481">
        <v>259.97899999999998</v>
      </c>
      <c r="M106" s="481">
        <v>266.16500000000002</v>
      </c>
      <c r="N106" s="481">
        <v>271.81200000000001</v>
      </c>
      <c r="O106" s="481">
        <v>277.00299999999999</v>
      </c>
      <c r="P106" s="481">
        <v>281.803</v>
      </c>
      <c r="Q106" s="481">
        <v>286.26299999999998</v>
      </c>
      <c r="R106" s="481">
        <v>290.42599999999999</v>
      </c>
      <c r="S106" s="481">
        <v>294.32799999999997</v>
      </c>
      <c r="T106" s="542">
        <v>297.99700000000001</v>
      </c>
    </row>
    <row r="107" spans="1:20" x14ac:dyDescent="0.25">
      <c r="A107">
        <v>2</v>
      </c>
      <c r="B107" s="285">
        <v>14.036</v>
      </c>
      <c r="C107" s="36">
        <v>19.018999999999998</v>
      </c>
      <c r="D107" s="36">
        <v>22.294</v>
      </c>
      <c r="E107" s="36">
        <v>24.716999999999999</v>
      </c>
      <c r="F107" s="36">
        <v>26.629000000000001</v>
      </c>
      <c r="G107" s="36">
        <v>28.201000000000001</v>
      </c>
      <c r="H107" s="36">
        <v>29.53</v>
      </c>
      <c r="I107" s="36">
        <v>30.678999999999998</v>
      </c>
      <c r="J107" s="36">
        <v>31.689</v>
      </c>
      <c r="K107" s="36">
        <v>32.588999999999999</v>
      </c>
      <c r="L107" s="36">
        <v>33.398000000000003</v>
      </c>
      <c r="M107" s="36">
        <v>34.134</v>
      </c>
      <c r="N107" s="36">
        <v>34.805999999999997</v>
      </c>
      <c r="O107" s="36">
        <v>35.426000000000002</v>
      </c>
      <c r="P107" s="36">
        <v>36</v>
      </c>
      <c r="Q107" s="36">
        <v>36.533999999999999</v>
      </c>
      <c r="R107" s="36">
        <v>37.033999999999999</v>
      </c>
      <c r="S107" s="36">
        <v>37.502000000000002</v>
      </c>
      <c r="T107" s="286">
        <v>37.942999999999998</v>
      </c>
    </row>
    <row r="108" spans="1:20" x14ac:dyDescent="0.25">
      <c r="A108">
        <v>3</v>
      </c>
      <c r="B108" s="285">
        <v>8.26</v>
      </c>
      <c r="C108" s="36">
        <v>10.619</v>
      </c>
      <c r="D108" s="36">
        <v>12.17</v>
      </c>
      <c r="E108" s="36">
        <v>13.324</v>
      </c>
      <c r="F108" s="36">
        <v>14.241</v>
      </c>
      <c r="G108" s="36">
        <v>14.997999999999999</v>
      </c>
      <c r="H108" s="36">
        <v>15.641</v>
      </c>
      <c r="I108" s="36">
        <v>16.199000000000002</v>
      </c>
      <c r="J108" s="36">
        <v>16.690999999999999</v>
      </c>
      <c r="K108" s="36">
        <v>17.13</v>
      </c>
      <c r="L108" s="36">
        <v>17.526</v>
      </c>
      <c r="M108" s="36">
        <v>17.887</v>
      </c>
      <c r="N108" s="36">
        <v>18.216999999999999</v>
      </c>
      <c r="O108" s="36">
        <v>18.521999999999998</v>
      </c>
      <c r="P108" s="36">
        <v>18.805</v>
      </c>
      <c r="Q108" s="36">
        <v>19.068000000000001</v>
      </c>
      <c r="R108" s="36">
        <v>19.315000000000001</v>
      </c>
      <c r="S108" s="36">
        <v>19.545999999999999</v>
      </c>
      <c r="T108" s="286">
        <v>19.765000000000001</v>
      </c>
    </row>
    <row r="109" spans="1:20" x14ac:dyDescent="0.25">
      <c r="A109">
        <v>4</v>
      </c>
      <c r="B109" s="285">
        <v>6.5110000000000001</v>
      </c>
      <c r="C109" s="36">
        <v>8.1199999999999992</v>
      </c>
      <c r="D109" s="36">
        <v>9.173</v>
      </c>
      <c r="E109" s="36">
        <v>9.9580000000000002</v>
      </c>
      <c r="F109" s="36">
        <v>10.583</v>
      </c>
      <c r="G109" s="36">
        <v>11.101000000000001</v>
      </c>
      <c r="H109" s="36">
        <v>11.542</v>
      </c>
      <c r="I109" s="36">
        <v>11.925000000000001</v>
      </c>
      <c r="J109" s="36">
        <v>12.263999999999999</v>
      </c>
      <c r="K109" s="36">
        <v>12.567</v>
      </c>
      <c r="L109" s="36">
        <v>12.84</v>
      </c>
      <c r="M109" s="36">
        <v>13.09</v>
      </c>
      <c r="N109" s="36">
        <v>13.318</v>
      </c>
      <c r="O109" s="36">
        <v>13.53</v>
      </c>
      <c r="P109" s="36">
        <v>13.726000000000001</v>
      </c>
      <c r="Q109" s="36">
        <v>13.909000000000001</v>
      </c>
      <c r="R109" s="36">
        <v>14.081</v>
      </c>
      <c r="S109" s="36">
        <v>14.242000000000001</v>
      </c>
      <c r="T109" s="286">
        <v>14.394</v>
      </c>
    </row>
    <row r="110" spans="1:20" x14ac:dyDescent="0.25">
      <c r="A110">
        <v>5</v>
      </c>
      <c r="B110" s="285">
        <v>5.702</v>
      </c>
      <c r="C110" s="36">
        <v>6.976</v>
      </c>
      <c r="D110" s="36">
        <v>7.8040000000000003</v>
      </c>
      <c r="E110" s="36">
        <v>8.4209999999999994</v>
      </c>
      <c r="F110" s="36">
        <v>8.9130000000000003</v>
      </c>
      <c r="G110" s="36">
        <v>9.3209999999999997</v>
      </c>
      <c r="H110" s="36">
        <v>9.6690000000000005</v>
      </c>
      <c r="I110" s="36">
        <v>9.9710000000000001</v>
      </c>
      <c r="J110" s="36">
        <v>10.239000000000001</v>
      </c>
      <c r="K110" s="36">
        <v>10.478999999999999</v>
      </c>
      <c r="L110" s="36">
        <v>10.696</v>
      </c>
      <c r="M110" s="36">
        <v>10.894</v>
      </c>
      <c r="N110" s="36">
        <v>11.076000000000001</v>
      </c>
      <c r="O110" s="36">
        <v>11.244</v>
      </c>
      <c r="P110" s="36">
        <v>11.4</v>
      </c>
      <c r="Q110" s="36">
        <v>11.545</v>
      </c>
      <c r="R110" s="36">
        <v>11.682</v>
      </c>
      <c r="S110" s="36">
        <v>11.811</v>
      </c>
      <c r="T110" s="286">
        <v>11.932</v>
      </c>
    </row>
    <row r="111" spans="1:20" x14ac:dyDescent="0.25">
      <c r="A111">
        <v>6</v>
      </c>
      <c r="B111" s="285">
        <v>5.2430000000000003</v>
      </c>
      <c r="C111" s="36">
        <v>6.3310000000000004</v>
      </c>
      <c r="D111" s="36">
        <v>7.0330000000000004</v>
      </c>
      <c r="E111" s="36">
        <v>7.556</v>
      </c>
      <c r="F111" s="36">
        <v>7.9720000000000004</v>
      </c>
      <c r="G111" s="36">
        <v>8.3179999999999996</v>
      </c>
      <c r="H111" s="36">
        <v>8.6120000000000001</v>
      </c>
      <c r="I111" s="36">
        <v>8.8689999999999998</v>
      </c>
      <c r="J111" s="36">
        <v>9.0969999999999995</v>
      </c>
      <c r="K111" s="36">
        <v>9.3000000000000007</v>
      </c>
      <c r="L111" s="36">
        <v>9.4849999999999994</v>
      </c>
      <c r="M111" s="36">
        <v>9.6530000000000005</v>
      </c>
      <c r="N111" s="36">
        <v>9.8079999999999998</v>
      </c>
      <c r="O111" s="36">
        <v>9.9510000000000005</v>
      </c>
      <c r="P111" s="36">
        <v>10.084</v>
      </c>
      <c r="Q111" s="36">
        <v>10.208</v>
      </c>
      <c r="R111" s="36">
        <v>10.324999999999999</v>
      </c>
      <c r="S111" s="36">
        <v>10.433999999999999</v>
      </c>
      <c r="T111" s="286">
        <v>10.538</v>
      </c>
    </row>
    <row r="112" spans="1:20" x14ac:dyDescent="0.25">
      <c r="A112">
        <v>7</v>
      </c>
      <c r="B112" s="285">
        <v>4.9489999999999998</v>
      </c>
      <c r="C112" s="36">
        <v>5.9189999999999996</v>
      </c>
      <c r="D112" s="36">
        <v>6.5419999999999998</v>
      </c>
      <c r="E112" s="36">
        <v>7.0049999999999999</v>
      </c>
      <c r="F112" s="36">
        <v>7.3730000000000002</v>
      </c>
      <c r="G112" s="36">
        <v>7.6779999999999999</v>
      </c>
      <c r="H112" s="36">
        <v>7.9390000000000001</v>
      </c>
      <c r="I112" s="36">
        <v>8.1660000000000004</v>
      </c>
      <c r="J112" s="36">
        <v>8.3670000000000009</v>
      </c>
      <c r="K112" s="36">
        <v>8.548</v>
      </c>
      <c r="L112" s="36">
        <v>8.7110000000000003</v>
      </c>
      <c r="M112" s="36">
        <v>8.86</v>
      </c>
      <c r="N112" s="36">
        <v>8.9969999999999999</v>
      </c>
      <c r="O112" s="36">
        <v>9.1240000000000006</v>
      </c>
      <c r="P112" s="36">
        <v>9.2420000000000009</v>
      </c>
      <c r="Q112" s="36">
        <v>9.3529999999999998</v>
      </c>
      <c r="R112" s="36">
        <v>9.4559999999999995</v>
      </c>
      <c r="S112" s="36">
        <v>9.5530000000000008</v>
      </c>
      <c r="T112" s="286">
        <v>9.6449999999999996</v>
      </c>
    </row>
    <row r="113" spans="1:20" x14ac:dyDescent="0.25">
      <c r="A113">
        <v>8</v>
      </c>
      <c r="B113" s="285">
        <v>4.7450000000000001</v>
      </c>
      <c r="C113" s="36">
        <v>5.6349999999999998</v>
      </c>
      <c r="D113" s="36">
        <v>6.2039999999999997</v>
      </c>
      <c r="E113" s="36">
        <v>6.625</v>
      </c>
      <c r="F113" s="36">
        <v>6.9589999999999996</v>
      </c>
      <c r="G113" s="36">
        <v>7.2370000000000001</v>
      </c>
      <c r="H113" s="36">
        <v>7.4740000000000002</v>
      </c>
      <c r="I113" s="36">
        <v>7.68</v>
      </c>
      <c r="J113" s="36">
        <v>7.8630000000000004</v>
      </c>
      <c r="K113" s="36">
        <v>8.0269999999999992</v>
      </c>
      <c r="L113" s="36">
        <v>8.1760000000000002</v>
      </c>
      <c r="M113" s="36">
        <v>8.3109999999999999</v>
      </c>
      <c r="N113" s="36">
        <v>8.4359999999999999</v>
      </c>
      <c r="O113" s="36">
        <v>8.5519999999999996</v>
      </c>
      <c r="P113" s="36">
        <v>8.6590000000000007</v>
      </c>
      <c r="Q113" s="36">
        <v>8.76</v>
      </c>
      <c r="R113" s="36">
        <v>8.8539999999999992</v>
      </c>
      <c r="S113" s="36">
        <v>8.9429999999999996</v>
      </c>
      <c r="T113" s="286">
        <v>9.0269999999999992</v>
      </c>
    </row>
    <row r="114" spans="1:20" x14ac:dyDescent="0.25">
      <c r="A114">
        <v>9</v>
      </c>
      <c r="B114" s="285">
        <v>4.5960000000000001</v>
      </c>
      <c r="C114" s="36">
        <v>5.4279999999999999</v>
      </c>
      <c r="D114" s="36">
        <v>5.9569999999999999</v>
      </c>
      <c r="E114" s="36">
        <v>6.3470000000000004</v>
      </c>
      <c r="F114" s="36">
        <v>6.657</v>
      </c>
      <c r="G114" s="36">
        <v>6.915</v>
      </c>
      <c r="H114" s="36">
        <v>7.1340000000000003</v>
      </c>
      <c r="I114" s="36">
        <v>7.3250000000000002</v>
      </c>
      <c r="J114" s="36">
        <v>7.4939999999999998</v>
      </c>
      <c r="K114" s="36">
        <v>7.6459999999999999</v>
      </c>
      <c r="L114" s="36">
        <v>7.7839999999999998</v>
      </c>
      <c r="M114" s="36">
        <v>7.91</v>
      </c>
      <c r="N114" s="36">
        <v>8.0250000000000004</v>
      </c>
      <c r="O114" s="36">
        <v>8.1319999999999997</v>
      </c>
      <c r="P114" s="36">
        <v>8.2319999999999993</v>
      </c>
      <c r="Q114" s="36">
        <v>8.3249999999999993</v>
      </c>
      <c r="R114" s="36">
        <v>8.4120000000000008</v>
      </c>
      <c r="S114" s="36">
        <v>8.4949999999999992</v>
      </c>
      <c r="T114" s="286">
        <v>8.5730000000000004</v>
      </c>
    </row>
    <row r="115" spans="1:20" x14ac:dyDescent="0.25">
      <c r="A115">
        <v>10</v>
      </c>
      <c r="B115" s="285">
        <v>4.4820000000000002</v>
      </c>
      <c r="C115" s="36">
        <v>5.27</v>
      </c>
      <c r="D115" s="36">
        <v>5.7690000000000001</v>
      </c>
      <c r="E115" s="36">
        <v>6.1360000000000001</v>
      </c>
      <c r="F115" s="36">
        <v>6.4279999999999999</v>
      </c>
      <c r="G115" s="36">
        <v>6.6689999999999996</v>
      </c>
      <c r="H115" s="36">
        <v>6.875</v>
      </c>
      <c r="I115" s="36">
        <v>7.0540000000000003</v>
      </c>
      <c r="J115" s="36">
        <v>7.2130000000000001</v>
      </c>
      <c r="K115" s="36">
        <v>7.3559999999999999</v>
      </c>
      <c r="L115" s="36">
        <v>7.4850000000000003</v>
      </c>
      <c r="M115" s="36">
        <v>7.6029999999999998</v>
      </c>
      <c r="N115" s="36">
        <v>7.7119999999999997</v>
      </c>
      <c r="O115" s="36">
        <v>7.8120000000000003</v>
      </c>
      <c r="P115" s="36">
        <v>7.9059999999999997</v>
      </c>
      <c r="Q115" s="36">
        <v>7.9930000000000003</v>
      </c>
      <c r="R115" s="36">
        <v>8.0749999999999993</v>
      </c>
      <c r="S115" s="36">
        <v>8.1530000000000005</v>
      </c>
      <c r="T115" s="286">
        <v>8.2260000000000009</v>
      </c>
    </row>
    <row r="116" spans="1:20" x14ac:dyDescent="0.25">
      <c r="A116">
        <v>11</v>
      </c>
      <c r="B116" s="285">
        <v>4.3920000000000003</v>
      </c>
      <c r="C116" s="36">
        <v>5.1459999999999999</v>
      </c>
      <c r="D116" s="36">
        <v>5.6210000000000004</v>
      </c>
      <c r="E116" s="36">
        <v>5.97</v>
      </c>
      <c r="F116" s="36">
        <v>6.2469999999999999</v>
      </c>
      <c r="G116" s="36">
        <v>6.476</v>
      </c>
      <c r="H116" s="36">
        <v>6.6710000000000003</v>
      </c>
      <c r="I116" s="36">
        <v>6.8410000000000002</v>
      </c>
      <c r="J116" s="36">
        <v>6.992</v>
      </c>
      <c r="K116" s="36">
        <v>7.1269999999999998</v>
      </c>
      <c r="L116" s="36">
        <v>7.25</v>
      </c>
      <c r="M116" s="36">
        <v>7.3620000000000001</v>
      </c>
      <c r="N116" s="36">
        <v>7.4640000000000004</v>
      </c>
      <c r="O116" s="36">
        <v>7.56</v>
      </c>
      <c r="P116" s="36">
        <v>7.6479999999999997</v>
      </c>
      <c r="Q116" s="36">
        <v>7.7309999999999999</v>
      </c>
      <c r="R116" s="36">
        <v>7.8090000000000002</v>
      </c>
      <c r="S116" s="36">
        <v>7.883</v>
      </c>
      <c r="T116" s="286">
        <v>7.952</v>
      </c>
    </row>
    <row r="117" spans="1:20" x14ac:dyDescent="0.25">
      <c r="A117">
        <v>12</v>
      </c>
      <c r="B117" s="285">
        <v>4.32</v>
      </c>
      <c r="C117" s="36">
        <v>5.0460000000000003</v>
      </c>
      <c r="D117" s="36">
        <v>5.5019999999999998</v>
      </c>
      <c r="E117" s="36">
        <v>5.8360000000000003</v>
      </c>
      <c r="F117" s="36">
        <v>6.101</v>
      </c>
      <c r="G117" s="36">
        <v>6.32</v>
      </c>
      <c r="H117" s="36">
        <v>6.5069999999999997</v>
      </c>
      <c r="I117" s="36">
        <v>6.67</v>
      </c>
      <c r="J117" s="36">
        <v>6.8140000000000001</v>
      </c>
      <c r="K117" s="36">
        <v>6.9429999999999996</v>
      </c>
      <c r="L117" s="36">
        <v>7.06</v>
      </c>
      <c r="M117" s="36">
        <v>7.1660000000000004</v>
      </c>
      <c r="N117" s="36">
        <v>7.2649999999999997</v>
      </c>
      <c r="O117" s="36">
        <v>7.3559999999999999</v>
      </c>
      <c r="P117" s="36">
        <v>7.4409999999999998</v>
      </c>
      <c r="Q117" s="36">
        <v>7.52</v>
      </c>
      <c r="R117" s="36">
        <v>7.5940000000000003</v>
      </c>
      <c r="S117" s="36">
        <v>7.6639999999999997</v>
      </c>
      <c r="T117" s="286">
        <v>7.73</v>
      </c>
    </row>
    <row r="118" spans="1:20" x14ac:dyDescent="0.25">
      <c r="A118">
        <v>13</v>
      </c>
      <c r="B118" s="285">
        <v>4.26</v>
      </c>
      <c r="C118" s="36">
        <v>4.9640000000000004</v>
      </c>
      <c r="D118" s="36">
        <v>5.4039999999999999</v>
      </c>
      <c r="E118" s="36">
        <v>5.726</v>
      </c>
      <c r="F118" s="36">
        <v>5.9809999999999999</v>
      </c>
      <c r="G118" s="36">
        <v>6.1920000000000002</v>
      </c>
      <c r="H118" s="36">
        <v>6.3719999999999999</v>
      </c>
      <c r="I118" s="36">
        <v>6.5279999999999996</v>
      </c>
      <c r="J118" s="36">
        <v>6.6660000000000004</v>
      </c>
      <c r="K118" s="36">
        <v>6.7910000000000004</v>
      </c>
      <c r="L118" s="36">
        <v>6.9029999999999996</v>
      </c>
      <c r="M118" s="36">
        <v>7.0060000000000002</v>
      </c>
      <c r="N118" s="36">
        <v>7.1</v>
      </c>
      <c r="O118" s="36">
        <v>7.1879999999999997</v>
      </c>
      <c r="P118" s="36">
        <v>7.2690000000000001</v>
      </c>
      <c r="Q118" s="36">
        <v>7.3449999999999998</v>
      </c>
      <c r="R118" s="36">
        <v>7.4169999999999998</v>
      </c>
      <c r="S118" s="36">
        <v>7.484</v>
      </c>
      <c r="T118" s="286">
        <v>7.548</v>
      </c>
    </row>
    <row r="119" spans="1:20" x14ac:dyDescent="0.25">
      <c r="A119">
        <v>14</v>
      </c>
      <c r="B119" s="285">
        <v>4.21</v>
      </c>
      <c r="C119" s="36">
        <v>4.8949999999999996</v>
      </c>
      <c r="D119" s="36">
        <v>5.3220000000000001</v>
      </c>
      <c r="E119" s="36">
        <v>5.6340000000000003</v>
      </c>
      <c r="F119" s="36">
        <v>5.8810000000000002</v>
      </c>
      <c r="G119" s="36">
        <v>6.085</v>
      </c>
      <c r="H119" s="36">
        <v>6.258</v>
      </c>
      <c r="I119" s="36">
        <v>6.4089999999999998</v>
      </c>
      <c r="J119" s="36">
        <v>6.5430000000000001</v>
      </c>
      <c r="K119" s="36">
        <v>6.6630000000000003</v>
      </c>
      <c r="L119" s="36">
        <v>6.7720000000000002</v>
      </c>
      <c r="M119" s="36">
        <v>6.8710000000000004</v>
      </c>
      <c r="N119" s="36">
        <v>6.9619999999999997</v>
      </c>
      <c r="O119" s="36">
        <v>7.0469999999999997</v>
      </c>
      <c r="P119" s="36">
        <v>7.125</v>
      </c>
      <c r="Q119" s="36">
        <v>7.1989999999999998</v>
      </c>
      <c r="R119" s="36">
        <v>7.2679999999999998</v>
      </c>
      <c r="S119" s="36">
        <v>7.3330000000000002</v>
      </c>
      <c r="T119" s="286">
        <v>7.3940000000000001</v>
      </c>
    </row>
    <row r="120" spans="1:20" x14ac:dyDescent="0.25">
      <c r="A120">
        <v>15</v>
      </c>
      <c r="B120" s="285">
        <v>4.1669999999999998</v>
      </c>
      <c r="C120" s="36">
        <v>4.8360000000000003</v>
      </c>
      <c r="D120" s="36">
        <v>5.2519999999999998</v>
      </c>
      <c r="E120" s="36">
        <v>5.556</v>
      </c>
      <c r="F120" s="36">
        <v>5.7960000000000003</v>
      </c>
      <c r="G120" s="36">
        <v>5.9939999999999998</v>
      </c>
      <c r="H120" s="36">
        <v>6.1619999999999999</v>
      </c>
      <c r="I120" s="36">
        <v>6.3090000000000002</v>
      </c>
      <c r="J120" s="36">
        <v>6.4379999999999997</v>
      </c>
      <c r="K120" s="36">
        <v>6.5549999999999997</v>
      </c>
      <c r="L120" s="36">
        <v>6.66</v>
      </c>
      <c r="M120" s="36">
        <v>6.7560000000000002</v>
      </c>
      <c r="N120" s="36">
        <v>6.8449999999999998</v>
      </c>
      <c r="O120" s="36">
        <v>6.9269999999999996</v>
      </c>
      <c r="P120" s="36">
        <v>7.0030000000000001</v>
      </c>
      <c r="Q120" s="36">
        <v>7.0739999999999998</v>
      </c>
      <c r="R120" s="36">
        <v>7.141</v>
      </c>
      <c r="S120" s="36">
        <v>7.2039999999999997</v>
      </c>
      <c r="T120" s="286">
        <v>7.2640000000000002</v>
      </c>
    </row>
    <row r="121" spans="1:20" x14ac:dyDescent="0.25">
      <c r="A121">
        <v>16</v>
      </c>
      <c r="B121" s="285">
        <v>4.1310000000000002</v>
      </c>
      <c r="C121" s="36">
        <v>4.7859999999999996</v>
      </c>
      <c r="D121" s="36">
        <v>5.1920000000000002</v>
      </c>
      <c r="E121" s="36">
        <v>5.4889999999999999</v>
      </c>
      <c r="F121" s="36">
        <v>5.7220000000000004</v>
      </c>
      <c r="G121" s="36">
        <v>5.915</v>
      </c>
      <c r="H121" s="36">
        <v>6.0789999999999997</v>
      </c>
      <c r="I121" s="36">
        <v>6.2220000000000004</v>
      </c>
      <c r="J121" s="36">
        <v>6.3479999999999999</v>
      </c>
      <c r="K121" s="36">
        <v>6.4610000000000003</v>
      </c>
      <c r="L121" s="36">
        <v>6.5640000000000001</v>
      </c>
      <c r="M121" s="36">
        <v>6.6580000000000004</v>
      </c>
      <c r="N121" s="36">
        <v>6.7439999999999998</v>
      </c>
      <c r="O121" s="36">
        <v>6.8230000000000004</v>
      </c>
      <c r="P121" s="36">
        <v>6.8970000000000002</v>
      </c>
      <c r="Q121" s="36">
        <v>6.9669999999999996</v>
      </c>
      <c r="R121" s="36">
        <v>7.032</v>
      </c>
      <c r="S121" s="36">
        <v>7.093</v>
      </c>
      <c r="T121" s="286">
        <v>7.1509999999999998</v>
      </c>
    </row>
    <row r="122" spans="1:20" x14ac:dyDescent="0.25">
      <c r="A122">
        <v>17</v>
      </c>
      <c r="B122" s="285">
        <v>4.0990000000000002</v>
      </c>
      <c r="C122" s="36">
        <v>4.742</v>
      </c>
      <c r="D122" s="36">
        <v>5.14</v>
      </c>
      <c r="E122" s="36">
        <v>5.43</v>
      </c>
      <c r="F122" s="36">
        <v>5.6589999999999998</v>
      </c>
      <c r="G122" s="36">
        <v>5.8470000000000004</v>
      </c>
      <c r="H122" s="36">
        <v>6.0069999999999997</v>
      </c>
      <c r="I122" s="36">
        <v>6.1470000000000002</v>
      </c>
      <c r="J122" s="36">
        <v>6.27</v>
      </c>
      <c r="K122" s="36">
        <v>6.38</v>
      </c>
      <c r="L122" s="36">
        <v>6.48</v>
      </c>
      <c r="M122" s="36">
        <v>6.5720000000000001</v>
      </c>
      <c r="N122" s="36">
        <v>6.6559999999999997</v>
      </c>
      <c r="O122" s="36">
        <v>6.7329999999999997</v>
      </c>
      <c r="P122" s="36">
        <v>6.806</v>
      </c>
      <c r="Q122" s="36">
        <v>6.8730000000000002</v>
      </c>
      <c r="R122" s="36">
        <v>6.9370000000000003</v>
      </c>
      <c r="S122" s="36">
        <v>6.9969999999999999</v>
      </c>
      <c r="T122" s="286">
        <v>7.0529999999999999</v>
      </c>
    </row>
    <row r="123" spans="1:20" x14ac:dyDescent="0.25">
      <c r="A123">
        <v>18</v>
      </c>
      <c r="B123" s="285">
        <v>4.0709999999999997</v>
      </c>
      <c r="C123" s="36">
        <v>4.7030000000000003</v>
      </c>
      <c r="D123" s="36">
        <v>5.0940000000000003</v>
      </c>
      <c r="E123" s="36">
        <v>5.3789999999999996</v>
      </c>
      <c r="F123" s="36">
        <v>5.6029999999999998</v>
      </c>
      <c r="G123" s="36">
        <v>5.7869999999999999</v>
      </c>
      <c r="H123" s="36">
        <v>5.944</v>
      </c>
      <c r="I123" s="36">
        <v>6.0810000000000004</v>
      </c>
      <c r="J123" s="36">
        <v>6.2009999999999996</v>
      </c>
      <c r="K123" s="36">
        <v>6.3090000000000002</v>
      </c>
      <c r="L123" s="36">
        <v>6.407</v>
      </c>
      <c r="M123" s="36">
        <v>6.4960000000000004</v>
      </c>
      <c r="N123" s="36">
        <v>6.5789999999999997</v>
      </c>
      <c r="O123" s="36">
        <v>6.6550000000000002</v>
      </c>
      <c r="P123" s="36">
        <v>6.7249999999999996</v>
      </c>
      <c r="Q123" s="36">
        <v>6.7910000000000004</v>
      </c>
      <c r="R123" s="36">
        <v>6.8540000000000001</v>
      </c>
      <c r="S123" s="36">
        <v>6.9119999999999999</v>
      </c>
      <c r="T123" s="286">
        <v>6.9669999999999996</v>
      </c>
    </row>
    <row r="124" spans="1:20" x14ac:dyDescent="0.25">
      <c r="A124">
        <v>19</v>
      </c>
      <c r="B124" s="285">
        <v>4.0460000000000003</v>
      </c>
      <c r="C124" s="36">
        <v>4.6689999999999996</v>
      </c>
      <c r="D124" s="36">
        <v>5.0540000000000003</v>
      </c>
      <c r="E124" s="36">
        <v>5.3339999999999996</v>
      </c>
      <c r="F124" s="36">
        <v>5.5529999999999999</v>
      </c>
      <c r="G124" s="36">
        <v>5.7350000000000003</v>
      </c>
      <c r="H124" s="36">
        <v>5.8890000000000002</v>
      </c>
      <c r="I124" s="36">
        <v>6.0220000000000002</v>
      </c>
      <c r="J124" s="36">
        <v>6.141</v>
      </c>
      <c r="K124" s="36">
        <v>6.2460000000000004</v>
      </c>
      <c r="L124" s="36">
        <v>6.3419999999999996</v>
      </c>
      <c r="M124" s="36">
        <v>6.43</v>
      </c>
      <c r="N124" s="36">
        <v>6.51</v>
      </c>
      <c r="O124" s="36">
        <v>6.585</v>
      </c>
      <c r="P124" s="36">
        <v>6.6539999999999999</v>
      </c>
      <c r="Q124" s="36">
        <v>6.7190000000000003</v>
      </c>
      <c r="R124" s="36">
        <v>6.78</v>
      </c>
      <c r="S124" s="36">
        <v>6.8369999999999997</v>
      </c>
      <c r="T124" s="286">
        <v>6.891</v>
      </c>
    </row>
    <row r="125" spans="1:20" x14ac:dyDescent="0.25">
      <c r="A125">
        <v>20</v>
      </c>
      <c r="B125" s="285">
        <v>4.024</v>
      </c>
      <c r="C125" s="36">
        <v>4.6390000000000002</v>
      </c>
      <c r="D125" s="36">
        <v>5.0179999999999998</v>
      </c>
      <c r="E125" s="36">
        <v>5.2930000000000001</v>
      </c>
      <c r="F125" s="36">
        <v>5.51</v>
      </c>
      <c r="G125" s="36">
        <v>5.6879999999999997</v>
      </c>
      <c r="H125" s="36">
        <v>5.8390000000000004</v>
      </c>
      <c r="I125" s="36">
        <v>5.97</v>
      </c>
      <c r="J125" s="36">
        <v>6.0860000000000003</v>
      </c>
      <c r="K125" s="36">
        <v>6.19</v>
      </c>
      <c r="L125" s="36">
        <v>6.2850000000000001</v>
      </c>
      <c r="M125" s="36">
        <v>6.37</v>
      </c>
      <c r="N125" s="36">
        <v>6.4489999999999998</v>
      </c>
      <c r="O125" s="36">
        <v>6.5229999999999997</v>
      </c>
      <c r="P125" s="36">
        <v>6.5910000000000002</v>
      </c>
      <c r="Q125" s="36">
        <v>6.6539999999999999</v>
      </c>
      <c r="R125" s="36">
        <v>6.7140000000000004</v>
      </c>
      <c r="S125" s="36">
        <v>6.77</v>
      </c>
      <c r="T125" s="286">
        <v>6.8230000000000004</v>
      </c>
    </row>
    <row r="126" spans="1:20" x14ac:dyDescent="0.25">
      <c r="A126">
        <v>21</v>
      </c>
      <c r="B126" s="285">
        <v>4.0039999999999996</v>
      </c>
      <c r="C126" s="36">
        <v>4.6120000000000001</v>
      </c>
      <c r="D126" s="36">
        <v>4.9859999999999998</v>
      </c>
      <c r="E126" s="36">
        <v>5.2569999999999997</v>
      </c>
      <c r="F126" s="36">
        <v>5.47</v>
      </c>
      <c r="G126" s="36">
        <v>5.6459999999999999</v>
      </c>
      <c r="H126" s="36">
        <v>5.7939999999999996</v>
      </c>
      <c r="I126" s="36">
        <v>5.9240000000000004</v>
      </c>
      <c r="J126" s="36">
        <v>6.0380000000000003</v>
      </c>
      <c r="K126" s="36">
        <v>6.14</v>
      </c>
      <c r="L126" s="36">
        <v>6.2329999999999997</v>
      </c>
      <c r="M126" s="36">
        <v>6.3170000000000002</v>
      </c>
      <c r="N126" s="36">
        <v>6.3949999999999996</v>
      </c>
      <c r="O126" s="36">
        <v>6.4669999999999996</v>
      </c>
      <c r="P126" s="36">
        <v>6.5339999999999998</v>
      </c>
      <c r="Q126" s="36">
        <v>6.5960000000000001</v>
      </c>
      <c r="R126" s="36">
        <v>6.6550000000000002</v>
      </c>
      <c r="S126" s="36">
        <v>6.71</v>
      </c>
      <c r="T126" s="286">
        <v>6.7619999999999996</v>
      </c>
    </row>
    <row r="127" spans="1:20" x14ac:dyDescent="0.25">
      <c r="A127">
        <v>22</v>
      </c>
      <c r="B127" s="285">
        <v>3.9860000000000002</v>
      </c>
      <c r="C127" s="36">
        <v>4.5880000000000001</v>
      </c>
      <c r="D127" s="36">
        <v>4.9569999999999999</v>
      </c>
      <c r="E127" s="36">
        <v>5.2249999999999996</v>
      </c>
      <c r="F127" s="36">
        <v>5.4349999999999996</v>
      </c>
      <c r="G127" s="36">
        <v>5.6079999999999997</v>
      </c>
      <c r="H127" s="36">
        <v>5.7539999999999996</v>
      </c>
      <c r="I127" s="36">
        <v>5.8819999999999997</v>
      </c>
      <c r="J127" s="36">
        <v>5.9939999999999998</v>
      </c>
      <c r="K127" s="36">
        <v>6.0949999999999998</v>
      </c>
      <c r="L127" s="36">
        <v>6.1859999999999999</v>
      </c>
      <c r="M127" s="36">
        <v>6.2690000000000001</v>
      </c>
      <c r="N127" s="36">
        <v>6.3460000000000001</v>
      </c>
      <c r="O127" s="36">
        <v>6.4169999999999998</v>
      </c>
      <c r="P127" s="36">
        <v>6.4820000000000002</v>
      </c>
      <c r="Q127" s="36">
        <v>6.5439999999999996</v>
      </c>
      <c r="R127" s="36">
        <v>6.6020000000000003</v>
      </c>
      <c r="S127" s="36">
        <v>6.6559999999999997</v>
      </c>
      <c r="T127" s="286">
        <v>6.7069999999999999</v>
      </c>
    </row>
    <row r="128" spans="1:20" x14ac:dyDescent="0.25">
      <c r="A128">
        <v>23</v>
      </c>
      <c r="B128" s="285">
        <v>3.97</v>
      </c>
      <c r="C128" s="36">
        <v>4.5659999999999998</v>
      </c>
      <c r="D128" s="36">
        <v>4.931</v>
      </c>
      <c r="E128" s="36">
        <v>5.1950000000000003</v>
      </c>
      <c r="F128" s="36">
        <v>5.4029999999999996</v>
      </c>
      <c r="G128" s="36">
        <v>5.5730000000000004</v>
      </c>
      <c r="H128" s="36">
        <v>5.718</v>
      </c>
      <c r="I128" s="36">
        <v>5.8440000000000003</v>
      </c>
      <c r="J128" s="36">
        <v>5.9550000000000001</v>
      </c>
      <c r="K128" s="36">
        <v>6.0540000000000003</v>
      </c>
      <c r="L128" s="36">
        <v>6.1440000000000001</v>
      </c>
      <c r="M128" s="36">
        <v>6.226</v>
      </c>
      <c r="N128" s="36">
        <v>6.3010000000000002</v>
      </c>
      <c r="O128" s="36">
        <v>6.3710000000000004</v>
      </c>
      <c r="P128" s="36">
        <v>6.4359999999999999</v>
      </c>
      <c r="Q128" s="36">
        <v>6.4969999999999999</v>
      </c>
      <c r="R128" s="36">
        <v>6.5529999999999999</v>
      </c>
      <c r="S128" s="36">
        <v>6.6070000000000002</v>
      </c>
      <c r="T128" s="286">
        <v>6.6580000000000004</v>
      </c>
    </row>
    <row r="129" spans="1:20" x14ac:dyDescent="0.25">
      <c r="A129">
        <v>24</v>
      </c>
      <c r="B129" s="285">
        <v>3.9550000000000001</v>
      </c>
      <c r="C129" s="36">
        <v>4.5460000000000003</v>
      </c>
      <c r="D129" s="36">
        <v>4.907</v>
      </c>
      <c r="E129" s="36">
        <v>5.1680000000000001</v>
      </c>
      <c r="F129" s="36">
        <v>5.3730000000000002</v>
      </c>
      <c r="G129" s="36">
        <v>5.5419999999999998</v>
      </c>
      <c r="H129" s="36">
        <v>5.6849999999999996</v>
      </c>
      <c r="I129" s="36">
        <v>5.8090000000000002</v>
      </c>
      <c r="J129" s="36">
        <v>5.9189999999999996</v>
      </c>
      <c r="K129" s="36">
        <v>6.0170000000000003</v>
      </c>
      <c r="L129" s="36">
        <v>6.1050000000000004</v>
      </c>
      <c r="M129" s="36">
        <v>6.1859999999999999</v>
      </c>
      <c r="N129" s="36">
        <v>6.2610000000000001</v>
      </c>
      <c r="O129" s="36">
        <v>6.33</v>
      </c>
      <c r="P129" s="36">
        <v>6.3940000000000001</v>
      </c>
      <c r="Q129" s="36">
        <v>6.4530000000000003</v>
      </c>
      <c r="R129" s="36">
        <v>6.51</v>
      </c>
      <c r="S129" s="36">
        <v>6.5620000000000003</v>
      </c>
      <c r="T129" s="286">
        <v>6.6120000000000001</v>
      </c>
    </row>
    <row r="130" spans="1:20" x14ac:dyDescent="0.25">
      <c r="A130">
        <v>25</v>
      </c>
      <c r="B130" s="285">
        <v>3.9420000000000002</v>
      </c>
      <c r="C130" s="36">
        <v>4.5270000000000001</v>
      </c>
      <c r="D130" s="36">
        <v>4.8849999999999998</v>
      </c>
      <c r="E130" s="36">
        <v>5.1440000000000001</v>
      </c>
      <c r="F130" s="36">
        <v>5.3470000000000004</v>
      </c>
      <c r="G130" s="36">
        <v>5.5129999999999999</v>
      </c>
      <c r="H130" s="36">
        <v>5.6550000000000002</v>
      </c>
      <c r="I130" s="36">
        <v>5.7779999999999996</v>
      </c>
      <c r="J130" s="36">
        <v>5.8860000000000001</v>
      </c>
      <c r="K130" s="36">
        <v>5.9829999999999997</v>
      </c>
      <c r="L130" s="36">
        <v>6.07</v>
      </c>
      <c r="M130" s="36">
        <v>6.15</v>
      </c>
      <c r="N130" s="36">
        <v>6.2240000000000002</v>
      </c>
      <c r="O130" s="36">
        <v>6.2919999999999998</v>
      </c>
      <c r="P130" s="36">
        <v>6.3550000000000004</v>
      </c>
      <c r="Q130" s="36">
        <v>6.4139999999999997</v>
      </c>
      <c r="R130" s="36">
        <v>6.4690000000000003</v>
      </c>
      <c r="S130" s="36">
        <v>6.5220000000000002</v>
      </c>
      <c r="T130" s="286">
        <v>6.5709999999999997</v>
      </c>
    </row>
    <row r="131" spans="1:20" x14ac:dyDescent="0.25">
      <c r="A131">
        <v>26</v>
      </c>
      <c r="B131" s="285">
        <v>3.93</v>
      </c>
      <c r="C131" s="36">
        <v>4.51</v>
      </c>
      <c r="D131" s="36">
        <v>4.8650000000000002</v>
      </c>
      <c r="E131" s="36">
        <v>5.1210000000000004</v>
      </c>
      <c r="F131" s="36">
        <v>5.3220000000000001</v>
      </c>
      <c r="G131" s="36">
        <v>5.4870000000000001</v>
      </c>
      <c r="H131" s="36">
        <v>5.6269999999999998</v>
      </c>
      <c r="I131" s="36">
        <v>5.7489999999999997</v>
      </c>
      <c r="J131" s="36">
        <v>5.8559999999999999</v>
      </c>
      <c r="K131" s="36">
        <v>5.9509999999999996</v>
      </c>
      <c r="L131" s="36">
        <v>6.0380000000000003</v>
      </c>
      <c r="M131" s="36">
        <v>6.117</v>
      </c>
      <c r="N131" s="36">
        <v>6.19</v>
      </c>
      <c r="O131" s="36">
        <v>6.2569999999999997</v>
      </c>
      <c r="P131" s="36">
        <v>6.319</v>
      </c>
      <c r="Q131" s="36">
        <v>6.3780000000000001</v>
      </c>
      <c r="R131" s="36">
        <v>6.4320000000000004</v>
      </c>
      <c r="S131" s="36">
        <v>6.484</v>
      </c>
      <c r="T131" s="286">
        <v>6.5330000000000004</v>
      </c>
    </row>
    <row r="132" spans="1:20" x14ac:dyDescent="0.25">
      <c r="A132">
        <v>27</v>
      </c>
      <c r="B132" s="285">
        <v>3.9180000000000001</v>
      </c>
      <c r="C132" s="36">
        <v>4.4950000000000001</v>
      </c>
      <c r="D132" s="36">
        <v>4.8470000000000004</v>
      </c>
      <c r="E132" s="36">
        <v>5.101</v>
      </c>
      <c r="F132" s="36">
        <v>5.3</v>
      </c>
      <c r="G132" s="36">
        <v>5.4630000000000001</v>
      </c>
      <c r="H132" s="36">
        <v>5.6020000000000003</v>
      </c>
      <c r="I132" s="36">
        <v>5.7220000000000004</v>
      </c>
      <c r="J132" s="36">
        <v>5.8280000000000003</v>
      </c>
      <c r="K132" s="36">
        <v>5.923</v>
      </c>
      <c r="L132" s="36">
        <v>6.008</v>
      </c>
      <c r="M132" s="36">
        <v>6.0869999999999997</v>
      </c>
      <c r="N132" s="36">
        <v>6.1580000000000004</v>
      </c>
      <c r="O132" s="36">
        <v>6.2249999999999996</v>
      </c>
      <c r="P132" s="36">
        <v>6.2869999999999999</v>
      </c>
      <c r="Q132" s="36">
        <v>6.3440000000000003</v>
      </c>
      <c r="R132" s="36">
        <v>6.399</v>
      </c>
      <c r="S132" s="36">
        <v>6.45</v>
      </c>
      <c r="T132" s="286">
        <v>6.4980000000000002</v>
      </c>
    </row>
    <row r="133" spans="1:20" x14ac:dyDescent="0.25">
      <c r="A133">
        <v>28</v>
      </c>
      <c r="B133" s="285">
        <v>3.9079999999999999</v>
      </c>
      <c r="C133" s="36">
        <v>4.4809999999999999</v>
      </c>
      <c r="D133" s="36">
        <v>4.83</v>
      </c>
      <c r="E133" s="36">
        <v>5.0819999999999999</v>
      </c>
      <c r="F133" s="36">
        <v>5.2789999999999999</v>
      </c>
      <c r="G133" s="36">
        <v>5.4409999999999998</v>
      </c>
      <c r="H133" s="36">
        <v>5.5780000000000003</v>
      </c>
      <c r="I133" s="36">
        <v>5.6970000000000001</v>
      </c>
      <c r="J133" s="36">
        <v>5.8019999999999996</v>
      </c>
      <c r="K133" s="36">
        <v>5.8959999999999999</v>
      </c>
      <c r="L133" s="36">
        <v>5.9809999999999999</v>
      </c>
      <c r="M133" s="36">
        <v>6.0579999999999998</v>
      </c>
      <c r="N133" s="36">
        <v>6.1289999999999996</v>
      </c>
      <c r="O133" s="36">
        <v>6.1950000000000003</v>
      </c>
      <c r="P133" s="36">
        <v>6.2560000000000002</v>
      </c>
      <c r="Q133" s="36">
        <v>6.3140000000000001</v>
      </c>
      <c r="R133" s="36">
        <v>6.367</v>
      </c>
      <c r="S133" s="36">
        <v>6.4180000000000001</v>
      </c>
      <c r="T133" s="286">
        <v>6.4649999999999999</v>
      </c>
    </row>
    <row r="134" spans="1:20" x14ac:dyDescent="0.25">
      <c r="A134">
        <v>29</v>
      </c>
      <c r="B134" s="285">
        <v>3.8980000000000001</v>
      </c>
      <c r="C134" s="36">
        <v>4.4669999999999996</v>
      </c>
      <c r="D134" s="36">
        <v>4.8140000000000001</v>
      </c>
      <c r="E134" s="36">
        <v>5.0640000000000001</v>
      </c>
      <c r="F134" s="36">
        <v>5.26</v>
      </c>
      <c r="G134" s="36">
        <v>5.42</v>
      </c>
      <c r="H134" s="36">
        <v>5.556</v>
      </c>
      <c r="I134" s="36">
        <v>5.6740000000000004</v>
      </c>
      <c r="J134" s="36">
        <v>5.7779999999999996</v>
      </c>
      <c r="K134" s="36">
        <v>5.8710000000000004</v>
      </c>
      <c r="L134" s="36">
        <v>5.9550000000000001</v>
      </c>
      <c r="M134" s="36">
        <v>6.032</v>
      </c>
      <c r="N134" s="36">
        <v>6.1029999999999998</v>
      </c>
      <c r="O134" s="36">
        <v>6.1680000000000001</v>
      </c>
      <c r="P134" s="36">
        <v>6.2279999999999998</v>
      </c>
      <c r="Q134" s="36">
        <v>6.2850000000000001</v>
      </c>
      <c r="R134" s="36">
        <v>6.3380000000000001</v>
      </c>
      <c r="S134" s="36">
        <v>6.3879999999999999</v>
      </c>
      <c r="T134" s="286">
        <v>6.4349999999999996</v>
      </c>
    </row>
    <row r="135" spans="1:20" x14ac:dyDescent="0.25">
      <c r="A135">
        <v>30</v>
      </c>
      <c r="B135" s="285">
        <v>3.8889999999999998</v>
      </c>
      <c r="C135" s="36">
        <v>4.4550000000000001</v>
      </c>
      <c r="D135" s="36">
        <v>4.7990000000000004</v>
      </c>
      <c r="E135" s="36">
        <v>5.048</v>
      </c>
      <c r="F135" s="36">
        <v>5.242</v>
      </c>
      <c r="G135" s="36">
        <v>5.4009999999999998</v>
      </c>
      <c r="H135" s="36">
        <v>5.5359999999999996</v>
      </c>
      <c r="I135" s="36">
        <v>5.6529999999999996</v>
      </c>
      <c r="J135" s="36">
        <v>5.7560000000000002</v>
      </c>
      <c r="K135" s="36">
        <v>5.8479999999999999</v>
      </c>
      <c r="L135" s="36">
        <v>5.9320000000000004</v>
      </c>
      <c r="M135" s="36">
        <v>6.008</v>
      </c>
      <c r="N135" s="36">
        <v>6.0780000000000003</v>
      </c>
      <c r="O135" s="36">
        <v>6.1420000000000003</v>
      </c>
      <c r="P135" s="36">
        <v>6.202</v>
      </c>
      <c r="Q135" s="36">
        <v>6.258</v>
      </c>
      <c r="R135" s="36">
        <v>6.3109999999999999</v>
      </c>
      <c r="S135" s="36">
        <v>6.3609999999999998</v>
      </c>
      <c r="T135" s="286">
        <v>6.407</v>
      </c>
    </row>
    <row r="136" spans="1:20" x14ac:dyDescent="0.25">
      <c r="A136">
        <v>31</v>
      </c>
      <c r="B136" s="285">
        <v>3.8809999999999998</v>
      </c>
      <c r="C136" s="36">
        <v>4.4429999999999996</v>
      </c>
      <c r="D136" s="36">
        <v>4.7859999999999996</v>
      </c>
      <c r="E136" s="36">
        <v>5.032</v>
      </c>
      <c r="F136" s="36">
        <v>5.2249999999999996</v>
      </c>
      <c r="G136" s="36">
        <v>5.383</v>
      </c>
      <c r="H136" s="36">
        <v>5.5170000000000003</v>
      </c>
      <c r="I136" s="36">
        <v>5.633</v>
      </c>
      <c r="J136" s="36">
        <v>5.7359999999999998</v>
      </c>
      <c r="K136" s="36">
        <v>5.827</v>
      </c>
      <c r="L136" s="36">
        <v>5.91</v>
      </c>
      <c r="M136" s="36">
        <v>5.9850000000000003</v>
      </c>
      <c r="N136" s="36">
        <v>6.0549999999999997</v>
      </c>
      <c r="O136" s="36">
        <v>6.1189999999999998</v>
      </c>
      <c r="P136" s="36">
        <v>6.1779999999999999</v>
      </c>
      <c r="Q136" s="36">
        <v>6.234</v>
      </c>
      <c r="R136" s="36">
        <v>6.2859999999999996</v>
      </c>
      <c r="S136" s="36">
        <v>6.335</v>
      </c>
      <c r="T136" s="286">
        <v>6.3810000000000002</v>
      </c>
    </row>
    <row r="137" spans="1:20" x14ac:dyDescent="0.25">
      <c r="A137">
        <v>32</v>
      </c>
      <c r="B137" s="285">
        <v>3.8730000000000002</v>
      </c>
      <c r="C137" s="36">
        <v>4.4329999999999998</v>
      </c>
      <c r="D137" s="36">
        <v>4.7729999999999997</v>
      </c>
      <c r="E137" s="36">
        <v>5.0179999999999998</v>
      </c>
      <c r="F137" s="36">
        <v>5.21</v>
      </c>
      <c r="G137" s="36">
        <v>5.367</v>
      </c>
      <c r="H137" s="36">
        <v>5.5</v>
      </c>
      <c r="I137" s="36">
        <v>5.6150000000000002</v>
      </c>
      <c r="J137" s="36">
        <v>5.7160000000000002</v>
      </c>
      <c r="K137" s="36">
        <v>5.8070000000000004</v>
      </c>
      <c r="L137" s="36">
        <v>5.8890000000000002</v>
      </c>
      <c r="M137" s="36">
        <v>5.9640000000000004</v>
      </c>
      <c r="N137" s="36">
        <v>6.0330000000000004</v>
      </c>
      <c r="O137" s="36">
        <v>6.0960000000000001</v>
      </c>
      <c r="P137" s="36">
        <v>6.1550000000000002</v>
      </c>
      <c r="Q137" s="36">
        <v>6.2110000000000003</v>
      </c>
      <c r="R137" s="36">
        <v>6.2619999999999996</v>
      </c>
      <c r="S137" s="36">
        <v>6.3109999999999999</v>
      </c>
      <c r="T137" s="286">
        <v>6.3570000000000002</v>
      </c>
    </row>
    <row r="138" spans="1:20" x14ac:dyDescent="0.25">
      <c r="A138">
        <v>33</v>
      </c>
      <c r="B138" s="285">
        <v>3.8650000000000002</v>
      </c>
      <c r="C138" s="36">
        <v>4.423</v>
      </c>
      <c r="D138" s="36">
        <v>4.7610000000000001</v>
      </c>
      <c r="E138" s="36">
        <v>5.0049999999999999</v>
      </c>
      <c r="F138" s="36">
        <v>5.1950000000000003</v>
      </c>
      <c r="G138" s="36">
        <v>5.351</v>
      </c>
      <c r="H138" s="36">
        <v>5.4829999999999997</v>
      </c>
      <c r="I138" s="36">
        <v>5.5979999999999999</v>
      </c>
      <c r="J138" s="36">
        <v>5.6980000000000004</v>
      </c>
      <c r="K138" s="36">
        <v>5.7889999999999997</v>
      </c>
      <c r="L138" s="36">
        <v>5.87</v>
      </c>
      <c r="M138" s="36">
        <v>5.944</v>
      </c>
      <c r="N138" s="36">
        <v>6.0129999999999999</v>
      </c>
      <c r="O138" s="36">
        <v>6.0759999999999996</v>
      </c>
      <c r="P138" s="36">
        <v>6.1340000000000003</v>
      </c>
      <c r="Q138" s="36">
        <v>6.1890000000000001</v>
      </c>
      <c r="R138" s="36">
        <v>6.24</v>
      </c>
      <c r="S138" s="36">
        <v>6.2889999999999997</v>
      </c>
      <c r="T138" s="286">
        <v>6.3339999999999996</v>
      </c>
    </row>
    <row r="139" spans="1:20" x14ac:dyDescent="0.25">
      <c r="A139">
        <v>34</v>
      </c>
      <c r="B139" s="285">
        <v>3.859</v>
      </c>
      <c r="C139" s="36">
        <v>4.4130000000000003</v>
      </c>
      <c r="D139" s="36">
        <v>4.75</v>
      </c>
      <c r="E139" s="36">
        <v>4.992</v>
      </c>
      <c r="F139" s="36">
        <v>5.181</v>
      </c>
      <c r="G139" s="36">
        <v>5.3360000000000003</v>
      </c>
      <c r="H139" s="36">
        <v>5.468</v>
      </c>
      <c r="I139" s="36">
        <v>5.5810000000000004</v>
      </c>
      <c r="J139" s="36">
        <v>5.6820000000000004</v>
      </c>
      <c r="K139" s="36">
        <v>5.7709999999999999</v>
      </c>
      <c r="L139" s="36">
        <v>5.8520000000000003</v>
      </c>
      <c r="M139" s="36">
        <v>5.9260000000000002</v>
      </c>
      <c r="N139" s="36">
        <v>5.9939999999999998</v>
      </c>
      <c r="O139" s="36">
        <v>6.056</v>
      </c>
      <c r="P139" s="36">
        <v>6.1139999999999999</v>
      </c>
      <c r="Q139" s="36">
        <v>6.1689999999999996</v>
      </c>
      <c r="R139" s="36">
        <v>6.22</v>
      </c>
      <c r="S139" s="36">
        <v>6.2679999999999998</v>
      </c>
      <c r="T139" s="286">
        <v>6.3129999999999997</v>
      </c>
    </row>
    <row r="140" spans="1:20" x14ac:dyDescent="0.25">
      <c r="A140">
        <v>35</v>
      </c>
      <c r="B140" s="285">
        <v>3.8519999999999999</v>
      </c>
      <c r="C140" s="36">
        <v>4.4039999999999999</v>
      </c>
      <c r="D140" s="36">
        <v>4.7389999999999999</v>
      </c>
      <c r="E140" s="36">
        <v>4.9800000000000004</v>
      </c>
      <c r="F140" s="36">
        <v>5.1689999999999996</v>
      </c>
      <c r="G140" s="36">
        <v>5.3230000000000004</v>
      </c>
      <c r="H140" s="36">
        <v>5.4530000000000003</v>
      </c>
      <c r="I140" s="36">
        <v>5.5659999999999998</v>
      </c>
      <c r="J140" s="36">
        <v>5.6660000000000004</v>
      </c>
      <c r="K140" s="36">
        <v>5.7549999999999999</v>
      </c>
      <c r="L140" s="36">
        <v>5.835</v>
      </c>
      <c r="M140" s="36">
        <v>5.9080000000000004</v>
      </c>
      <c r="N140" s="36">
        <v>5.976</v>
      </c>
      <c r="O140" s="36">
        <v>6.0380000000000003</v>
      </c>
      <c r="P140" s="36">
        <v>6.0960000000000001</v>
      </c>
      <c r="Q140" s="36">
        <v>6.15</v>
      </c>
      <c r="R140" s="36">
        <v>6.2</v>
      </c>
      <c r="S140" s="36">
        <v>6.2480000000000002</v>
      </c>
      <c r="T140" s="286">
        <v>6.2930000000000001</v>
      </c>
    </row>
    <row r="141" spans="1:20" x14ac:dyDescent="0.25">
      <c r="A141">
        <v>36</v>
      </c>
      <c r="B141" s="285">
        <v>3.8460000000000001</v>
      </c>
      <c r="C141" s="36">
        <v>4.3959999999999999</v>
      </c>
      <c r="D141" s="36">
        <v>4.7290000000000001</v>
      </c>
      <c r="E141" s="36">
        <v>4.9690000000000003</v>
      </c>
      <c r="F141" s="36">
        <v>5.1559999999999997</v>
      </c>
      <c r="G141" s="36">
        <v>5.31</v>
      </c>
      <c r="H141" s="36">
        <v>5.4390000000000001</v>
      </c>
      <c r="I141" s="36">
        <v>5.5519999999999996</v>
      </c>
      <c r="J141" s="36">
        <v>5.6509999999999998</v>
      </c>
      <c r="K141" s="36">
        <v>5.7389999999999999</v>
      </c>
      <c r="L141" s="36">
        <v>5.819</v>
      </c>
      <c r="M141" s="36">
        <v>5.8920000000000003</v>
      </c>
      <c r="N141" s="36">
        <v>5.9589999999999996</v>
      </c>
      <c r="O141" s="36">
        <v>6.0209999999999999</v>
      </c>
      <c r="P141" s="36">
        <v>6.0780000000000003</v>
      </c>
      <c r="Q141" s="36">
        <v>6.1319999999999997</v>
      </c>
      <c r="R141" s="36">
        <v>6.1820000000000004</v>
      </c>
      <c r="S141" s="36">
        <v>6.2290000000000001</v>
      </c>
      <c r="T141" s="286">
        <v>6.274</v>
      </c>
    </row>
    <row r="142" spans="1:20" x14ac:dyDescent="0.25">
      <c r="A142">
        <v>37</v>
      </c>
      <c r="B142" s="285">
        <v>3.84</v>
      </c>
      <c r="C142" s="36">
        <v>4.3879999999999999</v>
      </c>
      <c r="D142" s="36">
        <v>4.72</v>
      </c>
      <c r="E142" s="36">
        <v>4.9589999999999996</v>
      </c>
      <c r="F142" s="36">
        <v>5.1449999999999996</v>
      </c>
      <c r="G142" s="36">
        <v>5.298</v>
      </c>
      <c r="H142" s="36">
        <v>5.4269999999999996</v>
      </c>
      <c r="I142" s="36">
        <v>5.5380000000000003</v>
      </c>
      <c r="J142" s="36">
        <v>5.6369999999999996</v>
      </c>
      <c r="K142" s="36">
        <v>5.7249999999999996</v>
      </c>
      <c r="L142" s="36">
        <v>5.8040000000000003</v>
      </c>
      <c r="M142" s="36">
        <v>5.8760000000000003</v>
      </c>
      <c r="N142" s="36">
        <v>5.9429999999999996</v>
      </c>
      <c r="O142" s="36">
        <v>6.0039999999999996</v>
      </c>
      <c r="P142" s="36">
        <v>6.0609999999999999</v>
      </c>
      <c r="Q142" s="36">
        <v>6.1150000000000002</v>
      </c>
      <c r="R142" s="36">
        <v>6.165</v>
      </c>
      <c r="S142" s="36">
        <v>6.2119999999999997</v>
      </c>
      <c r="T142" s="286">
        <v>6.2560000000000002</v>
      </c>
    </row>
    <row r="143" spans="1:20" x14ac:dyDescent="0.25">
      <c r="A143">
        <v>38</v>
      </c>
      <c r="B143" s="285">
        <v>3.835</v>
      </c>
      <c r="C143" s="36">
        <v>4.3810000000000002</v>
      </c>
      <c r="D143" s="36">
        <v>4.7110000000000003</v>
      </c>
      <c r="E143" s="36">
        <v>4.9489999999999998</v>
      </c>
      <c r="F143" s="36">
        <v>5.1340000000000003</v>
      </c>
      <c r="G143" s="36">
        <v>5.2859999999999996</v>
      </c>
      <c r="H143" s="36">
        <v>5.4139999999999997</v>
      </c>
      <c r="I143" s="36">
        <v>5.5259999999999998</v>
      </c>
      <c r="J143" s="36">
        <v>5.6230000000000002</v>
      </c>
      <c r="K143" s="36">
        <v>5.7110000000000003</v>
      </c>
      <c r="L143" s="36">
        <v>5.79</v>
      </c>
      <c r="M143" s="36">
        <v>5.8620000000000001</v>
      </c>
      <c r="N143" s="36">
        <v>5.9279999999999999</v>
      </c>
      <c r="O143" s="36">
        <v>5.9889999999999999</v>
      </c>
      <c r="P143" s="36">
        <v>6.0460000000000003</v>
      </c>
      <c r="Q143" s="36">
        <v>6.0990000000000002</v>
      </c>
      <c r="R143" s="36">
        <v>6.1479999999999997</v>
      </c>
      <c r="S143" s="36">
        <v>6.1950000000000003</v>
      </c>
      <c r="T143" s="286">
        <v>6.2389999999999999</v>
      </c>
    </row>
    <row r="144" spans="1:20" x14ac:dyDescent="0.25">
      <c r="A144">
        <v>39</v>
      </c>
      <c r="B144" s="285">
        <v>3.83</v>
      </c>
      <c r="C144" s="36">
        <v>4.3739999999999997</v>
      </c>
      <c r="D144" s="36">
        <v>4.7030000000000003</v>
      </c>
      <c r="E144" s="36">
        <v>4.9400000000000004</v>
      </c>
      <c r="F144" s="36">
        <v>5.1239999999999997</v>
      </c>
      <c r="G144" s="36">
        <v>5.2750000000000004</v>
      </c>
      <c r="H144" s="36">
        <v>5.4029999999999996</v>
      </c>
      <c r="I144" s="36">
        <v>5.5129999999999999</v>
      </c>
      <c r="J144" s="36">
        <v>5.6109999999999998</v>
      </c>
      <c r="K144" s="36">
        <v>5.6980000000000004</v>
      </c>
      <c r="L144" s="36">
        <v>5.7759999999999998</v>
      </c>
      <c r="M144" s="36">
        <v>5.8479999999999999</v>
      </c>
      <c r="N144" s="36">
        <v>5.9139999999999997</v>
      </c>
      <c r="O144" s="36">
        <v>5.9740000000000002</v>
      </c>
      <c r="P144" s="36">
        <v>6.0309999999999997</v>
      </c>
      <c r="Q144" s="36">
        <v>6.0839999999999996</v>
      </c>
      <c r="R144" s="36">
        <v>6.133</v>
      </c>
      <c r="S144" s="36">
        <v>6.1790000000000003</v>
      </c>
      <c r="T144" s="286">
        <v>6.2229999999999999</v>
      </c>
    </row>
    <row r="145" spans="1:20" x14ac:dyDescent="0.25">
      <c r="A145">
        <v>40</v>
      </c>
      <c r="B145" s="285">
        <v>3.8250000000000002</v>
      </c>
      <c r="C145" s="36">
        <v>4.367</v>
      </c>
      <c r="D145" s="36">
        <v>4.6950000000000003</v>
      </c>
      <c r="E145" s="36">
        <v>4.931</v>
      </c>
      <c r="F145" s="36">
        <v>5.1139999999999999</v>
      </c>
      <c r="G145" s="36">
        <v>5.2649999999999997</v>
      </c>
      <c r="H145" s="36">
        <v>5.3920000000000003</v>
      </c>
      <c r="I145" s="36">
        <v>5.5019999999999998</v>
      </c>
      <c r="J145" s="36">
        <v>5.5990000000000002</v>
      </c>
      <c r="K145" s="36">
        <v>5.6849999999999996</v>
      </c>
      <c r="L145" s="36">
        <v>5.7640000000000002</v>
      </c>
      <c r="M145" s="36">
        <v>5.835</v>
      </c>
      <c r="N145" s="36">
        <v>5.9</v>
      </c>
      <c r="O145" s="36">
        <v>5.9610000000000003</v>
      </c>
      <c r="P145" s="36">
        <v>6.0170000000000003</v>
      </c>
      <c r="Q145" s="36">
        <v>6.069</v>
      </c>
      <c r="R145" s="36">
        <v>6.1180000000000003</v>
      </c>
      <c r="S145" s="36">
        <v>6.165</v>
      </c>
      <c r="T145" s="286">
        <v>6.2080000000000002</v>
      </c>
    </row>
    <row r="146" spans="1:20" x14ac:dyDescent="0.25">
      <c r="A146">
        <v>48</v>
      </c>
      <c r="B146" s="285">
        <v>3.7930000000000001</v>
      </c>
      <c r="C146" s="36">
        <v>4.3239999999999998</v>
      </c>
      <c r="D146" s="36">
        <v>4.6440000000000001</v>
      </c>
      <c r="E146" s="36">
        <v>4.8739999999999997</v>
      </c>
      <c r="F146" s="36">
        <v>5.0519999999999996</v>
      </c>
      <c r="G146" s="36">
        <v>5.1980000000000004</v>
      </c>
      <c r="H146" s="36">
        <v>5.3220000000000001</v>
      </c>
      <c r="I146" s="36">
        <v>5.4279999999999999</v>
      </c>
      <c r="J146" s="36">
        <v>5.5220000000000002</v>
      </c>
      <c r="K146" s="36">
        <v>5.6059999999999999</v>
      </c>
      <c r="L146" s="36">
        <v>5.681</v>
      </c>
      <c r="M146" s="36">
        <v>5.75</v>
      </c>
      <c r="N146" s="36">
        <v>5.8140000000000001</v>
      </c>
      <c r="O146" s="36">
        <v>5.8719999999999999</v>
      </c>
      <c r="P146" s="36">
        <v>5.9260000000000002</v>
      </c>
      <c r="Q146" s="36">
        <v>5.9770000000000003</v>
      </c>
      <c r="R146" s="36">
        <v>6.024</v>
      </c>
      <c r="S146" s="36">
        <v>6.069</v>
      </c>
      <c r="T146" s="286">
        <v>6.1109999999999998</v>
      </c>
    </row>
    <row r="147" spans="1:20" x14ac:dyDescent="0.25">
      <c r="A147">
        <v>60</v>
      </c>
      <c r="B147" s="285">
        <v>3.762</v>
      </c>
      <c r="C147" s="36">
        <v>4.282</v>
      </c>
      <c r="D147" s="36">
        <v>4.5940000000000003</v>
      </c>
      <c r="E147" s="36">
        <v>4.8179999999999996</v>
      </c>
      <c r="F147" s="36">
        <v>4.9909999999999997</v>
      </c>
      <c r="G147" s="36">
        <v>5.133</v>
      </c>
      <c r="H147" s="36">
        <v>5.2530000000000001</v>
      </c>
      <c r="I147" s="36">
        <v>5.3559999999999999</v>
      </c>
      <c r="J147" s="36">
        <v>5.4470000000000001</v>
      </c>
      <c r="K147" s="36">
        <v>5.5279999999999996</v>
      </c>
      <c r="L147" s="36">
        <v>5.601</v>
      </c>
      <c r="M147" s="36">
        <v>5.6669999999999998</v>
      </c>
      <c r="N147" s="36">
        <v>5.7279999999999998</v>
      </c>
      <c r="O147" s="36">
        <v>5.7839999999999998</v>
      </c>
      <c r="P147" s="36">
        <v>5.8369999999999997</v>
      </c>
      <c r="Q147" s="36">
        <v>5.8860000000000001</v>
      </c>
      <c r="R147" s="36">
        <v>5.931</v>
      </c>
      <c r="S147" s="36">
        <v>5.9740000000000002</v>
      </c>
      <c r="T147" s="286">
        <v>6.0149999999999997</v>
      </c>
    </row>
    <row r="148" spans="1:20" x14ac:dyDescent="0.25">
      <c r="A148">
        <v>80</v>
      </c>
      <c r="B148" s="285">
        <v>3.7320000000000002</v>
      </c>
      <c r="C148" s="36">
        <v>4.2409999999999997</v>
      </c>
      <c r="D148" s="36">
        <v>4.5449999999999999</v>
      </c>
      <c r="E148" s="36">
        <v>4.7629999999999999</v>
      </c>
      <c r="F148" s="36">
        <v>4.931</v>
      </c>
      <c r="G148" s="36">
        <v>5.069</v>
      </c>
      <c r="H148" s="36">
        <v>5.1849999999999996</v>
      </c>
      <c r="I148" s="36">
        <v>5.2839999999999998</v>
      </c>
      <c r="J148" s="36">
        <v>5.3719999999999999</v>
      </c>
      <c r="K148" s="36">
        <v>5.4509999999999996</v>
      </c>
      <c r="L148" s="36">
        <v>5.5209999999999999</v>
      </c>
      <c r="M148" s="36">
        <v>5.585</v>
      </c>
      <c r="N148" s="36">
        <v>5.6440000000000001</v>
      </c>
      <c r="O148" s="36">
        <v>5.6980000000000004</v>
      </c>
      <c r="P148" s="36">
        <v>5.7489999999999997</v>
      </c>
      <c r="Q148" s="36">
        <v>5.7960000000000003</v>
      </c>
      <c r="R148" s="36">
        <v>5.84</v>
      </c>
      <c r="S148" s="36">
        <v>5.8810000000000002</v>
      </c>
      <c r="T148" s="286">
        <v>5.92</v>
      </c>
    </row>
    <row r="149" spans="1:20" x14ac:dyDescent="0.25">
      <c r="A149">
        <v>120</v>
      </c>
      <c r="B149" s="285">
        <v>3.702</v>
      </c>
      <c r="C149" s="36">
        <v>4.2</v>
      </c>
      <c r="D149" s="36">
        <v>4.4969999999999999</v>
      </c>
      <c r="E149" s="36">
        <v>4.7089999999999996</v>
      </c>
      <c r="F149" s="36">
        <v>4.8719999999999999</v>
      </c>
      <c r="G149" s="36">
        <v>5.0049999999999999</v>
      </c>
      <c r="H149" s="36">
        <v>5.1180000000000003</v>
      </c>
      <c r="I149" s="36">
        <v>5.2140000000000004</v>
      </c>
      <c r="J149" s="36">
        <v>5.2990000000000004</v>
      </c>
      <c r="K149" s="36">
        <v>5.375</v>
      </c>
      <c r="L149" s="36">
        <v>5.4429999999999996</v>
      </c>
      <c r="M149" s="36">
        <v>5.5049999999999999</v>
      </c>
      <c r="N149" s="36">
        <v>5.5609999999999999</v>
      </c>
      <c r="O149" s="36">
        <v>5.6139999999999999</v>
      </c>
      <c r="P149" s="36">
        <v>5.6619999999999999</v>
      </c>
      <c r="Q149" s="36">
        <v>5.7080000000000002</v>
      </c>
      <c r="R149" s="36">
        <v>5.75</v>
      </c>
      <c r="S149" s="36">
        <v>5.79</v>
      </c>
      <c r="T149" s="286">
        <v>5.827</v>
      </c>
    </row>
    <row r="150" spans="1:20" x14ac:dyDescent="0.25">
      <c r="A150">
        <v>240</v>
      </c>
      <c r="B150" s="285">
        <v>3.6720000000000002</v>
      </c>
      <c r="C150" s="36">
        <v>4.16</v>
      </c>
      <c r="D150" s="36">
        <v>4.45</v>
      </c>
      <c r="E150" s="36">
        <v>4.6550000000000002</v>
      </c>
      <c r="F150" s="36">
        <v>4.8140000000000001</v>
      </c>
      <c r="G150" s="36">
        <v>4.9429999999999996</v>
      </c>
      <c r="H150" s="36">
        <v>5.0519999999999996</v>
      </c>
      <c r="I150" s="36">
        <v>5.1449999999999996</v>
      </c>
      <c r="J150" s="36">
        <v>5.2270000000000003</v>
      </c>
      <c r="K150" s="36">
        <v>5.3</v>
      </c>
      <c r="L150" s="36">
        <v>5.3659999999999997</v>
      </c>
      <c r="M150" s="36">
        <v>5.4260000000000002</v>
      </c>
      <c r="N150" s="36">
        <v>5.48</v>
      </c>
      <c r="O150" s="36">
        <v>5.53</v>
      </c>
      <c r="P150" s="36">
        <v>5.577</v>
      </c>
      <c r="Q150" s="36">
        <v>5.6210000000000004</v>
      </c>
      <c r="R150" s="36">
        <v>5.6609999999999996</v>
      </c>
      <c r="S150" s="36">
        <v>5.6989999999999998</v>
      </c>
      <c r="T150" s="286">
        <v>5.7350000000000003</v>
      </c>
    </row>
    <row r="151" spans="1:20" x14ac:dyDescent="0.25">
      <c r="A151" s="12" t="s">
        <v>66</v>
      </c>
      <c r="B151" s="287">
        <v>3.6429999999999998</v>
      </c>
      <c r="C151" s="483">
        <v>4.12</v>
      </c>
      <c r="D151" s="483">
        <v>4.4029999999999996</v>
      </c>
      <c r="E151" s="483">
        <v>4.6029999999999998</v>
      </c>
      <c r="F151" s="483">
        <v>4.7569999999999997</v>
      </c>
      <c r="G151" s="483">
        <v>4.8819999999999997</v>
      </c>
      <c r="H151" s="483">
        <v>4.9870000000000001</v>
      </c>
      <c r="I151" s="483">
        <v>5.0780000000000003</v>
      </c>
      <c r="J151" s="483">
        <v>5.157</v>
      </c>
      <c r="K151" s="483">
        <v>5.2270000000000003</v>
      </c>
      <c r="L151" s="483">
        <v>5.29</v>
      </c>
      <c r="M151" s="483">
        <v>5.3479999999999999</v>
      </c>
      <c r="N151" s="483">
        <v>5.4</v>
      </c>
      <c r="O151" s="483">
        <v>5.4480000000000004</v>
      </c>
      <c r="P151" s="483">
        <v>5.4930000000000003</v>
      </c>
      <c r="Q151" s="483">
        <v>5.5350000000000001</v>
      </c>
      <c r="R151" s="483">
        <v>5.5739999999999998</v>
      </c>
      <c r="S151" s="483">
        <v>5.6109999999999998</v>
      </c>
      <c r="T151" s="288">
        <v>5.6449999999999996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W151"/>
  <sheetViews>
    <sheetView workbookViewId="0"/>
  </sheetViews>
  <sheetFormatPr defaultRowHeight="15" x14ac:dyDescent="0.25"/>
  <cols>
    <col min="1" max="1" width="5.5703125" customWidth="1"/>
    <col min="2" max="23" width="6.7109375" customWidth="1"/>
  </cols>
  <sheetData>
    <row r="1" spans="1:23" x14ac:dyDescent="0.25">
      <c r="A1" s="1" t="s">
        <v>64</v>
      </c>
    </row>
    <row r="3" spans="1:23" x14ac:dyDescent="0.25">
      <c r="A3" t="s">
        <v>18</v>
      </c>
      <c r="B3">
        <v>0.01</v>
      </c>
    </row>
    <row r="4" spans="1:23" x14ac:dyDescent="0.25">
      <c r="B4" t="s">
        <v>65</v>
      </c>
    </row>
    <row r="5" spans="1:23" x14ac:dyDescent="0.25">
      <c r="A5" s="12" t="s">
        <v>41</v>
      </c>
      <c r="B5">
        <v>2</v>
      </c>
      <c r="C5">
        <f>B5+1</f>
        <v>3</v>
      </c>
      <c r="D5">
        <f t="shared" ref="D5:L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v>13</v>
      </c>
      <c r="N5">
        <f>M5+1</f>
        <v>14</v>
      </c>
      <c r="O5">
        <f>N5+1</f>
        <v>15</v>
      </c>
      <c r="P5">
        <f>O5+1</f>
        <v>16</v>
      </c>
      <c r="Q5">
        <f>P5+2</f>
        <v>18</v>
      </c>
      <c r="R5">
        <f>Q5+2</f>
        <v>20</v>
      </c>
      <c r="S5">
        <f>R5+4</f>
        <v>24</v>
      </c>
      <c r="T5">
        <f>S5+4</f>
        <v>28</v>
      </c>
      <c r="U5">
        <f>T5+4</f>
        <v>32</v>
      </c>
      <c r="V5">
        <f>U5+4</f>
        <v>36</v>
      </c>
      <c r="W5">
        <f>V5+4</f>
        <v>40</v>
      </c>
    </row>
    <row r="6" spans="1:23" ht="15.75" customHeight="1" x14ac:dyDescent="0.25">
      <c r="A6">
        <v>1</v>
      </c>
      <c r="B6" s="3">
        <v>90.03</v>
      </c>
      <c r="C6" s="476">
        <v>135</v>
      </c>
      <c r="D6" s="387">
        <v>164.3</v>
      </c>
      <c r="E6" s="387">
        <v>185.6</v>
      </c>
      <c r="F6" s="387">
        <v>202.2</v>
      </c>
      <c r="G6" s="387">
        <v>215.8</v>
      </c>
      <c r="H6" s="387">
        <v>227.2</v>
      </c>
      <c r="I6" s="476">
        <v>237</v>
      </c>
      <c r="J6" s="387">
        <v>245.6</v>
      </c>
      <c r="K6" s="387">
        <v>253.2</v>
      </c>
      <c r="L6" s="476">
        <v>260</v>
      </c>
      <c r="M6" s="387">
        <v>266.2</v>
      </c>
      <c r="N6" s="387">
        <v>271.8</v>
      </c>
      <c r="O6" s="476">
        <v>277</v>
      </c>
      <c r="P6" s="387">
        <v>281.8</v>
      </c>
      <c r="Q6" s="387">
        <v>290.39999999999998</v>
      </c>
      <c r="R6" s="476">
        <v>298</v>
      </c>
      <c r="S6" s="387">
        <v>310.8</v>
      </c>
      <c r="T6" s="387">
        <v>321.3</v>
      </c>
      <c r="U6" s="387">
        <v>330.3</v>
      </c>
      <c r="V6" s="476">
        <v>338</v>
      </c>
      <c r="W6" s="5">
        <v>344.8</v>
      </c>
    </row>
    <row r="7" spans="1:23" x14ac:dyDescent="0.25">
      <c r="A7">
        <v>2</v>
      </c>
      <c r="B7" s="214">
        <v>14.04</v>
      </c>
      <c r="C7" s="7">
        <v>19.02</v>
      </c>
      <c r="D7" s="7">
        <v>22.29</v>
      </c>
      <c r="E7" s="7">
        <v>24.72</v>
      </c>
      <c r="F7" s="7">
        <v>26.63</v>
      </c>
      <c r="G7" s="34">
        <v>28.2</v>
      </c>
      <c r="H7" s="7">
        <v>29.53</v>
      </c>
      <c r="I7" s="7">
        <v>30.68</v>
      </c>
      <c r="J7" s="7">
        <v>31.69</v>
      </c>
      <c r="K7" s="7">
        <v>32.590000000000003</v>
      </c>
      <c r="L7" s="34">
        <v>33.4</v>
      </c>
      <c r="M7" s="7">
        <v>34.130000000000003</v>
      </c>
      <c r="N7" s="7">
        <v>34.81</v>
      </c>
      <c r="O7" s="7">
        <v>35.43</v>
      </c>
      <c r="P7" s="34">
        <v>36</v>
      </c>
      <c r="Q7" s="7">
        <v>37.03</v>
      </c>
      <c r="R7" s="7">
        <v>37.950000000000003</v>
      </c>
      <c r="S7" s="7">
        <v>39.49</v>
      </c>
      <c r="T7" s="7">
        <v>40.76</v>
      </c>
      <c r="U7" s="7">
        <v>41.84</v>
      </c>
      <c r="V7" s="7">
        <v>42.78</v>
      </c>
      <c r="W7" s="215">
        <v>43.61</v>
      </c>
    </row>
    <row r="8" spans="1:23" x14ac:dyDescent="0.25">
      <c r="A8">
        <v>3</v>
      </c>
      <c r="B8" s="214">
        <v>8.2609999999999992</v>
      </c>
      <c r="C8" s="7">
        <v>10.62</v>
      </c>
      <c r="D8" s="7">
        <v>12.17</v>
      </c>
      <c r="E8" s="7">
        <v>13.33</v>
      </c>
      <c r="F8" s="7">
        <v>14.24</v>
      </c>
      <c r="G8" s="34">
        <v>15</v>
      </c>
      <c r="H8" s="7">
        <v>15.64</v>
      </c>
      <c r="I8" s="34">
        <v>16.2</v>
      </c>
      <c r="J8" s="7">
        <v>16.690000000000001</v>
      </c>
      <c r="K8" s="7">
        <v>17.13</v>
      </c>
      <c r="L8" s="7">
        <v>17.53</v>
      </c>
      <c r="M8" s="7">
        <v>17.89</v>
      </c>
      <c r="N8" s="7">
        <v>18.22</v>
      </c>
      <c r="O8" s="7">
        <v>18.52</v>
      </c>
      <c r="P8" s="7">
        <v>18.809999999999999</v>
      </c>
      <c r="Q8" s="7">
        <v>19.32</v>
      </c>
      <c r="R8" s="7">
        <v>19.77</v>
      </c>
      <c r="S8" s="7">
        <v>20.53</v>
      </c>
      <c r="T8" s="7">
        <v>21.16</v>
      </c>
      <c r="U8" s="34">
        <v>21.7</v>
      </c>
      <c r="V8" s="7">
        <v>22.17</v>
      </c>
      <c r="W8" s="215">
        <v>22.59</v>
      </c>
    </row>
    <row r="9" spans="1:23" x14ac:dyDescent="0.25">
      <c r="A9">
        <v>4</v>
      </c>
      <c r="B9" s="214">
        <v>6.5119999999999996</v>
      </c>
      <c r="C9" s="36">
        <v>8.1199999999999992</v>
      </c>
      <c r="D9" s="7">
        <v>9.173</v>
      </c>
      <c r="E9" s="7">
        <v>9.9580000000000002</v>
      </c>
      <c r="F9" s="7">
        <v>10.58</v>
      </c>
      <c r="G9" s="34">
        <v>11.1</v>
      </c>
      <c r="H9" s="7">
        <v>11.55</v>
      </c>
      <c r="I9" s="7">
        <v>11.93</v>
      </c>
      <c r="J9" s="7">
        <v>12.27</v>
      </c>
      <c r="K9" s="7">
        <v>12.57</v>
      </c>
      <c r="L9" s="7">
        <v>12.84</v>
      </c>
      <c r="M9" s="7">
        <v>13.09</v>
      </c>
      <c r="N9" s="7">
        <v>13.32</v>
      </c>
      <c r="O9" s="7">
        <v>13.53</v>
      </c>
      <c r="P9" s="7">
        <v>13.73</v>
      </c>
      <c r="Q9" s="7">
        <v>14.08</v>
      </c>
      <c r="R9" s="34">
        <v>14.4</v>
      </c>
      <c r="S9" s="7">
        <v>14.93</v>
      </c>
      <c r="T9" s="7">
        <v>15.37</v>
      </c>
      <c r="U9" s="7">
        <v>15.75</v>
      </c>
      <c r="V9" s="7">
        <v>16.079999999999998</v>
      </c>
      <c r="W9" s="215">
        <v>16.37</v>
      </c>
    </row>
    <row r="10" spans="1:23" x14ac:dyDescent="0.25">
      <c r="A10">
        <v>5</v>
      </c>
      <c r="B10" s="214">
        <v>5.702</v>
      </c>
      <c r="C10" s="7">
        <v>6.976</v>
      </c>
      <c r="D10" s="7">
        <v>7.8040000000000003</v>
      </c>
      <c r="E10" s="7">
        <v>8.4209999999999994</v>
      </c>
      <c r="F10" s="7">
        <v>8.9130000000000003</v>
      </c>
      <c r="G10" s="7">
        <v>9.3209999999999997</v>
      </c>
      <c r="H10" s="7">
        <v>9.6690000000000005</v>
      </c>
      <c r="I10" s="7">
        <v>9.9719999999999995</v>
      </c>
      <c r="J10" s="7">
        <v>10.24</v>
      </c>
      <c r="K10" s="7">
        <v>10.48</v>
      </c>
      <c r="L10" s="34">
        <v>10.7</v>
      </c>
      <c r="M10" s="7">
        <v>10.89</v>
      </c>
      <c r="N10" s="7">
        <v>11.08</v>
      </c>
      <c r="O10" s="7">
        <v>11.24</v>
      </c>
      <c r="P10" s="34">
        <v>11.4</v>
      </c>
      <c r="Q10" s="7">
        <v>11.68</v>
      </c>
      <c r="R10" s="7">
        <v>11.93</v>
      </c>
      <c r="S10" s="7">
        <v>12.36</v>
      </c>
      <c r="T10" s="7">
        <v>12.71</v>
      </c>
      <c r="U10" s="7">
        <v>13.02</v>
      </c>
      <c r="V10" s="7">
        <v>13.28</v>
      </c>
      <c r="W10" s="215">
        <v>13.52</v>
      </c>
    </row>
    <row r="11" spans="1:23" x14ac:dyDescent="0.25">
      <c r="A11">
        <v>6</v>
      </c>
      <c r="B11" s="214">
        <v>5.2430000000000003</v>
      </c>
      <c r="C11" s="7">
        <v>6.3310000000000004</v>
      </c>
      <c r="D11" s="7">
        <v>7.0330000000000004</v>
      </c>
      <c r="E11" s="7">
        <v>7.556</v>
      </c>
      <c r="F11" s="7">
        <v>7.9729999999999999</v>
      </c>
      <c r="G11" s="7">
        <v>8.3179999999999996</v>
      </c>
      <c r="H11" s="7">
        <v>8.6129999999999995</v>
      </c>
      <c r="I11" s="7">
        <v>8.8689999999999998</v>
      </c>
      <c r="J11" s="7">
        <v>9.0969999999999995</v>
      </c>
      <c r="K11" s="7">
        <v>9.3010000000000002</v>
      </c>
      <c r="L11" s="7">
        <v>9.4849999999999994</v>
      </c>
      <c r="M11" s="7">
        <v>9.6530000000000005</v>
      </c>
      <c r="N11" s="7">
        <v>9.8079999999999998</v>
      </c>
      <c r="O11" s="7">
        <v>9.9510000000000005</v>
      </c>
      <c r="P11" s="7">
        <v>10.08</v>
      </c>
      <c r="Q11" s="7">
        <v>10.32</v>
      </c>
      <c r="R11" s="7">
        <v>10.54</v>
      </c>
      <c r="S11" s="7">
        <v>10.91</v>
      </c>
      <c r="T11" s="7">
        <v>11.21</v>
      </c>
      <c r="U11" s="7">
        <v>11.47</v>
      </c>
      <c r="V11" s="7">
        <v>11.69</v>
      </c>
      <c r="W11" s="252">
        <v>11.9</v>
      </c>
    </row>
    <row r="12" spans="1:23" x14ac:dyDescent="0.25">
      <c r="A12">
        <v>7</v>
      </c>
      <c r="B12" s="285">
        <v>4.9489999999999998</v>
      </c>
      <c r="C12" s="36">
        <v>5.9189999999999996</v>
      </c>
      <c r="D12" s="36">
        <v>6.5430000000000001</v>
      </c>
      <c r="E12" s="36">
        <v>7.0049999999999999</v>
      </c>
      <c r="F12" s="36">
        <v>7.3730000000000002</v>
      </c>
      <c r="G12" s="36">
        <v>7.6790000000000003</v>
      </c>
      <c r="H12" s="36">
        <v>7.9390000000000001</v>
      </c>
      <c r="I12" s="36">
        <v>8.1660000000000004</v>
      </c>
      <c r="J12" s="36">
        <v>8.3680000000000003</v>
      </c>
      <c r="K12" s="36">
        <v>8.548</v>
      </c>
      <c r="L12" s="36">
        <v>8.7110000000000003</v>
      </c>
      <c r="M12" s="36">
        <v>8.86</v>
      </c>
      <c r="N12" s="36">
        <v>8.9969999999999999</v>
      </c>
      <c r="O12" s="36">
        <v>9.1240000000000006</v>
      </c>
      <c r="P12" s="36">
        <v>9.2420000000000009</v>
      </c>
      <c r="Q12" s="36">
        <v>9.4559999999999995</v>
      </c>
      <c r="R12" s="36">
        <v>9.6460000000000008</v>
      </c>
      <c r="S12" s="36">
        <v>9.9700000000000006</v>
      </c>
      <c r="T12" s="34">
        <v>10.24</v>
      </c>
      <c r="U12" s="34">
        <v>10.47</v>
      </c>
      <c r="V12" s="34">
        <v>10.67</v>
      </c>
      <c r="W12" s="252">
        <v>10.85</v>
      </c>
    </row>
    <row r="13" spans="1:23" x14ac:dyDescent="0.25">
      <c r="A13">
        <v>8</v>
      </c>
      <c r="B13" s="285">
        <v>4.7460000000000004</v>
      </c>
      <c r="C13" s="36">
        <v>5.6349999999999998</v>
      </c>
      <c r="D13" s="36">
        <v>6.2039999999999997</v>
      </c>
      <c r="E13" s="36">
        <v>6.625</v>
      </c>
      <c r="F13" s="36">
        <v>6.96</v>
      </c>
      <c r="G13" s="36">
        <v>7.2370000000000001</v>
      </c>
      <c r="H13" s="36">
        <v>7.4740000000000002</v>
      </c>
      <c r="I13" s="36">
        <v>7.681</v>
      </c>
      <c r="J13" s="36">
        <v>7.8630000000000004</v>
      </c>
      <c r="K13" s="36">
        <v>8.0269999999999992</v>
      </c>
      <c r="L13" s="36">
        <v>8.1760000000000002</v>
      </c>
      <c r="M13" s="36">
        <v>8.3119999999999994</v>
      </c>
      <c r="N13" s="36">
        <v>8.4359999999999999</v>
      </c>
      <c r="O13" s="36">
        <v>8.5519999999999996</v>
      </c>
      <c r="P13" s="36">
        <v>8.6590000000000007</v>
      </c>
      <c r="Q13" s="36">
        <v>8.8539999999999992</v>
      </c>
      <c r="R13" s="36">
        <v>9.0269999999999992</v>
      </c>
      <c r="S13" s="36">
        <v>9.3219999999999992</v>
      </c>
      <c r="T13" s="36">
        <v>9.5690000000000008</v>
      </c>
      <c r="U13" s="36">
        <v>9.7789999999999999</v>
      </c>
      <c r="V13" s="36">
        <v>9.9640000000000004</v>
      </c>
      <c r="W13" s="252">
        <v>10.130000000000001</v>
      </c>
    </row>
    <row r="14" spans="1:23" x14ac:dyDescent="0.25">
      <c r="A14">
        <v>9</v>
      </c>
      <c r="B14" s="285">
        <v>4.5960000000000001</v>
      </c>
      <c r="C14" s="36">
        <v>5.4279999999999999</v>
      </c>
      <c r="D14" s="36">
        <v>5.9569999999999999</v>
      </c>
      <c r="E14" s="36">
        <v>6.3479999999999999</v>
      </c>
      <c r="F14" s="36">
        <v>6.6580000000000004</v>
      </c>
      <c r="G14" s="36">
        <v>6.915</v>
      </c>
      <c r="H14" s="36">
        <v>7.1340000000000003</v>
      </c>
      <c r="I14" s="36">
        <v>7.3250000000000002</v>
      </c>
      <c r="J14" s="36">
        <v>7.4950000000000001</v>
      </c>
      <c r="K14" s="36">
        <v>7.6470000000000002</v>
      </c>
      <c r="L14" s="36">
        <v>7.7839999999999998</v>
      </c>
      <c r="M14" s="36">
        <v>7.91</v>
      </c>
      <c r="N14" s="36">
        <v>8.0250000000000004</v>
      </c>
      <c r="O14" s="36">
        <v>8.1319999999999997</v>
      </c>
      <c r="P14" s="36">
        <v>8.2319999999999993</v>
      </c>
      <c r="Q14" s="36">
        <v>8.4120000000000008</v>
      </c>
      <c r="R14" s="36">
        <v>8.5730000000000004</v>
      </c>
      <c r="S14" s="36">
        <v>8.8469999999999995</v>
      </c>
      <c r="T14" s="36">
        <v>9.0749999999999993</v>
      </c>
      <c r="U14" s="36">
        <v>9.2710000000000008</v>
      </c>
      <c r="V14" s="36">
        <v>9.4429999999999996</v>
      </c>
      <c r="W14" s="286">
        <v>9.5939999999999994</v>
      </c>
    </row>
    <row r="15" spans="1:23" x14ac:dyDescent="0.25">
      <c r="A15">
        <v>10</v>
      </c>
      <c r="B15" s="285">
        <v>4.4820000000000002</v>
      </c>
      <c r="C15" s="36">
        <v>5.27</v>
      </c>
      <c r="D15" s="36">
        <v>5.7690000000000001</v>
      </c>
      <c r="E15" s="36">
        <v>6.1360000000000001</v>
      </c>
      <c r="F15" s="36">
        <v>6.4279999999999999</v>
      </c>
      <c r="G15" s="36">
        <v>6.6689999999999996</v>
      </c>
      <c r="H15" s="36">
        <v>6.875</v>
      </c>
      <c r="I15" s="36">
        <v>7.0549999999999997</v>
      </c>
      <c r="J15" s="36">
        <v>7.2130000000000001</v>
      </c>
      <c r="K15" s="36">
        <v>7.3559999999999999</v>
      </c>
      <c r="L15" s="36">
        <v>7.4850000000000003</v>
      </c>
      <c r="M15" s="36">
        <v>7.6029999999999998</v>
      </c>
      <c r="N15" s="36">
        <v>7.7119999999999997</v>
      </c>
      <c r="O15" s="36">
        <v>7.8120000000000003</v>
      </c>
      <c r="P15" s="36">
        <v>7.9059999999999997</v>
      </c>
      <c r="Q15" s="36">
        <v>8.0760000000000005</v>
      </c>
      <c r="R15" s="36">
        <v>8.2260000000000009</v>
      </c>
      <c r="S15" s="36">
        <v>8.4830000000000005</v>
      </c>
      <c r="T15" s="36">
        <v>8.6980000000000004</v>
      </c>
      <c r="U15" s="36">
        <v>8.8829999999999991</v>
      </c>
      <c r="V15" s="36">
        <v>9.0440000000000005</v>
      </c>
      <c r="W15" s="286">
        <v>9.1869999999999994</v>
      </c>
    </row>
    <row r="16" spans="1:23" x14ac:dyDescent="0.25">
      <c r="A16">
        <v>11</v>
      </c>
      <c r="B16" s="285">
        <v>4.3920000000000003</v>
      </c>
      <c r="C16" s="36">
        <v>5.1459999999999999</v>
      </c>
      <c r="D16" s="36">
        <v>5.6210000000000004</v>
      </c>
      <c r="E16" s="36">
        <v>5.97</v>
      </c>
      <c r="F16" s="36">
        <v>6.2469999999999999</v>
      </c>
      <c r="G16" s="36">
        <v>6.476</v>
      </c>
      <c r="H16" s="36">
        <v>6.6719999999999997</v>
      </c>
      <c r="I16" s="36">
        <v>6.8419999999999996</v>
      </c>
      <c r="J16" s="36">
        <v>6.992</v>
      </c>
      <c r="K16" s="36">
        <v>7.1280000000000001</v>
      </c>
      <c r="L16" s="36">
        <v>7.25</v>
      </c>
      <c r="M16" s="36">
        <v>7.3620000000000001</v>
      </c>
      <c r="N16" s="36">
        <v>7.4649999999999999</v>
      </c>
      <c r="O16" s="36">
        <v>7.56</v>
      </c>
      <c r="P16" s="36">
        <v>7.649</v>
      </c>
      <c r="Q16" s="36">
        <v>7.8090000000000002</v>
      </c>
      <c r="R16" s="36">
        <v>7.952</v>
      </c>
      <c r="S16" s="36">
        <v>8.1959999999999997</v>
      </c>
      <c r="T16" s="36">
        <v>8.4</v>
      </c>
      <c r="U16" s="36">
        <v>8.5749999999999993</v>
      </c>
      <c r="V16" s="36">
        <v>8.7279999999999998</v>
      </c>
      <c r="W16" s="286">
        <v>8.8640000000000008</v>
      </c>
    </row>
    <row r="17" spans="1:23" x14ac:dyDescent="0.25">
      <c r="A17">
        <v>12</v>
      </c>
      <c r="B17" s="285">
        <v>4.32</v>
      </c>
      <c r="C17" s="36">
        <v>5.0460000000000003</v>
      </c>
      <c r="D17" s="36">
        <v>5.5019999999999998</v>
      </c>
      <c r="E17" s="36">
        <v>5.8360000000000003</v>
      </c>
      <c r="F17" s="36">
        <v>6.101</v>
      </c>
      <c r="G17" s="36">
        <v>6.3209999999999997</v>
      </c>
      <c r="H17" s="36">
        <v>6.5069999999999997</v>
      </c>
      <c r="I17" s="36">
        <v>6.67</v>
      </c>
      <c r="J17" s="36">
        <v>6.8140000000000001</v>
      </c>
      <c r="K17" s="36">
        <v>6.9429999999999996</v>
      </c>
      <c r="L17" s="36">
        <v>7.06</v>
      </c>
      <c r="M17" s="36">
        <v>7.1669999999999998</v>
      </c>
      <c r="N17" s="36">
        <v>7.2649999999999997</v>
      </c>
      <c r="O17" s="36">
        <v>7.3559999999999999</v>
      </c>
      <c r="P17" s="36">
        <v>7.4409999999999998</v>
      </c>
      <c r="Q17" s="36">
        <v>7.5940000000000003</v>
      </c>
      <c r="R17" s="36">
        <v>7.7309999999999999</v>
      </c>
      <c r="S17" s="36">
        <v>7.9640000000000004</v>
      </c>
      <c r="T17" s="36">
        <v>8.1590000000000007</v>
      </c>
      <c r="U17" s="36">
        <v>8.327</v>
      </c>
      <c r="V17" s="36">
        <v>8.4730000000000008</v>
      </c>
      <c r="W17" s="286">
        <v>8.6029999999999998</v>
      </c>
    </row>
    <row r="18" spans="1:23" x14ac:dyDescent="0.25">
      <c r="A18">
        <v>13</v>
      </c>
      <c r="B18" s="285">
        <v>4.26</v>
      </c>
      <c r="C18" s="36">
        <v>4.9640000000000004</v>
      </c>
      <c r="D18" s="36">
        <v>5.4039999999999999</v>
      </c>
      <c r="E18" s="36">
        <v>5.7270000000000003</v>
      </c>
      <c r="F18" s="36">
        <v>5.9809999999999999</v>
      </c>
      <c r="G18" s="36">
        <v>6.1920000000000002</v>
      </c>
      <c r="H18" s="36">
        <v>6.3719999999999999</v>
      </c>
      <c r="I18" s="36">
        <v>6.5279999999999996</v>
      </c>
      <c r="J18" s="36">
        <v>6.6669999999999998</v>
      </c>
      <c r="K18" s="36">
        <v>6.7910000000000004</v>
      </c>
      <c r="L18" s="36">
        <v>6.9029999999999996</v>
      </c>
      <c r="M18" s="36">
        <v>7.0060000000000002</v>
      </c>
      <c r="N18" s="36">
        <v>7.101</v>
      </c>
      <c r="O18" s="36">
        <v>7.1879999999999997</v>
      </c>
      <c r="P18" s="36">
        <v>7.2690000000000001</v>
      </c>
      <c r="Q18" s="36">
        <v>7.4169999999999998</v>
      </c>
      <c r="R18" s="36">
        <v>7.548</v>
      </c>
      <c r="S18" s="36">
        <v>7.7720000000000002</v>
      </c>
      <c r="T18" s="36">
        <v>7.96</v>
      </c>
      <c r="U18" s="36">
        <v>8.1210000000000004</v>
      </c>
      <c r="V18" s="36">
        <v>8.2620000000000005</v>
      </c>
      <c r="W18" s="286">
        <v>8.3870000000000005</v>
      </c>
    </row>
    <row r="19" spans="1:23" x14ac:dyDescent="0.25">
      <c r="A19">
        <v>14</v>
      </c>
      <c r="B19" s="285">
        <v>4.21</v>
      </c>
      <c r="C19" s="36">
        <v>4.8949999999999996</v>
      </c>
      <c r="D19" s="36">
        <v>5.3220000000000001</v>
      </c>
      <c r="E19" s="36">
        <v>5.6340000000000003</v>
      </c>
      <c r="F19" s="36">
        <v>5.8810000000000002</v>
      </c>
      <c r="G19" s="36">
        <v>6.085</v>
      </c>
      <c r="H19" s="36">
        <v>6.258</v>
      </c>
      <c r="I19" s="36">
        <v>6.4089999999999998</v>
      </c>
      <c r="J19" s="36">
        <v>6.5430000000000001</v>
      </c>
      <c r="K19" s="36">
        <v>6.6639999999999997</v>
      </c>
      <c r="L19" s="36">
        <v>6.7720000000000002</v>
      </c>
      <c r="M19" s="36">
        <v>5.8710000000000004</v>
      </c>
      <c r="N19" s="36">
        <v>6.9619999999999997</v>
      </c>
      <c r="O19" s="36">
        <v>7.0469999999999997</v>
      </c>
      <c r="P19" s="36">
        <v>7.1260000000000003</v>
      </c>
      <c r="Q19" s="36">
        <v>7.2679999999999998</v>
      </c>
      <c r="R19" s="36">
        <v>7.3949999999999996</v>
      </c>
      <c r="S19" s="36">
        <v>7.6109999999999998</v>
      </c>
      <c r="T19" s="36">
        <v>7.7919999999999998</v>
      </c>
      <c r="U19" s="36">
        <v>7.9480000000000004</v>
      </c>
      <c r="V19" s="36">
        <v>8.0839999999999996</v>
      </c>
      <c r="W19" s="286">
        <v>8.2040000000000006</v>
      </c>
    </row>
    <row r="20" spans="1:23" x14ac:dyDescent="0.25">
      <c r="A20">
        <v>15</v>
      </c>
      <c r="B20" s="285">
        <v>4.1680000000000001</v>
      </c>
      <c r="C20" s="36">
        <v>4.8360000000000003</v>
      </c>
      <c r="D20" s="36">
        <v>5.2519999999999998</v>
      </c>
      <c r="E20" s="36">
        <v>5.556</v>
      </c>
      <c r="F20" s="36">
        <v>5.7960000000000003</v>
      </c>
      <c r="G20" s="36">
        <v>5.9939999999999998</v>
      </c>
      <c r="H20" s="36">
        <v>6.1619999999999999</v>
      </c>
      <c r="I20" s="36">
        <v>6.3090000000000002</v>
      </c>
      <c r="J20" s="36">
        <v>6.4390000000000001</v>
      </c>
      <c r="K20" s="36">
        <v>6.5549999999999997</v>
      </c>
      <c r="L20" s="36">
        <v>6.66</v>
      </c>
      <c r="M20" s="36">
        <v>5.7569999999999997</v>
      </c>
      <c r="N20" s="36">
        <v>6.8449999999999998</v>
      </c>
      <c r="O20" s="36">
        <v>6.9269999999999996</v>
      </c>
      <c r="P20" s="36">
        <v>7.0030000000000001</v>
      </c>
      <c r="Q20" s="36">
        <v>7.1420000000000003</v>
      </c>
      <c r="R20" s="36">
        <v>7.2640000000000002</v>
      </c>
      <c r="S20" s="36">
        <v>7.4740000000000002</v>
      </c>
      <c r="T20" s="36">
        <v>7.65</v>
      </c>
      <c r="U20" s="36">
        <v>7.8</v>
      </c>
      <c r="V20" s="36">
        <v>7.9320000000000004</v>
      </c>
      <c r="W20" s="286">
        <v>8.0489999999999995</v>
      </c>
    </row>
    <row r="21" spans="1:23" x14ac:dyDescent="0.25">
      <c r="A21">
        <v>16</v>
      </c>
      <c r="B21" s="285">
        <v>4.1310000000000002</v>
      </c>
      <c r="C21" s="36">
        <v>4.7859999999999996</v>
      </c>
      <c r="D21" s="36">
        <v>5.1920000000000002</v>
      </c>
      <c r="E21" s="36">
        <v>5.4889999999999999</v>
      </c>
      <c r="F21" s="36">
        <v>5.7220000000000004</v>
      </c>
      <c r="G21" s="36">
        <v>5.915</v>
      </c>
      <c r="H21" s="36">
        <v>6.0789999999999997</v>
      </c>
      <c r="I21" s="36">
        <v>6.2220000000000004</v>
      </c>
      <c r="J21" s="36">
        <v>6.3490000000000002</v>
      </c>
      <c r="K21" s="36">
        <v>6.4619999999999997</v>
      </c>
      <c r="L21" s="36">
        <v>6.5640000000000001</v>
      </c>
      <c r="M21" s="36">
        <v>5.6580000000000004</v>
      </c>
      <c r="N21" s="36">
        <v>6.7439999999999998</v>
      </c>
      <c r="O21" s="36">
        <v>6.8230000000000004</v>
      </c>
      <c r="P21" s="36">
        <v>6.8979999999999997</v>
      </c>
      <c r="Q21" s="36">
        <v>7.032</v>
      </c>
      <c r="R21" s="36">
        <v>7.1520000000000001</v>
      </c>
      <c r="S21" s="36">
        <v>7.3559999999999999</v>
      </c>
      <c r="T21" s="36">
        <v>7.5270000000000001</v>
      </c>
      <c r="U21" s="36">
        <v>7.673</v>
      </c>
      <c r="V21" s="36">
        <v>7.8019999999999996</v>
      </c>
      <c r="W21" s="286">
        <v>7.9160000000000004</v>
      </c>
    </row>
    <row r="22" spans="1:23" x14ac:dyDescent="0.25">
      <c r="A22">
        <v>17</v>
      </c>
      <c r="B22" s="285">
        <v>4.0990000000000002</v>
      </c>
      <c r="C22" s="36">
        <v>4.742</v>
      </c>
      <c r="D22" s="36">
        <v>5.14</v>
      </c>
      <c r="E22" s="36">
        <v>5.43</v>
      </c>
      <c r="F22" s="36">
        <v>5.6589999999999998</v>
      </c>
      <c r="G22" s="36">
        <v>5.8470000000000004</v>
      </c>
      <c r="H22" s="36">
        <v>6.0069999999999997</v>
      </c>
      <c r="I22" s="36">
        <v>6.1470000000000002</v>
      </c>
      <c r="J22" s="36">
        <v>6.27</v>
      </c>
      <c r="K22" s="36">
        <v>6.3810000000000002</v>
      </c>
      <c r="L22" s="36">
        <v>6.48</v>
      </c>
      <c r="M22" s="36">
        <v>5.5720000000000001</v>
      </c>
      <c r="N22" s="36">
        <v>6.6559999999999997</v>
      </c>
      <c r="O22" s="36">
        <v>6.734</v>
      </c>
      <c r="P22" s="36">
        <v>6.806</v>
      </c>
      <c r="Q22" s="36">
        <v>6.9370000000000003</v>
      </c>
      <c r="R22" s="36">
        <v>7.0529999999999999</v>
      </c>
      <c r="S22" s="36">
        <v>7.2530000000000001</v>
      </c>
      <c r="T22" s="36">
        <v>7.42</v>
      </c>
      <c r="U22" s="36">
        <v>7.5629999999999997</v>
      </c>
      <c r="V22" s="36">
        <v>7.6870000000000003</v>
      </c>
      <c r="W22" s="286">
        <v>7.7990000000000004</v>
      </c>
    </row>
    <row r="23" spans="1:23" x14ac:dyDescent="0.25">
      <c r="A23">
        <v>18</v>
      </c>
      <c r="B23" s="285">
        <v>4.0709999999999997</v>
      </c>
      <c r="C23" s="36">
        <v>4.7030000000000003</v>
      </c>
      <c r="D23" s="36">
        <v>5.0940000000000003</v>
      </c>
      <c r="E23" s="36">
        <v>5.3789999999999996</v>
      </c>
      <c r="F23" s="36">
        <v>5.6029999999999998</v>
      </c>
      <c r="G23" s="36">
        <v>5.7880000000000003</v>
      </c>
      <c r="H23" s="36">
        <v>5.944</v>
      </c>
      <c r="I23" s="36">
        <v>6.0810000000000004</v>
      </c>
      <c r="J23" s="36">
        <v>6.2009999999999996</v>
      </c>
      <c r="K23" s="36">
        <v>6.31</v>
      </c>
      <c r="L23" s="36">
        <v>6.407</v>
      </c>
      <c r="M23" s="36">
        <v>5.4969999999999999</v>
      </c>
      <c r="N23" s="36">
        <v>6.5789999999999997</v>
      </c>
      <c r="O23" s="36">
        <v>6.6550000000000002</v>
      </c>
      <c r="P23" s="36">
        <v>6.7249999999999996</v>
      </c>
      <c r="Q23" s="36">
        <v>6.8540000000000001</v>
      </c>
      <c r="R23" s="36">
        <v>6.968</v>
      </c>
      <c r="S23" s="36">
        <v>7.1630000000000003</v>
      </c>
      <c r="T23" s="36">
        <v>7.3250000000000002</v>
      </c>
      <c r="U23" s="36">
        <v>7.4649999999999999</v>
      </c>
      <c r="V23" s="36">
        <v>7.5869999999999997</v>
      </c>
      <c r="W23" s="286">
        <v>7.6959999999999997</v>
      </c>
    </row>
    <row r="24" spans="1:23" x14ac:dyDescent="0.25">
      <c r="A24">
        <v>19</v>
      </c>
      <c r="B24" s="285">
        <v>4.0460000000000003</v>
      </c>
      <c r="C24" s="36">
        <v>1.67</v>
      </c>
      <c r="D24" s="36">
        <v>5.0540000000000003</v>
      </c>
      <c r="E24" s="36">
        <v>5.3339999999999996</v>
      </c>
      <c r="F24" s="36">
        <v>5.5540000000000003</v>
      </c>
      <c r="G24" s="36">
        <v>5.7350000000000003</v>
      </c>
      <c r="H24" s="36">
        <v>5.8890000000000002</v>
      </c>
      <c r="I24" s="36">
        <v>6.0220000000000002</v>
      </c>
      <c r="J24" s="36">
        <v>6.141</v>
      </c>
      <c r="K24" s="36">
        <v>6.2469999999999999</v>
      </c>
      <c r="L24" s="36">
        <v>6.3419999999999996</v>
      </c>
      <c r="M24" s="36">
        <v>5.43</v>
      </c>
      <c r="N24" s="36">
        <v>6.51</v>
      </c>
      <c r="O24" s="36">
        <v>6.585</v>
      </c>
      <c r="P24" s="36">
        <v>6.6539999999999999</v>
      </c>
      <c r="Q24" s="36">
        <v>6.78</v>
      </c>
      <c r="R24" s="36">
        <v>6.891</v>
      </c>
      <c r="S24" s="36">
        <v>7.0819999999999999</v>
      </c>
      <c r="T24" s="36">
        <v>7.242</v>
      </c>
      <c r="U24" s="36">
        <v>7.3789999999999996</v>
      </c>
      <c r="V24" s="36">
        <v>7.4980000000000002</v>
      </c>
      <c r="W24" s="286">
        <v>7.6050000000000004</v>
      </c>
    </row>
    <row r="25" spans="1:23" x14ac:dyDescent="0.25">
      <c r="A25">
        <v>20</v>
      </c>
      <c r="B25" s="285">
        <v>4.024</v>
      </c>
      <c r="C25" s="36">
        <v>4.6390000000000002</v>
      </c>
      <c r="D25" s="36">
        <v>5.0179999999999998</v>
      </c>
      <c r="E25" s="36">
        <v>5.2939999999999996</v>
      </c>
      <c r="F25" s="36">
        <v>5.51</v>
      </c>
      <c r="G25" s="36">
        <v>5.6879999999999997</v>
      </c>
      <c r="H25" s="36">
        <v>5.8390000000000004</v>
      </c>
      <c r="I25" s="36">
        <v>5.97</v>
      </c>
      <c r="J25" s="36">
        <v>6.0869999999999997</v>
      </c>
      <c r="K25" s="36">
        <v>6.1909999999999998</v>
      </c>
      <c r="L25" s="36">
        <v>6.2850000000000001</v>
      </c>
      <c r="M25" s="36">
        <v>5.3710000000000004</v>
      </c>
      <c r="N25" s="36">
        <v>6.45</v>
      </c>
      <c r="O25" s="36">
        <v>6.5229999999999997</v>
      </c>
      <c r="P25" s="36">
        <v>6.5910000000000002</v>
      </c>
      <c r="Q25" s="36">
        <v>6.7140000000000004</v>
      </c>
      <c r="R25" s="36">
        <v>6.8230000000000004</v>
      </c>
      <c r="S25" s="36">
        <v>7.0110000000000001</v>
      </c>
      <c r="T25" s="36">
        <v>7.1680000000000001</v>
      </c>
      <c r="U25" s="36">
        <v>7.3019999999999996</v>
      </c>
      <c r="V25" s="36">
        <v>7.4189999999999996</v>
      </c>
      <c r="W25" s="286">
        <v>7.5229999999999997</v>
      </c>
    </row>
    <row r="26" spans="1:23" x14ac:dyDescent="0.25">
      <c r="A26">
        <v>24</v>
      </c>
      <c r="B26" s="285">
        <v>3.956</v>
      </c>
      <c r="C26" s="36">
        <v>4.5460000000000003</v>
      </c>
      <c r="D26" s="36">
        <v>4.907</v>
      </c>
      <c r="E26" s="36">
        <v>5.1680000000000001</v>
      </c>
      <c r="F26" s="36">
        <v>5.3739999999999997</v>
      </c>
      <c r="G26" s="36">
        <v>5.5419999999999998</v>
      </c>
      <c r="H26" s="36">
        <v>5.6849999999999996</v>
      </c>
      <c r="I26" s="36">
        <v>5.8090000000000002</v>
      </c>
      <c r="J26" s="36">
        <v>5.9189999999999996</v>
      </c>
      <c r="K26" s="36">
        <v>6.0170000000000003</v>
      </c>
      <c r="L26" s="36">
        <v>6.1059999999999999</v>
      </c>
      <c r="M26" s="36">
        <v>5.1859999999999999</v>
      </c>
      <c r="N26" s="36">
        <v>6.2610000000000001</v>
      </c>
      <c r="O26" s="36">
        <v>6.33</v>
      </c>
      <c r="P26" s="36">
        <v>6.3940000000000001</v>
      </c>
      <c r="Q26" s="36">
        <v>6.51</v>
      </c>
      <c r="R26" s="36">
        <v>6.6120000000000001</v>
      </c>
      <c r="S26" s="36">
        <v>6.7889999999999997</v>
      </c>
      <c r="T26" s="36">
        <v>6.9359999999999999</v>
      </c>
      <c r="U26" s="36">
        <v>7.0620000000000003</v>
      </c>
      <c r="V26" s="36">
        <v>7.173</v>
      </c>
      <c r="W26" s="286">
        <v>7.27</v>
      </c>
    </row>
    <row r="27" spans="1:23" x14ac:dyDescent="0.25">
      <c r="A27">
        <v>30</v>
      </c>
      <c r="B27" s="285">
        <v>3.8889999999999998</v>
      </c>
      <c r="C27" s="36">
        <v>4.4550000000000001</v>
      </c>
      <c r="D27" s="36">
        <v>4.7990000000000004</v>
      </c>
      <c r="E27" s="36">
        <v>5.048</v>
      </c>
      <c r="F27" s="36">
        <v>5.242</v>
      </c>
      <c r="G27" s="36">
        <v>5.4009999999999998</v>
      </c>
      <c r="H27" s="36">
        <v>5.5359999999999996</v>
      </c>
      <c r="I27" s="36">
        <v>5.6529999999999996</v>
      </c>
      <c r="J27" s="36">
        <v>5.7560000000000002</v>
      </c>
      <c r="K27" s="36">
        <v>5.8490000000000002</v>
      </c>
      <c r="L27" s="36">
        <v>5.9320000000000004</v>
      </c>
      <c r="M27" s="36">
        <v>5.008</v>
      </c>
      <c r="N27" s="36">
        <v>6.0780000000000003</v>
      </c>
      <c r="O27" s="36">
        <v>6.1429999999999998</v>
      </c>
      <c r="P27" s="36">
        <v>6.2030000000000003</v>
      </c>
      <c r="Q27" s="36">
        <v>6.3109999999999999</v>
      </c>
      <c r="R27" s="36">
        <v>6.407</v>
      </c>
      <c r="S27" s="36">
        <v>6.5720000000000001</v>
      </c>
      <c r="T27" s="36">
        <v>6.71</v>
      </c>
      <c r="U27" s="36">
        <v>6.8280000000000003</v>
      </c>
      <c r="V27" s="36">
        <v>6.9320000000000004</v>
      </c>
      <c r="W27" s="286">
        <v>7.0229999999999997</v>
      </c>
    </row>
    <row r="28" spans="1:23" x14ac:dyDescent="0.25">
      <c r="A28">
        <v>40</v>
      </c>
      <c r="B28" s="285">
        <v>3.8250000000000002</v>
      </c>
      <c r="C28" s="36">
        <v>4.367</v>
      </c>
      <c r="D28" s="36">
        <v>4.6959999999999997</v>
      </c>
      <c r="E28" s="36">
        <v>4.931</v>
      </c>
      <c r="F28" s="36">
        <v>5.1139999999999999</v>
      </c>
      <c r="G28" s="36">
        <v>5.2649999999999997</v>
      </c>
      <c r="H28" s="36">
        <v>5.3920000000000003</v>
      </c>
      <c r="I28" s="36">
        <v>5.5019999999999998</v>
      </c>
      <c r="J28" s="36">
        <v>5.5990000000000002</v>
      </c>
      <c r="K28" s="36">
        <v>5.6859999999999999</v>
      </c>
      <c r="L28" s="36">
        <v>5.7640000000000002</v>
      </c>
      <c r="M28" s="36">
        <v>5.835</v>
      </c>
      <c r="N28" s="36">
        <v>5.9</v>
      </c>
      <c r="O28" s="36">
        <v>5.9610000000000003</v>
      </c>
      <c r="P28" s="36">
        <v>6.0170000000000003</v>
      </c>
      <c r="Q28" s="36">
        <v>6.1189999999999998</v>
      </c>
      <c r="R28" s="36">
        <v>6.2089999999999996</v>
      </c>
      <c r="S28" s="36">
        <v>6.3620000000000001</v>
      </c>
      <c r="T28" s="36">
        <v>6.49</v>
      </c>
      <c r="U28" s="36">
        <v>6.6</v>
      </c>
      <c r="V28" s="36">
        <v>6.6970000000000001</v>
      </c>
      <c r="W28" s="286">
        <v>6.782</v>
      </c>
    </row>
    <row r="29" spans="1:23" x14ac:dyDescent="0.25">
      <c r="A29">
        <v>60</v>
      </c>
      <c r="B29" s="285">
        <v>3.762</v>
      </c>
      <c r="C29" s="36">
        <v>4.282</v>
      </c>
      <c r="D29" s="36">
        <v>4.5949999999999998</v>
      </c>
      <c r="E29" s="36">
        <v>4.8179999999999996</v>
      </c>
      <c r="F29" s="36">
        <v>4.9909999999999997</v>
      </c>
      <c r="G29" s="36">
        <v>5.133</v>
      </c>
      <c r="H29" s="36">
        <v>5.2530000000000001</v>
      </c>
      <c r="I29" s="36">
        <v>5.3559999999999999</v>
      </c>
      <c r="J29" s="36">
        <v>5.4470000000000001</v>
      </c>
      <c r="K29" s="36">
        <v>5.5279999999999996</v>
      </c>
      <c r="L29" s="36">
        <v>5.601</v>
      </c>
      <c r="M29" s="36">
        <v>5.6669999999999998</v>
      </c>
      <c r="N29" s="36">
        <v>5.7279999999999998</v>
      </c>
      <c r="O29" s="36">
        <v>5.7850000000000001</v>
      </c>
      <c r="P29" s="36">
        <v>5.8369999999999997</v>
      </c>
      <c r="Q29" s="36">
        <v>5.931</v>
      </c>
      <c r="R29" s="36">
        <v>6.0149999999999997</v>
      </c>
      <c r="S29" s="36">
        <v>6.1580000000000004</v>
      </c>
      <c r="T29" s="36">
        <v>6.2770000000000001</v>
      </c>
      <c r="U29" s="36">
        <v>6.3780000000000001</v>
      </c>
      <c r="V29" s="36">
        <v>6.4669999999999996</v>
      </c>
      <c r="W29" s="286">
        <v>6.5460000000000003</v>
      </c>
    </row>
    <row r="30" spans="1:23" x14ac:dyDescent="0.25">
      <c r="A30">
        <v>120</v>
      </c>
      <c r="B30" s="285">
        <v>3.702</v>
      </c>
      <c r="C30" s="36">
        <v>4.2</v>
      </c>
      <c r="D30" s="36">
        <v>4.4969999999999999</v>
      </c>
      <c r="E30" s="36">
        <v>4.7089999999999996</v>
      </c>
      <c r="F30" s="36">
        <v>4.8719999999999999</v>
      </c>
      <c r="G30" s="36">
        <v>5.0049999999999999</v>
      </c>
      <c r="H30" s="36">
        <v>5.1180000000000003</v>
      </c>
      <c r="I30" s="36">
        <v>5.2140000000000004</v>
      </c>
      <c r="J30" s="36">
        <v>5.2990000000000004</v>
      </c>
      <c r="K30" s="36">
        <v>5.375</v>
      </c>
      <c r="L30" s="36">
        <v>5.4429999999999996</v>
      </c>
      <c r="M30" s="36">
        <v>5.5049999999999999</v>
      </c>
      <c r="N30" s="36">
        <v>5.5620000000000003</v>
      </c>
      <c r="O30" s="36">
        <v>5.6139999999999999</v>
      </c>
      <c r="P30" s="36">
        <v>5.6619999999999999</v>
      </c>
      <c r="Q30" s="36">
        <v>5.75</v>
      </c>
      <c r="R30" s="36">
        <v>5.827</v>
      </c>
      <c r="S30" s="36">
        <v>5.9589999999999996</v>
      </c>
      <c r="T30" s="36">
        <v>6.069</v>
      </c>
      <c r="U30" s="36">
        <v>6.1619999999999999</v>
      </c>
      <c r="V30" s="36">
        <v>6.2439999999999998</v>
      </c>
      <c r="W30" s="286">
        <v>6.3159999999999998</v>
      </c>
    </row>
    <row r="31" spans="1:23" x14ac:dyDescent="0.25">
      <c r="A31" s="12" t="s">
        <v>169</v>
      </c>
      <c r="B31" s="287">
        <v>3.6429999999999998</v>
      </c>
      <c r="C31" s="483">
        <v>4.12</v>
      </c>
      <c r="D31" s="483">
        <v>4.4029999999999996</v>
      </c>
      <c r="E31" s="483">
        <v>4.6029999999999998</v>
      </c>
      <c r="F31" s="483">
        <v>4.7569999999999997</v>
      </c>
      <c r="G31" s="483">
        <v>4.8819999999999997</v>
      </c>
      <c r="H31" s="483">
        <v>4.9870000000000001</v>
      </c>
      <c r="I31" s="483">
        <v>5.0780000000000003</v>
      </c>
      <c r="J31" s="483">
        <v>5.157</v>
      </c>
      <c r="K31" s="483">
        <v>5.2270000000000003</v>
      </c>
      <c r="L31" s="483">
        <v>5.29</v>
      </c>
      <c r="M31" s="483">
        <v>5.3479999999999999</v>
      </c>
      <c r="N31" s="483">
        <v>5.4</v>
      </c>
      <c r="O31" s="483">
        <v>5.4480000000000004</v>
      </c>
      <c r="P31" s="483">
        <v>5.4930000000000003</v>
      </c>
      <c r="Q31" s="483">
        <v>5.5739999999999998</v>
      </c>
      <c r="R31" s="483">
        <v>5.6449999999999996</v>
      </c>
      <c r="S31" s="483">
        <v>5.766</v>
      </c>
      <c r="T31" s="483">
        <v>5.8659999999999997</v>
      </c>
      <c r="U31" s="483">
        <v>5.952</v>
      </c>
      <c r="V31" s="483">
        <v>6.0259999999999998</v>
      </c>
      <c r="W31" s="288">
        <v>6.0919999999999996</v>
      </c>
    </row>
    <row r="33" spans="1:23" x14ac:dyDescent="0.25">
      <c r="A33" t="s">
        <v>18</v>
      </c>
      <c r="B33">
        <v>2.5000000000000001E-2</v>
      </c>
    </row>
    <row r="34" spans="1:23" x14ac:dyDescent="0.25">
      <c r="B34" t="s">
        <v>65</v>
      </c>
    </row>
    <row r="35" spans="1:23" x14ac:dyDescent="0.25">
      <c r="A35" s="12" t="s">
        <v>41</v>
      </c>
      <c r="B35">
        <v>2</v>
      </c>
      <c r="C35">
        <f>B35+1</f>
        <v>3</v>
      </c>
      <c r="D35">
        <f t="shared" ref="D35:L35" si="1">C35+1</f>
        <v>4</v>
      </c>
      <c r="E35">
        <f t="shared" si="1"/>
        <v>5</v>
      </c>
      <c r="F35">
        <f t="shared" si="1"/>
        <v>6</v>
      </c>
      <c r="G35">
        <f t="shared" si="1"/>
        <v>7</v>
      </c>
      <c r="H35">
        <f t="shared" si="1"/>
        <v>8</v>
      </c>
      <c r="I35">
        <f t="shared" si="1"/>
        <v>9</v>
      </c>
      <c r="J35">
        <f t="shared" si="1"/>
        <v>10</v>
      </c>
      <c r="K35">
        <f t="shared" si="1"/>
        <v>11</v>
      </c>
      <c r="L35">
        <f t="shared" si="1"/>
        <v>12</v>
      </c>
      <c r="M35">
        <v>13</v>
      </c>
      <c r="N35">
        <f>M35+1</f>
        <v>14</v>
      </c>
      <c r="O35">
        <f>N35+1</f>
        <v>15</v>
      </c>
      <c r="P35">
        <f>O35+1</f>
        <v>16</v>
      </c>
      <c r="Q35">
        <f>P35+2</f>
        <v>18</v>
      </c>
      <c r="R35">
        <f>Q35+2</f>
        <v>20</v>
      </c>
      <c r="S35">
        <f>R35+4</f>
        <v>24</v>
      </c>
      <c r="T35">
        <f>S35+4</f>
        <v>28</v>
      </c>
      <c r="U35">
        <f>T35+4</f>
        <v>32</v>
      </c>
      <c r="V35">
        <f>U35+4</f>
        <v>36</v>
      </c>
      <c r="W35">
        <f>V35+4</f>
        <v>40</v>
      </c>
    </row>
    <row r="36" spans="1:23" x14ac:dyDescent="0.25">
      <c r="A36">
        <v>1</v>
      </c>
      <c r="B36" s="548">
        <v>35.99</v>
      </c>
      <c r="C36" s="547">
        <v>54</v>
      </c>
      <c r="D36" s="547">
        <v>65.69</v>
      </c>
      <c r="E36" s="547">
        <v>74.22</v>
      </c>
      <c r="F36" s="547">
        <v>80.87</v>
      </c>
      <c r="G36" s="547">
        <v>86.29</v>
      </c>
      <c r="H36" s="547">
        <v>90.85</v>
      </c>
      <c r="I36" s="547">
        <v>94.77</v>
      </c>
      <c r="J36" s="547">
        <v>98.2</v>
      </c>
      <c r="K36" s="476">
        <v>101.3</v>
      </c>
      <c r="L36" s="476">
        <v>104</v>
      </c>
      <c r="M36" s="476">
        <v>106.5</v>
      </c>
      <c r="N36" s="476">
        <v>108.8</v>
      </c>
      <c r="O36" s="476">
        <v>110.8</v>
      </c>
      <c r="P36" s="476">
        <v>112.7</v>
      </c>
      <c r="Q36" s="476">
        <v>116.2</v>
      </c>
      <c r="R36" s="476">
        <v>119.2</v>
      </c>
      <c r="S36" s="476">
        <v>124.3</v>
      </c>
      <c r="T36" s="476">
        <v>128.6</v>
      </c>
      <c r="U36" s="476">
        <v>132.1</v>
      </c>
      <c r="V36" s="476">
        <v>135.19999999999999</v>
      </c>
      <c r="W36" s="477">
        <v>137.9</v>
      </c>
    </row>
    <row r="37" spans="1:23" x14ac:dyDescent="0.25">
      <c r="A37">
        <v>2</v>
      </c>
      <c r="B37" s="285">
        <v>8.7759999999999998</v>
      </c>
      <c r="C37" s="34">
        <v>11.94</v>
      </c>
      <c r="D37" s="34">
        <v>14.01</v>
      </c>
      <c r="E37" s="34">
        <v>15.54</v>
      </c>
      <c r="F37" s="34">
        <v>16.75</v>
      </c>
      <c r="G37" s="34">
        <v>17.739999999999998</v>
      </c>
      <c r="H37" s="34">
        <v>18.579999999999998</v>
      </c>
      <c r="I37" s="34">
        <v>19.309999999999999</v>
      </c>
      <c r="J37" s="34">
        <v>19.95</v>
      </c>
      <c r="K37" s="34">
        <v>20.52</v>
      </c>
      <c r="L37" s="34">
        <v>21.03</v>
      </c>
      <c r="M37" s="34">
        <v>21.49</v>
      </c>
      <c r="N37" s="34">
        <v>21.91</v>
      </c>
      <c r="O37" s="34">
        <v>22.3</v>
      </c>
      <c r="P37" s="34">
        <v>22.67</v>
      </c>
      <c r="Q37" s="34">
        <v>23.32</v>
      </c>
      <c r="R37" s="34">
        <v>23.89</v>
      </c>
      <c r="S37" s="34">
        <v>24.87</v>
      </c>
      <c r="T37" s="34">
        <v>25.67</v>
      </c>
      <c r="U37" s="34">
        <v>26.35</v>
      </c>
      <c r="V37" s="34">
        <v>26.95</v>
      </c>
      <c r="W37" s="252">
        <v>27.47</v>
      </c>
    </row>
    <row r="38" spans="1:23" x14ac:dyDescent="0.25">
      <c r="A38">
        <v>3</v>
      </c>
      <c r="B38" s="285">
        <v>5.907</v>
      </c>
      <c r="C38" s="36">
        <v>7.6609999999999996</v>
      </c>
      <c r="D38" s="36">
        <v>8.8079999999999998</v>
      </c>
      <c r="E38" s="36">
        <v>9.66</v>
      </c>
      <c r="F38" s="34">
        <v>10.34</v>
      </c>
      <c r="G38" s="34">
        <v>10.89</v>
      </c>
      <c r="H38" s="34">
        <v>11.37</v>
      </c>
      <c r="I38" s="34">
        <v>11.78</v>
      </c>
      <c r="J38" s="34">
        <v>12.14</v>
      </c>
      <c r="K38" s="34">
        <v>12.46</v>
      </c>
      <c r="L38" s="34">
        <v>12.75</v>
      </c>
      <c r="M38" s="34">
        <v>13.01</v>
      </c>
      <c r="N38" s="34">
        <v>13.26</v>
      </c>
      <c r="O38" s="34">
        <v>13.48</v>
      </c>
      <c r="P38" s="34">
        <v>13.69</v>
      </c>
      <c r="Q38" s="34">
        <v>14.06</v>
      </c>
      <c r="R38" s="34">
        <v>14.39</v>
      </c>
      <c r="S38" s="34">
        <v>14.95</v>
      </c>
      <c r="T38" s="34">
        <v>15.41</v>
      </c>
      <c r="U38" s="34">
        <v>15.81</v>
      </c>
      <c r="V38" s="34">
        <v>16.149999999999999</v>
      </c>
      <c r="W38" s="252">
        <v>16.46</v>
      </c>
    </row>
    <row r="39" spans="1:23" x14ac:dyDescent="0.25">
      <c r="A39">
        <v>4</v>
      </c>
      <c r="B39" s="285">
        <v>4.9429999999999996</v>
      </c>
      <c r="C39" s="36">
        <v>6.2439999999999998</v>
      </c>
      <c r="D39" s="36">
        <v>7.0880000000000001</v>
      </c>
      <c r="E39" s="36">
        <v>7.7160000000000002</v>
      </c>
      <c r="F39" s="36">
        <v>8.2129999999999992</v>
      </c>
      <c r="G39" s="36">
        <v>8.625</v>
      </c>
      <c r="H39" s="36">
        <v>8.9760000000000009</v>
      </c>
      <c r="I39" s="36">
        <v>9.2789999999999999</v>
      </c>
      <c r="J39" s="36">
        <v>9.548</v>
      </c>
      <c r="K39" s="36">
        <v>9.7880000000000003</v>
      </c>
      <c r="L39" s="34">
        <v>10.01</v>
      </c>
      <c r="M39" s="34">
        <v>10.199999999999999</v>
      </c>
      <c r="N39" s="34">
        <v>10.39</v>
      </c>
      <c r="O39" s="34">
        <v>10.55</v>
      </c>
      <c r="P39" s="34">
        <v>10.71</v>
      </c>
      <c r="Q39" s="34">
        <v>10.99</v>
      </c>
      <c r="R39" s="34">
        <v>11.23</v>
      </c>
      <c r="S39" s="34">
        <v>11.66</v>
      </c>
      <c r="T39" s="34">
        <v>12</v>
      </c>
      <c r="U39" s="34">
        <v>12.3</v>
      </c>
      <c r="V39" s="34">
        <v>12.56</v>
      </c>
      <c r="W39" s="252">
        <v>12.79</v>
      </c>
    </row>
    <row r="40" spans="1:23" x14ac:dyDescent="0.25">
      <c r="A40">
        <v>5</v>
      </c>
      <c r="B40" s="285">
        <v>4.4740000000000002</v>
      </c>
      <c r="C40" s="36">
        <v>5.5579999999999998</v>
      </c>
      <c r="D40" s="36">
        <v>6.2569999999999997</v>
      </c>
      <c r="E40" s="36">
        <v>6.7750000000000004</v>
      </c>
      <c r="F40" s="36">
        <v>7.1859999999999999</v>
      </c>
      <c r="G40" s="36">
        <v>7.5270000000000001</v>
      </c>
      <c r="H40" s="36">
        <v>7.8159999999999998</v>
      </c>
      <c r="I40" s="36">
        <v>8.0679999999999996</v>
      </c>
      <c r="J40" s="36">
        <v>8.2910000000000004</v>
      </c>
      <c r="K40" s="36">
        <v>8.49</v>
      </c>
      <c r="L40" s="36">
        <v>8.67</v>
      </c>
      <c r="M40" s="36">
        <v>8.8339999999999996</v>
      </c>
      <c r="N40" s="36">
        <v>8.984</v>
      </c>
      <c r="O40" s="36">
        <v>9.1240000000000006</v>
      </c>
      <c r="P40" s="36">
        <v>9.2530000000000001</v>
      </c>
      <c r="Q40" s="36">
        <v>9.4860000000000007</v>
      </c>
      <c r="R40" s="36">
        <v>9.6929999999999996</v>
      </c>
      <c r="S40" s="34">
        <v>10.039999999999999</v>
      </c>
      <c r="T40" s="34">
        <v>10.34</v>
      </c>
      <c r="U40" s="34">
        <v>10.59</v>
      </c>
      <c r="V40" s="34">
        <v>10.8</v>
      </c>
      <c r="W40" s="252">
        <v>11</v>
      </c>
    </row>
    <row r="41" spans="1:23" x14ac:dyDescent="0.25">
      <c r="A41">
        <v>6</v>
      </c>
      <c r="B41" s="285">
        <v>4.1989999999999998</v>
      </c>
      <c r="C41" s="36">
        <v>5.1580000000000004</v>
      </c>
      <c r="D41" s="36">
        <v>5.7720000000000002</v>
      </c>
      <c r="E41" s="36">
        <v>6.226</v>
      </c>
      <c r="F41" s="36">
        <v>6.5860000000000003</v>
      </c>
      <c r="G41" s="36">
        <v>6.8840000000000003</v>
      </c>
      <c r="H41" s="36">
        <v>7.1379999999999999</v>
      </c>
      <c r="I41" s="36">
        <v>7.359</v>
      </c>
      <c r="J41" s="36">
        <v>7.5540000000000003</v>
      </c>
      <c r="K41" s="36">
        <v>7.7290000000000001</v>
      </c>
      <c r="L41" s="36">
        <v>7.8869999999999996</v>
      </c>
      <c r="M41" s="36">
        <v>8.0310000000000006</v>
      </c>
      <c r="N41" s="36">
        <v>8.1630000000000003</v>
      </c>
      <c r="O41" s="36">
        <v>8.2859999999999996</v>
      </c>
      <c r="P41" s="36">
        <v>8.3989999999999991</v>
      </c>
      <c r="Q41" s="36">
        <v>8.6050000000000004</v>
      </c>
      <c r="R41" s="36">
        <v>8.7870000000000008</v>
      </c>
      <c r="S41" s="36">
        <v>9.0969999999999995</v>
      </c>
      <c r="T41" s="36">
        <v>9.3550000000000004</v>
      </c>
      <c r="U41" s="36">
        <v>9.5749999999999993</v>
      </c>
      <c r="V41" s="36">
        <v>9.7669999999999995</v>
      </c>
      <c r="W41" s="286">
        <v>9.9380000000000006</v>
      </c>
    </row>
    <row r="42" spans="1:23" x14ac:dyDescent="0.25">
      <c r="A42">
        <v>7</v>
      </c>
      <c r="B42" s="285">
        <v>4.0179999999999998</v>
      </c>
      <c r="C42" s="36">
        <v>4.8970000000000002</v>
      </c>
      <c r="D42" s="36">
        <v>5.4550000000000001</v>
      </c>
      <c r="E42" s="36">
        <v>5.8680000000000003</v>
      </c>
      <c r="F42" s="36">
        <v>6.194</v>
      </c>
      <c r="G42" s="36">
        <v>6.4640000000000004</v>
      </c>
      <c r="H42" s="36">
        <v>6.6950000000000003</v>
      </c>
      <c r="I42" s="36">
        <v>6.8949999999999996</v>
      </c>
      <c r="J42" s="36">
        <v>7.0720000000000001</v>
      </c>
      <c r="K42" s="36">
        <v>7.23</v>
      </c>
      <c r="L42" s="36">
        <v>7.3730000000000002</v>
      </c>
      <c r="M42" s="36">
        <v>7.5039999999999996</v>
      </c>
      <c r="N42" s="36">
        <v>7.6239999999999997</v>
      </c>
      <c r="O42" s="36">
        <v>7.7350000000000003</v>
      </c>
      <c r="P42" s="36">
        <v>7.8390000000000004</v>
      </c>
      <c r="Q42" s="36">
        <v>8.0250000000000004</v>
      </c>
      <c r="R42" s="36">
        <v>8.1910000000000007</v>
      </c>
      <c r="S42" s="36">
        <v>8.4730000000000008</v>
      </c>
      <c r="T42" s="36">
        <v>8.7080000000000002</v>
      </c>
      <c r="U42" s="36">
        <v>8.9090000000000007</v>
      </c>
      <c r="V42" s="36">
        <v>9.0839999999999996</v>
      </c>
      <c r="W42" s="286">
        <v>9.2390000000000008</v>
      </c>
    </row>
    <row r="43" spans="1:23" x14ac:dyDescent="0.25">
      <c r="A43">
        <v>8</v>
      </c>
      <c r="B43" s="285">
        <v>3.8919999999999999</v>
      </c>
      <c r="C43" s="36">
        <v>4.7140000000000004</v>
      </c>
      <c r="D43" s="36">
        <v>5.2329999999999997</v>
      </c>
      <c r="E43" s="36">
        <v>5.6159999999999997</v>
      </c>
      <c r="F43" s="36">
        <v>5.9189999999999996</v>
      </c>
      <c r="G43" s="36">
        <v>6.1689999999999996</v>
      </c>
      <c r="H43" s="36">
        <v>6.3819999999999997</v>
      </c>
      <c r="I43" s="36">
        <v>6.5679999999999996</v>
      </c>
      <c r="J43" s="36">
        <v>6.7320000000000002</v>
      </c>
      <c r="K43" s="36">
        <v>6.8789999999999996</v>
      </c>
      <c r="L43" s="36">
        <v>7.0110000000000001</v>
      </c>
      <c r="M43" s="36">
        <v>7.1319999999999997</v>
      </c>
      <c r="N43" s="36">
        <v>7.2439999999999998</v>
      </c>
      <c r="O43" s="36">
        <v>7.3470000000000004</v>
      </c>
      <c r="P43" s="36">
        <v>7.4429999999999996</v>
      </c>
      <c r="Q43" s="36">
        <v>7.6159999999999997</v>
      </c>
      <c r="R43" s="36">
        <v>7.7690000000000001</v>
      </c>
      <c r="S43" s="36">
        <v>8.0310000000000006</v>
      </c>
      <c r="T43" s="36">
        <v>8.25</v>
      </c>
      <c r="U43" s="36">
        <v>8.4359999999999999</v>
      </c>
      <c r="V43" s="36">
        <v>8.5990000000000002</v>
      </c>
      <c r="W43" s="286">
        <v>8.7430000000000003</v>
      </c>
    </row>
    <row r="44" spans="1:23" x14ac:dyDescent="0.25">
      <c r="A44">
        <v>9</v>
      </c>
      <c r="B44" s="285">
        <v>3.7970000000000002</v>
      </c>
      <c r="C44" s="36">
        <v>4.5780000000000003</v>
      </c>
      <c r="D44" s="36">
        <v>5.069</v>
      </c>
      <c r="E44" s="36">
        <v>5.43</v>
      </c>
      <c r="F44" s="36">
        <v>5.7149999999999999</v>
      </c>
      <c r="G44" s="36">
        <v>5.95</v>
      </c>
      <c r="H44" s="36">
        <v>6.1509999999999998</v>
      </c>
      <c r="I44" s="36">
        <v>6.3250000000000002</v>
      </c>
      <c r="J44" s="36">
        <v>6.4790000000000001</v>
      </c>
      <c r="K44" s="36">
        <v>6.617</v>
      </c>
      <c r="L44" s="36">
        <v>6.742</v>
      </c>
      <c r="M44" s="36">
        <v>6.8559999999999999</v>
      </c>
      <c r="N44" s="36">
        <v>6.9610000000000003</v>
      </c>
      <c r="O44" s="36">
        <v>7.0579999999999998</v>
      </c>
      <c r="P44" s="36">
        <v>7.1479999999999997</v>
      </c>
      <c r="Q44" s="36">
        <v>7.3109999999999999</v>
      </c>
      <c r="R44" s="36">
        <v>7.4550000000000001</v>
      </c>
      <c r="S44" s="36">
        <v>7.702</v>
      </c>
      <c r="T44" s="36">
        <v>7.9080000000000004</v>
      </c>
      <c r="U44" s="36">
        <v>8.0839999999999996</v>
      </c>
      <c r="V44" s="36">
        <v>8.2370000000000001</v>
      </c>
      <c r="W44" s="286">
        <v>8.3729999999999993</v>
      </c>
    </row>
    <row r="45" spans="1:23" x14ac:dyDescent="0.25">
      <c r="A45">
        <v>10</v>
      </c>
      <c r="B45" s="285">
        <v>3.7250000000000001</v>
      </c>
      <c r="C45" s="36">
        <v>4.4740000000000002</v>
      </c>
      <c r="D45" s="36">
        <v>4.9429999999999996</v>
      </c>
      <c r="E45" s="36">
        <v>5.2869999999999999</v>
      </c>
      <c r="F45" s="36">
        <v>5.5579999999999998</v>
      </c>
      <c r="G45" s="36">
        <v>5.782</v>
      </c>
      <c r="H45" s="36">
        <v>5.9720000000000004</v>
      </c>
      <c r="I45" s="36">
        <v>6.1379999999999999</v>
      </c>
      <c r="J45" s="36">
        <v>6.2850000000000001</v>
      </c>
      <c r="K45" s="36">
        <v>6.4160000000000004</v>
      </c>
      <c r="L45" s="36">
        <v>6.5339999999999998</v>
      </c>
      <c r="M45" s="36">
        <v>6.6429999999999998</v>
      </c>
      <c r="N45" s="36">
        <v>6.742</v>
      </c>
      <c r="O45" s="36">
        <v>6.8339999999999996</v>
      </c>
      <c r="P45" s="36">
        <v>6.92</v>
      </c>
      <c r="Q45" s="36">
        <v>7.0750000000000002</v>
      </c>
      <c r="R45" s="36">
        <v>7.2119999999999997</v>
      </c>
      <c r="S45" s="36">
        <v>7.4470000000000001</v>
      </c>
      <c r="T45" s="36">
        <v>7.6429999999999998</v>
      </c>
      <c r="U45" s="36">
        <v>7.81</v>
      </c>
      <c r="V45" s="36">
        <v>7.9560000000000004</v>
      </c>
      <c r="W45" s="286">
        <v>8.0860000000000003</v>
      </c>
    </row>
    <row r="46" spans="1:23" x14ac:dyDescent="0.25">
      <c r="A46">
        <v>11</v>
      </c>
      <c r="B46" s="285">
        <v>3.6669999999999998</v>
      </c>
      <c r="C46" s="36">
        <v>4.391</v>
      </c>
      <c r="D46" s="36">
        <v>4.843</v>
      </c>
      <c r="E46" s="36">
        <v>5.173</v>
      </c>
      <c r="F46" s="36">
        <v>5.4329999999999998</v>
      </c>
      <c r="G46" s="36">
        <v>5.6479999999999997</v>
      </c>
      <c r="H46" s="36">
        <v>5.8310000000000004</v>
      </c>
      <c r="I46" s="36">
        <v>5.9889999999999999</v>
      </c>
      <c r="J46" s="36">
        <v>6.13</v>
      </c>
      <c r="K46" s="36">
        <v>6.2560000000000002</v>
      </c>
      <c r="L46" s="36">
        <v>6.3689999999999998</v>
      </c>
      <c r="M46" s="36">
        <v>6.4729999999999999</v>
      </c>
      <c r="N46" s="36">
        <v>6.5679999999999996</v>
      </c>
      <c r="O46" s="36">
        <v>6.657</v>
      </c>
      <c r="P46" s="36">
        <v>6.7389999999999999</v>
      </c>
      <c r="Q46" s="36">
        <v>6.8869999999999996</v>
      </c>
      <c r="R46" s="36">
        <v>7.0190000000000001</v>
      </c>
      <c r="S46" s="36">
        <v>7.2439999999999998</v>
      </c>
      <c r="T46" s="36">
        <v>7.431</v>
      </c>
      <c r="U46" s="36">
        <v>7.5919999999999996</v>
      </c>
      <c r="V46" s="36">
        <v>7.7320000000000002</v>
      </c>
      <c r="W46" s="286">
        <v>7.8559999999999999</v>
      </c>
    </row>
    <row r="47" spans="1:23" x14ac:dyDescent="0.25">
      <c r="A47">
        <v>12</v>
      </c>
      <c r="B47" s="285">
        <v>3.62</v>
      </c>
      <c r="C47" s="36">
        <v>4.3250000000000002</v>
      </c>
      <c r="D47" s="36">
        <v>4.7619999999999996</v>
      </c>
      <c r="E47" s="36">
        <v>5.0810000000000004</v>
      </c>
      <c r="F47" s="36">
        <v>5.3319999999999999</v>
      </c>
      <c r="G47" s="36">
        <v>5.54</v>
      </c>
      <c r="H47" s="36">
        <v>5.7160000000000002</v>
      </c>
      <c r="I47" s="36">
        <v>5.8689999999999998</v>
      </c>
      <c r="J47" s="36">
        <v>6.0039999999999996</v>
      </c>
      <c r="K47" s="36">
        <v>6.125</v>
      </c>
      <c r="L47" s="36">
        <v>6.2350000000000003</v>
      </c>
      <c r="M47" s="36">
        <v>6.335</v>
      </c>
      <c r="N47" s="36">
        <v>6.4269999999999996</v>
      </c>
      <c r="O47" s="36">
        <v>6.5119999999999996</v>
      </c>
      <c r="P47" s="36">
        <v>6.5910000000000002</v>
      </c>
      <c r="Q47" s="36">
        <v>6.734</v>
      </c>
      <c r="R47" s="36">
        <v>6.8609999999999998</v>
      </c>
      <c r="S47" s="36">
        <v>7.0780000000000003</v>
      </c>
      <c r="T47" s="36">
        <v>7.258</v>
      </c>
      <c r="U47" s="36">
        <v>7.4130000000000003</v>
      </c>
      <c r="V47" s="36">
        <v>7.548</v>
      </c>
      <c r="W47" s="286">
        <v>7.6680000000000001</v>
      </c>
    </row>
    <row r="48" spans="1:23" x14ac:dyDescent="0.25">
      <c r="A48">
        <v>13</v>
      </c>
      <c r="B48" s="285">
        <v>3.5819999999999999</v>
      </c>
      <c r="C48" s="36">
        <v>4.2690000000000001</v>
      </c>
      <c r="D48" s="36">
        <v>4.694</v>
      </c>
      <c r="E48" s="36">
        <v>5.0039999999999996</v>
      </c>
      <c r="F48" s="36">
        <v>5.2480000000000002</v>
      </c>
      <c r="G48" s="36">
        <v>5.4489999999999998</v>
      </c>
      <c r="H48" s="36">
        <v>5.62</v>
      </c>
      <c r="I48" s="36">
        <v>5.7690000000000001</v>
      </c>
      <c r="J48" s="36">
        <v>5.9</v>
      </c>
      <c r="K48" s="36">
        <v>6.0170000000000003</v>
      </c>
      <c r="L48" s="36">
        <v>6.1230000000000002</v>
      </c>
      <c r="M48" s="36">
        <v>6.22</v>
      </c>
      <c r="N48" s="36">
        <v>6.3090000000000002</v>
      </c>
      <c r="O48" s="36">
        <v>6.3920000000000003</v>
      </c>
      <c r="P48" s="36">
        <v>6.468</v>
      </c>
      <c r="Q48" s="36">
        <v>6.6070000000000002</v>
      </c>
      <c r="R48" s="36">
        <v>6.73</v>
      </c>
      <c r="S48" s="36">
        <v>6.9390000000000001</v>
      </c>
      <c r="T48" s="36">
        <v>7.1150000000000002</v>
      </c>
      <c r="U48" s="36">
        <v>7.2649999999999997</v>
      </c>
      <c r="V48" s="36">
        <v>7.3959999999999999</v>
      </c>
      <c r="W48" s="286">
        <v>7.5119999999999996</v>
      </c>
    </row>
    <row r="49" spans="1:23" x14ac:dyDescent="0.25">
      <c r="A49">
        <v>14</v>
      </c>
      <c r="B49" s="285">
        <v>3.55</v>
      </c>
      <c r="C49" s="36">
        <v>4.2220000000000004</v>
      </c>
      <c r="D49" s="36">
        <v>4.6379999999999999</v>
      </c>
      <c r="E49" s="36">
        <v>4.9400000000000004</v>
      </c>
      <c r="F49" s="36">
        <v>5.1779999999999999</v>
      </c>
      <c r="G49" s="36">
        <v>5.3739999999999997</v>
      </c>
      <c r="H49" s="36">
        <v>5.54</v>
      </c>
      <c r="I49" s="36">
        <v>5.6840000000000002</v>
      </c>
      <c r="J49" s="36">
        <v>5.8109999999999999</v>
      </c>
      <c r="K49" s="36">
        <v>5.9260000000000002</v>
      </c>
      <c r="L49" s="36">
        <v>6.0289999999999999</v>
      </c>
      <c r="M49" s="36">
        <v>6.1230000000000002</v>
      </c>
      <c r="N49" s="36">
        <v>6.21</v>
      </c>
      <c r="O49" s="36">
        <v>6.29</v>
      </c>
      <c r="P49" s="36">
        <v>6.3639999999999999</v>
      </c>
      <c r="Q49" s="36">
        <v>6.4989999999999997</v>
      </c>
      <c r="R49" s="36">
        <v>6.6189999999999998</v>
      </c>
      <c r="S49" s="36">
        <v>6.8230000000000004</v>
      </c>
      <c r="T49" s="36">
        <v>6.9930000000000003</v>
      </c>
      <c r="U49" s="36">
        <v>7.1390000000000002</v>
      </c>
      <c r="V49" s="36">
        <v>7.266</v>
      </c>
      <c r="W49" s="286">
        <v>7.3789999999999996</v>
      </c>
    </row>
    <row r="50" spans="1:23" x14ac:dyDescent="0.25">
      <c r="A50">
        <v>15</v>
      </c>
      <c r="B50" s="285">
        <v>3.5219999999999998</v>
      </c>
      <c r="C50" s="36">
        <v>4.1820000000000004</v>
      </c>
      <c r="D50" s="36">
        <v>4.5890000000000004</v>
      </c>
      <c r="E50" s="36">
        <v>4.8849999999999998</v>
      </c>
      <c r="F50" s="36">
        <v>5.1180000000000003</v>
      </c>
      <c r="G50" s="36">
        <v>5.3090000000000002</v>
      </c>
      <c r="H50" s="36">
        <v>5.4710000000000001</v>
      </c>
      <c r="I50" s="36">
        <v>5.6120000000000001</v>
      </c>
      <c r="J50" s="36">
        <v>5.7370000000000001</v>
      </c>
      <c r="K50" s="36">
        <v>5.8479999999999999</v>
      </c>
      <c r="L50" s="36">
        <v>5.9489999999999998</v>
      </c>
      <c r="M50" s="36">
        <v>6.0410000000000004</v>
      </c>
      <c r="N50" s="36">
        <v>6.125</v>
      </c>
      <c r="O50" s="36">
        <v>6.2030000000000003</v>
      </c>
      <c r="P50" s="36">
        <v>6.2759999999999998</v>
      </c>
      <c r="Q50" s="36">
        <v>6.407</v>
      </c>
      <c r="R50" s="36">
        <v>6.5229999999999997</v>
      </c>
      <c r="S50" s="36">
        <v>6.7229999999999999</v>
      </c>
      <c r="T50" s="36">
        <v>6.8890000000000002</v>
      </c>
      <c r="U50" s="36">
        <v>7.0309999999999997</v>
      </c>
      <c r="V50" s="36">
        <v>7.1550000000000002</v>
      </c>
      <c r="W50" s="286">
        <v>7.2649999999999997</v>
      </c>
    </row>
    <row r="51" spans="1:23" x14ac:dyDescent="0.25">
      <c r="A51">
        <v>16</v>
      </c>
      <c r="B51" s="285">
        <v>3.4980000000000002</v>
      </c>
      <c r="C51" s="36">
        <v>4.1479999999999997</v>
      </c>
      <c r="D51" s="36">
        <v>4.548</v>
      </c>
      <c r="E51" s="36">
        <v>4.8380000000000001</v>
      </c>
      <c r="F51" s="36">
        <v>5.0659999999999998</v>
      </c>
      <c r="G51" s="36">
        <v>5.2530000000000001</v>
      </c>
      <c r="H51" s="36">
        <v>5.4119999999999999</v>
      </c>
      <c r="I51" s="36">
        <v>5.55</v>
      </c>
      <c r="J51" s="36">
        <v>5.6719999999999997</v>
      </c>
      <c r="K51" s="36">
        <v>5.7809999999999997</v>
      </c>
      <c r="L51" s="36">
        <v>5.8789999999999996</v>
      </c>
      <c r="M51" s="36">
        <v>5.9690000000000003</v>
      </c>
      <c r="N51" s="36">
        <v>6.0519999999999996</v>
      </c>
      <c r="O51" s="36">
        <v>6.1280000000000001</v>
      </c>
      <c r="P51" s="36">
        <v>6.1989999999999998</v>
      </c>
      <c r="Q51" s="36">
        <v>6.3280000000000003</v>
      </c>
      <c r="R51" s="36">
        <v>6.4409999999999998</v>
      </c>
      <c r="S51" s="36">
        <v>6.6360000000000001</v>
      </c>
      <c r="T51" s="36">
        <v>6.7990000000000004</v>
      </c>
      <c r="U51" s="36">
        <v>6.9379999999999997</v>
      </c>
      <c r="V51" s="36">
        <v>7.0590000000000002</v>
      </c>
      <c r="W51" s="286">
        <v>7.1669999999999998</v>
      </c>
    </row>
    <row r="52" spans="1:23" x14ac:dyDescent="0.25">
      <c r="A52">
        <v>17</v>
      </c>
      <c r="B52" s="285">
        <v>3.4769999999999999</v>
      </c>
      <c r="C52" s="36">
        <v>4.1180000000000003</v>
      </c>
      <c r="D52" s="36">
        <v>4.5119999999999996</v>
      </c>
      <c r="E52" s="36">
        <v>4.7969999999999997</v>
      </c>
      <c r="F52" s="36">
        <v>5.0199999999999996</v>
      </c>
      <c r="G52" s="36">
        <v>5.2039999999999997</v>
      </c>
      <c r="H52" s="36">
        <v>5.3609999999999998</v>
      </c>
      <c r="I52" s="36">
        <v>5.4960000000000004</v>
      </c>
      <c r="J52" s="36">
        <v>5.6150000000000002</v>
      </c>
      <c r="K52" s="36">
        <v>5.7220000000000004</v>
      </c>
      <c r="L52" s="36">
        <v>5.8179999999999996</v>
      </c>
      <c r="M52" s="36">
        <v>5.907</v>
      </c>
      <c r="N52" s="36">
        <v>5.9870000000000001</v>
      </c>
      <c r="O52" s="36">
        <v>6.0620000000000003</v>
      </c>
      <c r="P52" s="36">
        <v>6.1319999999999997</v>
      </c>
      <c r="Q52" s="36">
        <v>6.258</v>
      </c>
      <c r="R52" s="36">
        <v>6.37</v>
      </c>
      <c r="S52" s="36">
        <v>6.56</v>
      </c>
      <c r="T52" s="36">
        <v>6.72</v>
      </c>
      <c r="U52" s="36">
        <v>6.8559999999999999</v>
      </c>
      <c r="V52" s="36">
        <v>6.9749999999999996</v>
      </c>
      <c r="W52" s="286">
        <v>7.0810000000000004</v>
      </c>
    </row>
    <row r="53" spans="1:23" x14ac:dyDescent="0.25">
      <c r="A53">
        <v>18</v>
      </c>
      <c r="B53" s="285">
        <v>3.4580000000000002</v>
      </c>
      <c r="C53" s="36">
        <v>4.0919999999999996</v>
      </c>
      <c r="D53" s="36">
        <v>4.4800000000000004</v>
      </c>
      <c r="E53" s="36">
        <v>4.7610000000000001</v>
      </c>
      <c r="F53" s="36">
        <v>4.9809999999999999</v>
      </c>
      <c r="G53" s="36">
        <v>5.1619999999999999</v>
      </c>
      <c r="H53" s="36">
        <v>5.3150000000000004</v>
      </c>
      <c r="I53" s="36">
        <v>5.4480000000000004</v>
      </c>
      <c r="J53" s="36">
        <v>5.5650000000000004</v>
      </c>
      <c r="K53" s="36">
        <v>5.67</v>
      </c>
      <c r="L53" s="36">
        <v>5.7649999999999997</v>
      </c>
      <c r="M53" s="36">
        <v>5.8520000000000003</v>
      </c>
      <c r="N53" s="36">
        <v>5.931</v>
      </c>
      <c r="O53" s="36">
        <v>6.0039999999999996</v>
      </c>
      <c r="P53" s="36">
        <v>6.0730000000000004</v>
      </c>
      <c r="Q53" s="36">
        <v>6.1970000000000001</v>
      </c>
      <c r="R53" s="36">
        <v>6.306</v>
      </c>
      <c r="S53" s="36">
        <v>6.4930000000000003</v>
      </c>
      <c r="T53" s="36">
        <v>6.65</v>
      </c>
      <c r="U53" s="36">
        <v>6.7839999999999998</v>
      </c>
      <c r="V53" s="36">
        <v>6.9</v>
      </c>
      <c r="W53" s="286">
        <v>7.0049999999999999</v>
      </c>
    </row>
    <row r="54" spans="1:23" x14ac:dyDescent="0.25">
      <c r="A54">
        <v>19</v>
      </c>
      <c r="B54" s="285">
        <v>3.4420000000000002</v>
      </c>
      <c r="C54" s="36">
        <v>4.0679999999999996</v>
      </c>
      <c r="D54" s="36">
        <v>4.4509999999999996</v>
      </c>
      <c r="E54" s="36">
        <v>4.7279999999999998</v>
      </c>
      <c r="F54" s="36">
        <v>4.9450000000000003</v>
      </c>
      <c r="G54" s="36">
        <v>5.1230000000000002</v>
      </c>
      <c r="H54" s="36">
        <v>5.2750000000000004</v>
      </c>
      <c r="I54" s="36">
        <v>5.4050000000000002</v>
      </c>
      <c r="J54" s="36">
        <v>5.5209999999999999</v>
      </c>
      <c r="K54" s="36">
        <v>5.6239999999999997</v>
      </c>
      <c r="L54" s="36">
        <v>5.718</v>
      </c>
      <c r="M54" s="36">
        <v>5.8029999999999999</v>
      </c>
      <c r="N54" s="36">
        <v>5.8810000000000002</v>
      </c>
      <c r="O54" s="36">
        <v>5.9539999999999997</v>
      </c>
      <c r="P54" s="36">
        <v>6.02</v>
      </c>
      <c r="Q54" s="36">
        <v>6.1420000000000003</v>
      </c>
      <c r="R54" s="36">
        <v>6.25</v>
      </c>
      <c r="S54" s="36">
        <v>6.4340000000000002</v>
      </c>
      <c r="T54" s="36">
        <v>6.5880000000000001</v>
      </c>
      <c r="U54" s="36">
        <v>6.7190000000000003</v>
      </c>
      <c r="V54" s="36">
        <v>6.835</v>
      </c>
      <c r="W54" s="286">
        <v>6.9359999999999999</v>
      </c>
    </row>
    <row r="55" spans="1:23" x14ac:dyDescent="0.25">
      <c r="A55">
        <v>20</v>
      </c>
      <c r="B55" s="285">
        <v>3.427</v>
      </c>
      <c r="C55" s="36">
        <v>4.0469999999999997</v>
      </c>
      <c r="D55" s="36">
        <v>4.4260000000000002</v>
      </c>
      <c r="E55" s="36">
        <v>4.7</v>
      </c>
      <c r="F55" s="36">
        <v>4.9139999999999997</v>
      </c>
      <c r="G55" s="36">
        <v>5.0890000000000004</v>
      </c>
      <c r="H55" s="36">
        <v>5.2380000000000004</v>
      </c>
      <c r="I55" s="36">
        <v>5.3680000000000003</v>
      </c>
      <c r="J55" s="36">
        <v>5.4809999999999999</v>
      </c>
      <c r="K55" s="36">
        <v>5.5830000000000002</v>
      </c>
      <c r="L55" s="36">
        <v>5.6749999999999998</v>
      </c>
      <c r="M55" s="36">
        <v>5.7590000000000003</v>
      </c>
      <c r="N55" s="36">
        <v>5.8360000000000003</v>
      </c>
      <c r="O55" s="36">
        <v>5.907</v>
      </c>
      <c r="P55" s="36">
        <v>5.9740000000000002</v>
      </c>
      <c r="Q55" s="36">
        <v>6.093</v>
      </c>
      <c r="R55" s="36">
        <v>6.2</v>
      </c>
      <c r="S55" s="36">
        <v>6.3810000000000002</v>
      </c>
      <c r="T55" s="36">
        <v>6.532</v>
      </c>
      <c r="U55" s="36">
        <v>6.6619999999999999</v>
      </c>
      <c r="V55" s="36">
        <v>6.7750000000000004</v>
      </c>
      <c r="W55" s="286">
        <v>6.8760000000000003</v>
      </c>
    </row>
    <row r="56" spans="1:23" x14ac:dyDescent="0.25">
      <c r="A56">
        <v>24</v>
      </c>
      <c r="B56" s="285">
        <v>3.3809999999999998</v>
      </c>
      <c r="C56" s="36">
        <v>3.9830000000000001</v>
      </c>
      <c r="D56" s="36">
        <v>4.3470000000000004</v>
      </c>
      <c r="E56" s="36">
        <v>4.6100000000000003</v>
      </c>
      <c r="F56" s="36">
        <v>4.8159999999999998</v>
      </c>
      <c r="G56" s="36">
        <v>4.984</v>
      </c>
      <c r="H56" s="36">
        <v>5.2160000000000002</v>
      </c>
      <c r="I56" s="36">
        <v>5.25</v>
      </c>
      <c r="J56" s="36">
        <v>5.3579999999999997</v>
      </c>
      <c r="K56" s="36">
        <v>5.4550000000000001</v>
      </c>
      <c r="L56" s="36">
        <v>5.5430000000000001</v>
      </c>
      <c r="M56" s="36">
        <v>5.6230000000000002</v>
      </c>
      <c r="N56" s="36">
        <v>5.6970000000000001</v>
      </c>
      <c r="O56" s="36">
        <v>5.7640000000000002</v>
      </c>
      <c r="P56" s="36">
        <v>5.827</v>
      </c>
      <c r="Q56" s="36">
        <v>5.9409999999999998</v>
      </c>
      <c r="R56" s="36">
        <v>6.0430000000000001</v>
      </c>
      <c r="S56" s="36">
        <v>6.2149999999999999</v>
      </c>
      <c r="T56" s="36">
        <v>6.359</v>
      </c>
      <c r="U56" s="36">
        <v>6.4820000000000002</v>
      </c>
      <c r="V56" s="36">
        <v>6.5890000000000004</v>
      </c>
      <c r="W56" s="286">
        <v>6.6849999999999996</v>
      </c>
    </row>
    <row r="57" spans="1:23" x14ac:dyDescent="0.25">
      <c r="A57">
        <v>30</v>
      </c>
      <c r="B57" s="285">
        <v>3.3370000000000002</v>
      </c>
      <c r="C57" s="36">
        <v>3.919</v>
      </c>
      <c r="D57" s="36">
        <v>4.2709999999999999</v>
      </c>
      <c r="E57" s="36">
        <v>4.5229999999999997</v>
      </c>
      <c r="F57" s="36">
        <v>4.72</v>
      </c>
      <c r="G57" s="36">
        <v>4.8810000000000002</v>
      </c>
      <c r="H57" s="36">
        <v>5.0170000000000003</v>
      </c>
      <c r="I57" s="36">
        <v>5.1340000000000003</v>
      </c>
      <c r="J57" s="36">
        <v>5.2380000000000004</v>
      </c>
      <c r="K57" s="36">
        <v>5.33</v>
      </c>
      <c r="L57" s="36">
        <v>5.4139999999999997</v>
      </c>
      <c r="M57" s="36">
        <v>5.49</v>
      </c>
      <c r="N57" s="36">
        <v>5.56</v>
      </c>
      <c r="O57" s="36">
        <v>5.6239999999999997</v>
      </c>
      <c r="P57" s="36">
        <v>5.6840000000000002</v>
      </c>
      <c r="Q57" s="36">
        <v>5.7919999999999998</v>
      </c>
      <c r="R57" s="36">
        <v>5.8879999999999999</v>
      </c>
      <c r="S57" s="36">
        <v>6.0519999999999996</v>
      </c>
      <c r="T57" s="36">
        <v>6.1879999999999997</v>
      </c>
      <c r="U57" s="36">
        <v>6.3049999999999997</v>
      </c>
      <c r="V57" s="36">
        <v>6.4059999999999997</v>
      </c>
      <c r="W57" s="286">
        <v>6.4969999999999999</v>
      </c>
    </row>
    <row r="58" spans="1:23" x14ac:dyDescent="0.25">
      <c r="A58">
        <v>40</v>
      </c>
      <c r="B58" s="285">
        <v>3.294</v>
      </c>
      <c r="C58" s="36">
        <v>3.8580000000000001</v>
      </c>
      <c r="D58" s="36">
        <v>4.1970000000000001</v>
      </c>
      <c r="E58" s="36">
        <v>4.4390000000000001</v>
      </c>
      <c r="F58" s="36">
        <v>4.6269999999999998</v>
      </c>
      <c r="G58" s="36">
        <v>4.78</v>
      </c>
      <c r="H58" s="36">
        <v>4.91</v>
      </c>
      <c r="I58" s="36">
        <v>5.0220000000000002</v>
      </c>
      <c r="J58" s="36">
        <v>5.12</v>
      </c>
      <c r="K58" s="36">
        <v>5.2080000000000002</v>
      </c>
      <c r="L58" s="36">
        <v>5.2880000000000003</v>
      </c>
      <c r="M58" s="36">
        <v>5.36</v>
      </c>
      <c r="N58" s="36">
        <v>5.4260000000000002</v>
      </c>
      <c r="O58" s="36">
        <v>5.4870000000000001</v>
      </c>
      <c r="P58" s="36">
        <v>5.5439999999999996</v>
      </c>
      <c r="Q58" s="36">
        <v>5.6459999999999999</v>
      </c>
      <c r="R58" s="36">
        <v>5.7370000000000001</v>
      </c>
      <c r="S58" s="36">
        <v>5.891</v>
      </c>
      <c r="T58" s="36">
        <v>6.02</v>
      </c>
      <c r="U58" s="36">
        <v>6.13</v>
      </c>
      <c r="V58" s="36">
        <v>6.226</v>
      </c>
      <c r="W58" s="286">
        <v>6.3109999999999999</v>
      </c>
    </row>
    <row r="59" spans="1:23" x14ac:dyDescent="0.25">
      <c r="A59">
        <v>60</v>
      </c>
      <c r="B59" s="285">
        <v>3.2509999999999999</v>
      </c>
      <c r="C59" s="36">
        <v>3.798</v>
      </c>
      <c r="D59" s="36">
        <v>4.1239999999999997</v>
      </c>
      <c r="E59" s="36">
        <v>4.3559999999999999</v>
      </c>
      <c r="F59" s="36">
        <v>4.5359999999999996</v>
      </c>
      <c r="G59" s="36">
        <v>4.6820000000000004</v>
      </c>
      <c r="H59" s="36">
        <v>4.806</v>
      </c>
      <c r="I59" s="36">
        <v>4.9119999999999999</v>
      </c>
      <c r="J59" s="36">
        <v>5.0060000000000002</v>
      </c>
      <c r="K59" s="36">
        <v>5.0890000000000004</v>
      </c>
      <c r="L59" s="36">
        <v>5.1639999999999997</v>
      </c>
      <c r="M59" s="36">
        <v>5.2320000000000002</v>
      </c>
      <c r="N59" s="36">
        <v>5.2949999999999999</v>
      </c>
      <c r="O59" s="36">
        <v>5.3520000000000003</v>
      </c>
      <c r="P59" s="36">
        <v>5.4059999999999997</v>
      </c>
      <c r="Q59" s="36">
        <v>5.5030000000000001</v>
      </c>
      <c r="R59" s="36">
        <v>5.5880000000000001</v>
      </c>
      <c r="S59" s="36">
        <v>5.7329999999999997</v>
      </c>
      <c r="T59" s="36">
        <v>5.8540000000000001</v>
      </c>
      <c r="U59" s="36">
        <v>5.9580000000000002</v>
      </c>
      <c r="V59" s="36">
        <v>6.048</v>
      </c>
      <c r="W59" s="286">
        <v>6.1269999999999998</v>
      </c>
    </row>
    <row r="60" spans="1:23" x14ac:dyDescent="0.25">
      <c r="A60">
        <v>120</v>
      </c>
      <c r="B60" s="285">
        <v>3.21</v>
      </c>
      <c r="C60" s="36">
        <v>3.7389999999999999</v>
      </c>
      <c r="D60" s="36">
        <v>4.0529999999999999</v>
      </c>
      <c r="E60" s="36">
        <v>4.2759999999999998</v>
      </c>
      <c r="F60" s="36">
        <v>4.4470000000000001</v>
      </c>
      <c r="G60" s="36">
        <v>4.5869999999999997</v>
      </c>
      <c r="H60" s="36">
        <v>4.7039999999999997</v>
      </c>
      <c r="I60" s="36">
        <v>4.8049999999999997</v>
      </c>
      <c r="J60" s="36">
        <v>4.8940000000000001</v>
      </c>
      <c r="K60" s="36">
        <v>4.9720000000000004</v>
      </c>
      <c r="L60" s="36">
        <v>5.0430000000000001</v>
      </c>
      <c r="M60" s="36">
        <v>5.1070000000000002</v>
      </c>
      <c r="N60" s="36">
        <v>5.1660000000000004</v>
      </c>
      <c r="O60" s="36">
        <v>5.2210000000000001</v>
      </c>
      <c r="P60" s="36">
        <v>5.2709999999999999</v>
      </c>
      <c r="Q60" s="36">
        <v>5.3620000000000001</v>
      </c>
      <c r="R60" s="36">
        <v>5.4420000000000002</v>
      </c>
      <c r="S60" s="36">
        <v>5.5780000000000003</v>
      </c>
      <c r="T60" s="36">
        <v>5.6909999999999998</v>
      </c>
      <c r="U60" s="36">
        <v>5.7880000000000003</v>
      </c>
      <c r="V60" s="36">
        <v>5.8719999999999999</v>
      </c>
      <c r="W60" s="286">
        <v>5.9459999999999997</v>
      </c>
    </row>
    <row r="61" spans="1:23" x14ac:dyDescent="0.25">
      <c r="A61" s="12" t="s">
        <v>169</v>
      </c>
      <c r="B61" s="287">
        <v>3.17</v>
      </c>
      <c r="C61" s="483">
        <v>3.6819999999999999</v>
      </c>
      <c r="D61" s="483">
        <v>3.984</v>
      </c>
      <c r="E61" s="483">
        <v>4.1970000000000001</v>
      </c>
      <c r="F61" s="483">
        <v>4.3609999999999998</v>
      </c>
      <c r="G61" s="483">
        <v>4.4939999999999998</v>
      </c>
      <c r="H61" s="483">
        <v>4.6050000000000004</v>
      </c>
      <c r="I61" s="483">
        <v>4.7</v>
      </c>
      <c r="J61" s="483">
        <v>4.7839999999999998</v>
      </c>
      <c r="K61" s="483">
        <v>4.8579999999999997</v>
      </c>
      <c r="L61" s="483">
        <v>4.9249999999999998</v>
      </c>
      <c r="M61" s="483">
        <v>4.9850000000000003</v>
      </c>
      <c r="N61" s="483">
        <v>5.0410000000000004</v>
      </c>
      <c r="O61" s="483">
        <v>5.0919999999999996</v>
      </c>
      <c r="P61" s="483">
        <v>5.1390000000000002</v>
      </c>
      <c r="Q61" s="483">
        <v>5.2240000000000002</v>
      </c>
      <c r="R61" s="483">
        <v>5.2990000000000004</v>
      </c>
      <c r="S61" s="483">
        <v>5.4249999999999998</v>
      </c>
      <c r="T61" s="483">
        <v>5.53</v>
      </c>
      <c r="U61" s="483">
        <v>5.62</v>
      </c>
      <c r="V61" s="483">
        <v>5.6980000000000004</v>
      </c>
      <c r="W61" s="288">
        <v>5.76</v>
      </c>
    </row>
    <row r="63" spans="1:23" x14ac:dyDescent="0.25">
      <c r="A63" t="s">
        <v>18</v>
      </c>
      <c r="B63">
        <v>0.05</v>
      </c>
    </row>
    <row r="64" spans="1:23" x14ac:dyDescent="0.25">
      <c r="B64" t="s">
        <v>65</v>
      </c>
    </row>
    <row r="65" spans="1:23" x14ac:dyDescent="0.25">
      <c r="A65" s="12" t="s">
        <v>41</v>
      </c>
      <c r="B65">
        <v>2</v>
      </c>
      <c r="C65">
        <f>B65+1</f>
        <v>3</v>
      </c>
      <c r="D65">
        <f t="shared" ref="D65:L65" si="2">C65+1</f>
        <v>4</v>
      </c>
      <c r="E65">
        <f t="shared" si="2"/>
        <v>5</v>
      </c>
      <c r="F65">
        <f t="shared" si="2"/>
        <v>6</v>
      </c>
      <c r="G65">
        <f t="shared" si="2"/>
        <v>7</v>
      </c>
      <c r="H65">
        <f t="shared" si="2"/>
        <v>8</v>
      </c>
      <c r="I65">
        <f t="shared" si="2"/>
        <v>9</v>
      </c>
      <c r="J65">
        <f t="shared" si="2"/>
        <v>10</v>
      </c>
      <c r="K65">
        <f t="shared" si="2"/>
        <v>11</v>
      </c>
      <c r="L65">
        <f t="shared" si="2"/>
        <v>12</v>
      </c>
      <c r="M65">
        <v>13</v>
      </c>
      <c r="N65">
        <f>M65+1</f>
        <v>14</v>
      </c>
      <c r="O65">
        <f>N65+1</f>
        <v>15</v>
      </c>
      <c r="P65">
        <f>O65+1</f>
        <v>16</v>
      </c>
      <c r="Q65">
        <f>P65+2</f>
        <v>18</v>
      </c>
      <c r="R65">
        <f>Q65+2</f>
        <v>20</v>
      </c>
      <c r="S65">
        <f>R65+4</f>
        <v>24</v>
      </c>
      <c r="T65">
        <f>S65+4</f>
        <v>28</v>
      </c>
      <c r="U65">
        <f>T65+4</f>
        <v>32</v>
      </c>
      <c r="V65">
        <f>U65+4</f>
        <v>36</v>
      </c>
      <c r="W65">
        <f>V65+4</f>
        <v>40</v>
      </c>
    </row>
    <row r="66" spans="1:23" x14ac:dyDescent="0.25">
      <c r="A66">
        <v>1</v>
      </c>
      <c r="B66" s="3">
        <v>17.97</v>
      </c>
      <c r="C66" s="387">
        <v>26.98</v>
      </c>
      <c r="D66" s="387">
        <v>32.82</v>
      </c>
      <c r="E66" s="387">
        <v>37.08</v>
      </c>
      <c r="F66" s="387">
        <v>40.409999999999997</v>
      </c>
      <c r="G66" s="387">
        <v>43.12</v>
      </c>
      <c r="H66" s="547">
        <v>45.4</v>
      </c>
      <c r="I66" s="387">
        <v>47.36</v>
      </c>
      <c r="J66" s="387">
        <v>49.07</v>
      </c>
      <c r="K66" s="387">
        <v>50.59</v>
      </c>
      <c r="L66" s="387">
        <v>51.96</v>
      </c>
      <c r="M66" s="547">
        <v>53.2</v>
      </c>
      <c r="N66" s="387">
        <v>54.33</v>
      </c>
      <c r="O66" s="387">
        <v>55.36</v>
      </c>
      <c r="P66" s="387">
        <v>56.32</v>
      </c>
      <c r="Q66" s="387">
        <v>58.04</v>
      </c>
      <c r="R66" s="387">
        <v>59.56</v>
      </c>
      <c r="S66" s="387">
        <v>62.12</v>
      </c>
      <c r="T66" s="387">
        <v>64.23</v>
      </c>
      <c r="U66" s="387">
        <v>66.010000000000005</v>
      </c>
      <c r="V66" s="387">
        <v>67.56</v>
      </c>
      <c r="W66" s="5">
        <v>68.92</v>
      </c>
    </row>
    <row r="67" spans="1:23" x14ac:dyDescent="0.25">
      <c r="A67">
        <v>2</v>
      </c>
      <c r="B67" s="214">
        <v>6.085</v>
      </c>
      <c r="C67" s="7">
        <v>8.3309999999999995</v>
      </c>
      <c r="D67" s="7">
        <v>9.798</v>
      </c>
      <c r="E67" s="7">
        <v>10.88</v>
      </c>
      <c r="F67" s="7">
        <v>11.74</v>
      </c>
      <c r="G67" s="7">
        <v>12.44</v>
      </c>
      <c r="H67" s="7">
        <v>13.03</v>
      </c>
      <c r="I67" s="7">
        <v>13.54</v>
      </c>
      <c r="J67" s="7">
        <v>13.99</v>
      </c>
      <c r="K67" s="7">
        <v>14.39</v>
      </c>
      <c r="L67" s="7">
        <v>14.75</v>
      </c>
      <c r="M67" s="7">
        <v>15.08</v>
      </c>
      <c r="N67" s="7">
        <v>15.38</v>
      </c>
      <c r="O67" s="7">
        <v>15.65</v>
      </c>
      <c r="P67" s="7">
        <v>15.91</v>
      </c>
      <c r="Q67" s="7">
        <v>16.37</v>
      </c>
      <c r="R67" s="7">
        <v>16.77</v>
      </c>
      <c r="S67" s="7">
        <v>17.45</v>
      </c>
      <c r="T67" s="7">
        <v>18.02</v>
      </c>
      <c r="U67" s="7">
        <v>18.5</v>
      </c>
      <c r="V67" s="7">
        <v>18.920000000000002</v>
      </c>
      <c r="W67" s="215">
        <v>19.28</v>
      </c>
    </row>
    <row r="68" spans="1:23" x14ac:dyDescent="0.25">
      <c r="A68">
        <v>3</v>
      </c>
      <c r="B68" s="214">
        <v>4.5010000000000003</v>
      </c>
      <c r="C68" s="36">
        <v>5.91</v>
      </c>
      <c r="D68" s="7">
        <v>6.8250000000000002</v>
      </c>
      <c r="E68" s="7">
        <v>7.5019999999999998</v>
      </c>
      <c r="F68" s="7">
        <v>8.0370000000000008</v>
      </c>
      <c r="G68" s="7">
        <v>8.4779999999999998</v>
      </c>
      <c r="H68" s="7">
        <v>8.8529999999999998</v>
      </c>
      <c r="I68" s="7">
        <v>9.1769999999999996</v>
      </c>
      <c r="J68" s="7">
        <v>9.4619999999999997</v>
      </c>
      <c r="K68" s="7">
        <v>9.7170000000000005</v>
      </c>
      <c r="L68" s="7">
        <v>9.9459999999999997</v>
      </c>
      <c r="M68" s="7">
        <v>10.15</v>
      </c>
      <c r="N68" s="7">
        <v>10.35</v>
      </c>
      <c r="O68" s="7">
        <v>10.53</v>
      </c>
      <c r="P68" s="7">
        <v>10.69</v>
      </c>
      <c r="Q68" s="7">
        <v>10.98</v>
      </c>
      <c r="R68" s="7">
        <v>11.24</v>
      </c>
      <c r="S68" s="7">
        <v>11.68</v>
      </c>
      <c r="T68" s="7">
        <v>12.05</v>
      </c>
      <c r="U68" s="7">
        <v>12.36</v>
      </c>
      <c r="V68" s="7">
        <v>12.63</v>
      </c>
      <c r="W68" s="215">
        <v>12.87</v>
      </c>
    </row>
    <row r="69" spans="1:23" x14ac:dyDescent="0.25">
      <c r="A69">
        <v>4</v>
      </c>
      <c r="B69" s="285">
        <v>3.927</v>
      </c>
      <c r="C69" s="36">
        <v>5.04</v>
      </c>
      <c r="D69" s="36">
        <v>5.7569999999999997</v>
      </c>
      <c r="E69" s="36">
        <v>6.2869999999999999</v>
      </c>
      <c r="F69" s="36">
        <v>6.7069999999999999</v>
      </c>
      <c r="G69" s="36">
        <v>7.0529999999999999</v>
      </c>
      <c r="H69" s="36">
        <v>7.3470000000000004</v>
      </c>
      <c r="I69" s="36">
        <v>7.6020000000000003</v>
      </c>
      <c r="J69" s="36">
        <v>7.8259999999999996</v>
      </c>
      <c r="K69" s="36">
        <v>8.0269999999999992</v>
      </c>
      <c r="L69" s="36">
        <v>8.2080000000000002</v>
      </c>
      <c r="M69" s="36">
        <v>8.3729999999999993</v>
      </c>
      <c r="N69" s="36">
        <v>8.5250000000000004</v>
      </c>
      <c r="O69" s="36">
        <v>8.6639999999999997</v>
      </c>
      <c r="P69" s="36">
        <v>8.7940000000000005</v>
      </c>
      <c r="Q69" s="36">
        <v>9.0280000000000005</v>
      </c>
      <c r="R69" s="36">
        <v>9.2330000000000005</v>
      </c>
      <c r="S69" s="36">
        <v>9.5839999999999996</v>
      </c>
      <c r="T69" s="36">
        <v>9.875</v>
      </c>
      <c r="U69" s="34">
        <v>10.119999999999999</v>
      </c>
      <c r="V69" s="34">
        <v>10.34</v>
      </c>
      <c r="W69" s="252">
        <v>10.53</v>
      </c>
    </row>
    <row r="70" spans="1:23" x14ac:dyDescent="0.25">
      <c r="A70">
        <v>5</v>
      </c>
      <c r="B70" s="285">
        <v>3.6349999999999998</v>
      </c>
      <c r="C70" s="36">
        <v>4.6020000000000003</v>
      </c>
      <c r="D70" s="36">
        <v>5.218</v>
      </c>
      <c r="E70" s="36">
        <v>5.673</v>
      </c>
      <c r="F70" s="36">
        <v>6.0330000000000004</v>
      </c>
      <c r="G70" s="36">
        <v>6.33</v>
      </c>
      <c r="H70" s="36">
        <v>6.5819999999999999</v>
      </c>
      <c r="I70" s="36">
        <v>6.8019999999999996</v>
      </c>
      <c r="J70" s="36">
        <v>6.9950000000000001</v>
      </c>
      <c r="K70" s="36">
        <v>7.1680000000000001</v>
      </c>
      <c r="L70" s="36">
        <v>7.3239999999999998</v>
      </c>
      <c r="M70" s="36">
        <v>7.4660000000000002</v>
      </c>
      <c r="N70" s="36">
        <v>7.5960000000000001</v>
      </c>
      <c r="O70" s="36">
        <v>7.7169999999999996</v>
      </c>
      <c r="P70" s="36">
        <v>7.8280000000000003</v>
      </c>
      <c r="Q70" s="36">
        <v>8.0299999999999994</v>
      </c>
      <c r="R70" s="36">
        <v>8.2080000000000002</v>
      </c>
      <c r="S70" s="36">
        <v>8.5120000000000005</v>
      </c>
      <c r="T70" s="36">
        <v>8.7639999999999993</v>
      </c>
      <c r="U70" s="36">
        <v>8.9789999999999992</v>
      </c>
      <c r="V70" s="36">
        <v>9.1649999999999991</v>
      </c>
      <c r="W70" s="286">
        <v>9.33</v>
      </c>
    </row>
    <row r="71" spans="1:23" x14ac:dyDescent="0.25">
      <c r="A71">
        <v>6</v>
      </c>
      <c r="B71" s="285">
        <v>3.4609999999999999</v>
      </c>
      <c r="C71" s="36">
        <v>4.3390000000000004</v>
      </c>
      <c r="D71" s="36">
        <v>4.8959999999999999</v>
      </c>
      <c r="E71" s="36">
        <v>5.3049999999999997</v>
      </c>
      <c r="F71" s="36">
        <v>5.6280000000000001</v>
      </c>
      <c r="G71" s="36">
        <v>5.8949999999999996</v>
      </c>
      <c r="H71" s="36">
        <v>6.1219999999999999</v>
      </c>
      <c r="I71" s="36">
        <v>6.319</v>
      </c>
      <c r="J71" s="36">
        <v>6.4930000000000003</v>
      </c>
      <c r="K71" s="36">
        <v>6.649</v>
      </c>
      <c r="L71" s="36">
        <v>6.7889999999999997</v>
      </c>
      <c r="M71" s="36">
        <v>6.9169999999999998</v>
      </c>
      <c r="N71" s="36">
        <v>7.0339999999999998</v>
      </c>
      <c r="O71" s="36">
        <v>7.1429999999999998</v>
      </c>
      <c r="P71" s="36">
        <v>7.2439999999999998</v>
      </c>
      <c r="Q71" s="36">
        <v>7.4260000000000002</v>
      </c>
      <c r="R71" s="36">
        <v>7.5869999999999997</v>
      </c>
      <c r="S71" s="36">
        <v>7.8609999999999998</v>
      </c>
      <c r="T71" s="36">
        <v>8.0879999999999992</v>
      </c>
      <c r="U71" s="36">
        <v>8.2829999999999995</v>
      </c>
      <c r="V71" s="36">
        <v>8.452</v>
      </c>
      <c r="W71" s="286">
        <v>8.6010000000000009</v>
      </c>
    </row>
    <row r="72" spans="1:23" x14ac:dyDescent="0.25">
      <c r="A72">
        <v>7</v>
      </c>
      <c r="B72" s="285">
        <v>3.3439999999999999</v>
      </c>
      <c r="C72" s="36">
        <v>4.165</v>
      </c>
      <c r="D72" s="36">
        <v>4.681</v>
      </c>
      <c r="E72" s="36">
        <v>5.0599999999999996</v>
      </c>
      <c r="F72" s="36">
        <v>5.359</v>
      </c>
      <c r="G72" s="36">
        <v>5.6059999999999999</v>
      </c>
      <c r="H72" s="36">
        <v>5.8150000000000004</v>
      </c>
      <c r="I72" s="36">
        <v>5.9980000000000002</v>
      </c>
      <c r="J72" s="36">
        <v>6.1580000000000004</v>
      </c>
      <c r="K72" s="36">
        <v>6.3019999999999996</v>
      </c>
      <c r="L72" s="36">
        <v>6.431</v>
      </c>
      <c r="M72" s="36">
        <v>6.55</v>
      </c>
      <c r="N72" s="36">
        <v>6.6580000000000004</v>
      </c>
      <c r="O72" s="36">
        <v>6.7590000000000003</v>
      </c>
      <c r="P72" s="36">
        <v>6.8520000000000003</v>
      </c>
      <c r="Q72" s="36">
        <v>7.02</v>
      </c>
      <c r="R72" s="36">
        <v>7.17</v>
      </c>
      <c r="S72" s="36">
        <v>7.423</v>
      </c>
      <c r="T72" s="36">
        <v>7.6340000000000003</v>
      </c>
      <c r="U72" s="36">
        <v>7.8140000000000001</v>
      </c>
      <c r="V72" s="36">
        <v>7.9720000000000004</v>
      </c>
      <c r="W72" s="286">
        <v>8.11</v>
      </c>
    </row>
    <row r="73" spans="1:23" x14ac:dyDescent="0.25">
      <c r="A73">
        <v>8</v>
      </c>
      <c r="B73" s="285">
        <v>3.2610000000000001</v>
      </c>
      <c r="C73" s="36">
        <v>4.0410000000000004</v>
      </c>
      <c r="D73" s="36">
        <v>4.5289999999999999</v>
      </c>
      <c r="E73" s="36">
        <v>4.8860000000000001</v>
      </c>
      <c r="F73" s="36">
        <v>5.1669999999999998</v>
      </c>
      <c r="G73" s="36">
        <v>5.399</v>
      </c>
      <c r="H73" s="36">
        <v>5.5970000000000004</v>
      </c>
      <c r="I73" s="36">
        <v>5.7670000000000003</v>
      </c>
      <c r="J73" s="36">
        <v>5.9180000000000001</v>
      </c>
      <c r="K73" s="36">
        <v>6.0540000000000003</v>
      </c>
      <c r="L73" s="36">
        <v>6.1749999999999998</v>
      </c>
      <c r="M73" s="36">
        <v>6.2869999999999999</v>
      </c>
      <c r="N73" s="36">
        <v>6.3890000000000002</v>
      </c>
      <c r="O73" s="36">
        <v>6.4829999999999997</v>
      </c>
      <c r="P73" s="36">
        <v>6.5709999999999997</v>
      </c>
      <c r="Q73" s="36">
        <v>6.7290000000000001</v>
      </c>
      <c r="R73" s="36">
        <v>6.87</v>
      </c>
      <c r="S73" s="36">
        <v>7.109</v>
      </c>
      <c r="T73" s="36">
        <v>7.3070000000000004</v>
      </c>
      <c r="U73" s="36">
        <v>7.4770000000000003</v>
      </c>
      <c r="V73" s="36">
        <v>7.625</v>
      </c>
      <c r="W73" s="286">
        <v>7.7560000000000002</v>
      </c>
    </row>
    <row r="74" spans="1:23" x14ac:dyDescent="0.25">
      <c r="A74">
        <v>9</v>
      </c>
      <c r="B74" s="285">
        <v>3.1989999999999998</v>
      </c>
      <c r="C74" s="36">
        <v>3.9489999999999998</v>
      </c>
      <c r="D74" s="36">
        <v>4.415</v>
      </c>
      <c r="E74" s="36">
        <v>4.7560000000000002</v>
      </c>
      <c r="F74" s="36">
        <v>5.024</v>
      </c>
      <c r="G74" s="36">
        <v>5.2439999999999998</v>
      </c>
      <c r="H74" s="36">
        <v>5.4320000000000004</v>
      </c>
      <c r="I74" s="36">
        <v>5.5949999999999998</v>
      </c>
      <c r="J74" s="36">
        <v>5.7389999999999999</v>
      </c>
      <c r="K74" s="36">
        <v>5.867</v>
      </c>
      <c r="L74" s="36">
        <v>5.9829999999999997</v>
      </c>
      <c r="M74" s="36">
        <v>6.0890000000000004</v>
      </c>
      <c r="N74" s="36">
        <v>6.1859999999999999</v>
      </c>
      <c r="O74" s="36">
        <v>6.2759999999999998</v>
      </c>
      <c r="P74" s="36">
        <v>6.359</v>
      </c>
      <c r="Q74" s="36">
        <v>6.51</v>
      </c>
      <c r="R74" s="36">
        <v>6.6440000000000001</v>
      </c>
      <c r="S74" s="36">
        <v>6.8710000000000004</v>
      </c>
      <c r="T74" s="36">
        <v>7.0609999999999999</v>
      </c>
      <c r="U74" s="36">
        <v>7.2220000000000004</v>
      </c>
      <c r="V74" s="36">
        <v>7.3630000000000004</v>
      </c>
      <c r="W74" s="286">
        <v>7.4880000000000004</v>
      </c>
    </row>
    <row r="75" spans="1:23" x14ac:dyDescent="0.25">
      <c r="A75">
        <v>10</v>
      </c>
      <c r="B75" s="285">
        <v>3.1509999999999998</v>
      </c>
      <c r="C75" s="36">
        <v>3.8769999999999998</v>
      </c>
      <c r="D75" s="36">
        <v>4.327</v>
      </c>
      <c r="E75" s="36">
        <v>4.6539999999999999</v>
      </c>
      <c r="F75" s="36">
        <v>4.9119999999999999</v>
      </c>
      <c r="G75" s="36">
        <v>5.1239999999999997</v>
      </c>
      <c r="H75" s="36">
        <v>5.3049999999999997</v>
      </c>
      <c r="I75" s="36">
        <v>5.4610000000000003</v>
      </c>
      <c r="J75" s="36">
        <v>5.5990000000000002</v>
      </c>
      <c r="K75" s="36">
        <v>5.7220000000000004</v>
      </c>
      <c r="L75" s="36">
        <v>5.8330000000000002</v>
      </c>
      <c r="M75" s="36">
        <v>5.9349999999999996</v>
      </c>
      <c r="N75" s="36">
        <v>6.0279999999999996</v>
      </c>
      <c r="O75" s="36">
        <v>6.1139999999999999</v>
      </c>
      <c r="P75" s="36">
        <v>6.194</v>
      </c>
      <c r="Q75" s="36">
        <v>6.3390000000000004</v>
      </c>
      <c r="R75" s="36">
        <v>6.4669999999999996</v>
      </c>
      <c r="S75" s="36">
        <v>6.6859999999999999</v>
      </c>
      <c r="T75" s="36">
        <v>6.8680000000000003</v>
      </c>
      <c r="U75" s="36">
        <v>7.0229999999999997</v>
      </c>
      <c r="V75" s="36">
        <v>7.1589999999999998</v>
      </c>
      <c r="W75" s="286">
        <v>7.2789999999999999</v>
      </c>
    </row>
    <row r="76" spans="1:23" x14ac:dyDescent="0.25">
      <c r="A76">
        <v>11</v>
      </c>
      <c r="B76" s="285">
        <v>3.113</v>
      </c>
      <c r="C76" s="36">
        <v>3.82</v>
      </c>
      <c r="D76" s="36">
        <v>4.2560000000000002</v>
      </c>
      <c r="E76" s="36">
        <v>4.5739999999999998</v>
      </c>
      <c r="F76" s="36">
        <v>4.8230000000000004</v>
      </c>
      <c r="G76" s="36">
        <v>5.0279999999999996</v>
      </c>
      <c r="H76" s="36">
        <v>5.202</v>
      </c>
      <c r="I76" s="36">
        <v>5.3529999999999998</v>
      </c>
      <c r="J76" s="36">
        <v>5.4870000000000001</v>
      </c>
      <c r="K76" s="36">
        <v>5.6050000000000004</v>
      </c>
      <c r="L76" s="36">
        <v>5.7130000000000001</v>
      </c>
      <c r="M76" s="36">
        <v>5.8109999999999999</v>
      </c>
      <c r="N76" s="36">
        <v>5.9009999999999998</v>
      </c>
      <c r="O76" s="36">
        <v>5.984</v>
      </c>
      <c r="P76" s="36">
        <v>6.0620000000000003</v>
      </c>
      <c r="Q76" s="36">
        <v>6.202</v>
      </c>
      <c r="R76" s="36">
        <v>6.3259999999999996</v>
      </c>
      <c r="S76" s="36">
        <v>6.5359999999999996</v>
      </c>
      <c r="T76" s="36">
        <v>6.7119999999999997</v>
      </c>
      <c r="U76" s="36">
        <v>6.8630000000000004</v>
      </c>
      <c r="V76" s="36">
        <v>6.9939999999999998</v>
      </c>
      <c r="W76" s="286">
        <v>7.11</v>
      </c>
    </row>
    <row r="77" spans="1:23" x14ac:dyDescent="0.25">
      <c r="A77">
        <v>12</v>
      </c>
      <c r="B77" s="285">
        <v>3.0819999999999999</v>
      </c>
      <c r="C77" s="36">
        <v>3.7730000000000001</v>
      </c>
      <c r="D77" s="36">
        <v>4.1989999999999998</v>
      </c>
      <c r="E77" s="36">
        <v>4.508</v>
      </c>
      <c r="F77" s="36">
        <v>4.7510000000000003</v>
      </c>
      <c r="G77" s="36">
        <v>4.95</v>
      </c>
      <c r="H77" s="36">
        <v>5.1189999999999998</v>
      </c>
      <c r="I77" s="36">
        <v>5.2649999999999997</v>
      </c>
      <c r="J77" s="36">
        <v>5.3949999999999996</v>
      </c>
      <c r="K77" s="36">
        <v>5.5110000000000001</v>
      </c>
      <c r="L77" s="36">
        <v>5.6150000000000002</v>
      </c>
      <c r="M77" s="36">
        <v>5.71</v>
      </c>
      <c r="N77" s="36">
        <v>5.798</v>
      </c>
      <c r="O77" s="36">
        <v>5.8780000000000001</v>
      </c>
      <c r="P77" s="36">
        <v>5.9530000000000003</v>
      </c>
      <c r="Q77" s="36">
        <v>6.0890000000000004</v>
      </c>
      <c r="R77" s="36">
        <v>6.2089999999999996</v>
      </c>
      <c r="S77" s="36">
        <v>6.4139999999999997</v>
      </c>
      <c r="T77" s="36">
        <v>6.585</v>
      </c>
      <c r="U77" s="36">
        <v>6.7309999999999999</v>
      </c>
      <c r="V77" s="36">
        <v>6.8579999999999997</v>
      </c>
      <c r="W77" s="286">
        <v>6.97</v>
      </c>
    </row>
    <row r="78" spans="1:23" x14ac:dyDescent="0.25">
      <c r="A78">
        <v>13</v>
      </c>
      <c r="B78" s="285">
        <v>3.0550000000000002</v>
      </c>
      <c r="C78" s="36">
        <v>3.7349999999999999</v>
      </c>
      <c r="D78" s="36">
        <v>4.1509999999999998</v>
      </c>
      <c r="E78" s="36">
        <v>4.4530000000000003</v>
      </c>
      <c r="F78" s="36">
        <v>4.6900000000000004</v>
      </c>
      <c r="G78" s="36">
        <v>4.8849999999999998</v>
      </c>
      <c r="H78" s="36">
        <v>5.0490000000000004</v>
      </c>
      <c r="I78" s="36">
        <v>5.1920000000000002</v>
      </c>
      <c r="J78" s="36">
        <v>5.3179999999999996</v>
      </c>
      <c r="K78" s="36">
        <v>5.431</v>
      </c>
      <c r="L78" s="36">
        <v>5.5330000000000004</v>
      </c>
      <c r="M78" s="36">
        <v>5.625</v>
      </c>
      <c r="N78" s="36">
        <v>5.7110000000000003</v>
      </c>
      <c r="O78" s="36">
        <v>5.7889999999999997</v>
      </c>
      <c r="P78" s="36">
        <v>5.8620000000000001</v>
      </c>
      <c r="Q78" s="36">
        <v>5.9950000000000001</v>
      </c>
      <c r="R78" s="36">
        <v>6.1120000000000001</v>
      </c>
      <c r="S78" s="36">
        <v>6.3120000000000003</v>
      </c>
      <c r="T78" s="36">
        <v>6.4779999999999998</v>
      </c>
      <c r="U78" s="36">
        <v>6.62</v>
      </c>
      <c r="V78" s="36">
        <v>6.7439999999999998</v>
      </c>
      <c r="W78" s="286">
        <v>6.8540000000000001</v>
      </c>
    </row>
    <row r="79" spans="1:23" x14ac:dyDescent="0.25">
      <c r="A79">
        <v>14</v>
      </c>
      <c r="B79" s="285">
        <v>3.0329999999999999</v>
      </c>
      <c r="C79" s="36">
        <v>3.702</v>
      </c>
      <c r="D79" s="36">
        <v>4.1109999999999998</v>
      </c>
      <c r="E79" s="36">
        <v>4.407</v>
      </c>
      <c r="F79" s="36">
        <v>4.6390000000000002</v>
      </c>
      <c r="G79" s="36">
        <v>4.8289999999999997</v>
      </c>
      <c r="H79" s="36">
        <v>4.99</v>
      </c>
      <c r="I79" s="36">
        <v>5.1310000000000002</v>
      </c>
      <c r="J79" s="36">
        <v>5.2539999999999996</v>
      </c>
      <c r="K79" s="36">
        <v>5.3639999999999999</v>
      </c>
      <c r="L79" s="36">
        <v>5.4630000000000001</v>
      </c>
      <c r="M79" s="36">
        <v>5.5540000000000003</v>
      </c>
      <c r="N79" s="36">
        <v>5.6369999999999996</v>
      </c>
      <c r="O79" s="36">
        <v>5.7140000000000004</v>
      </c>
      <c r="P79" s="36">
        <v>5.7859999999999996</v>
      </c>
      <c r="Q79" s="36">
        <v>5.915</v>
      </c>
      <c r="R79" s="36">
        <v>6.0289999999999999</v>
      </c>
      <c r="S79" s="36">
        <v>6.2240000000000002</v>
      </c>
      <c r="T79" s="36">
        <v>6.3869999999999996</v>
      </c>
      <c r="U79" s="36">
        <v>6.5259999999999998</v>
      </c>
      <c r="V79" s="36">
        <v>6.6470000000000002</v>
      </c>
      <c r="W79" s="286">
        <v>6.7539999999999996</v>
      </c>
    </row>
    <row r="80" spans="1:23" x14ac:dyDescent="0.25">
      <c r="A80">
        <v>15</v>
      </c>
      <c r="B80" s="285">
        <v>3.0139999999999998</v>
      </c>
      <c r="C80" s="36">
        <v>3.6739999999999999</v>
      </c>
      <c r="D80" s="36">
        <v>4.0759999999999996</v>
      </c>
      <c r="E80" s="36">
        <v>4.367</v>
      </c>
      <c r="F80" s="36">
        <v>4.5949999999999998</v>
      </c>
      <c r="G80" s="36">
        <v>4.782</v>
      </c>
      <c r="H80" s="36">
        <v>4.9400000000000004</v>
      </c>
      <c r="I80" s="36">
        <v>5.077</v>
      </c>
      <c r="J80" s="36">
        <v>5.1980000000000004</v>
      </c>
      <c r="K80" s="36">
        <v>5.306</v>
      </c>
      <c r="L80" s="36">
        <v>5.4039999999999999</v>
      </c>
      <c r="M80" s="36">
        <v>5.4930000000000003</v>
      </c>
      <c r="N80" s="36">
        <v>5.5739999999999998</v>
      </c>
      <c r="O80" s="36">
        <v>5.649</v>
      </c>
      <c r="P80" s="36">
        <v>5.72</v>
      </c>
      <c r="Q80" s="36">
        <v>5.8460000000000001</v>
      </c>
      <c r="R80" s="36">
        <v>5.9580000000000002</v>
      </c>
      <c r="S80" s="36">
        <v>6.149</v>
      </c>
      <c r="T80" s="36">
        <v>6.3090000000000002</v>
      </c>
      <c r="U80" s="36">
        <v>6.4450000000000003</v>
      </c>
      <c r="V80" s="36">
        <v>6.5640000000000001</v>
      </c>
      <c r="W80" s="286">
        <v>6.6689999999999996</v>
      </c>
    </row>
    <row r="81" spans="1:23" x14ac:dyDescent="0.25">
      <c r="A81">
        <v>16</v>
      </c>
      <c r="B81" s="285">
        <v>2.9980000000000002</v>
      </c>
      <c r="C81" s="36">
        <v>3.649</v>
      </c>
      <c r="D81" s="36">
        <v>4.0460000000000003</v>
      </c>
      <c r="E81" s="36">
        <v>4.3330000000000002</v>
      </c>
      <c r="F81" s="36">
        <v>4.5570000000000004</v>
      </c>
      <c r="G81" s="36">
        <v>4.7409999999999997</v>
      </c>
      <c r="H81" s="36">
        <v>4.8970000000000002</v>
      </c>
      <c r="I81" s="36">
        <v>5.0309999999999997</v>
      </c>
      <c r="J81" s="36">
        <v>5.15</v>
      </c>
      <c r="K81" s="36">
        <v>5.2560000000000002</v>
      </c>
      <c r="L81" s="36">
        <v>5.3520000000000003</v>
      </c>
      <c r="M81" s="36">
        <v>5.4390000000000001</v>
      </c>
      <c r="N81" s="36">
        <v>5.52</v>
      </c>
      <c r="O81" s="36">
        <v>5.593</v>
      </c>
      <c r="P81" s="36">
        <v>5.6619999999999999</v>
      </c>
      <c r="Q81" s="36">
        <v>5.7859999999999996</v>
      </c>
      <c r="R81" s="36">
        <v>5.8970000000000002</v>
      </c>
      <c r="S81" s="36">
        <v>6.0839999999999996</v>
      </c>
      <c r="T81" s="36">
        <v>6.2409999999999997</v>
      </c>
      <c r="U81" s="36">
        <v>6.3739999999999997</v>
      </c>
      <c r="V81" s="36">
        <v>6.4909999999999997</v>
      </c>
      <c r="W81" s="286">
        <v>6.5940000000000003</v>
      </c>
    </row>
    <row r="82" spans="1:23" x14ac:dyDescent="0.25">
      <c r="A82">
        <v>17</v>
      </c>
      <c r="B82" s="285">
        <v>2.984</v>
      </c>
      <c r="C82" s="36">
        <v>3.6280000000000001</v>
      </c>
      <c r="D82" s="36">
        <v>4.0199999999999996</v>
      </c>
      <c r="E82" s="36">
        <v>4.3029999999999999</v>
      </c>
      <c r="F82" s="36">
        <v>4.524</v>
      </c>
      <c r="G82" s="36">
        <v>4.7050000000000001</v>
      </c>
      <c r="H82" s="36">
        <v>4.8579999999999997</v>
      </c>
      <c r="I82" s="36">
        <v>4.9909999999999997</v>
      </c>
      <c r="J82" s="36">
        <v>5.1079999999999997</v>
      </c>
      <c r="K82" s="36">
        <v>5.2119999999999997</v>
      </c>
      <c r="L82" s="36">
        <v>5.3070000000000004</v>
      </c>
      <c r="M82" s="36">
        <v>5.3920000000000003</v>
      </c>
      <c r="N82" s="36">
        <v>5.4710000000000001</v>
      </c>
      <c r="O82" s="36">
        <v>5.5439999999999996</v>
      </c>
      <c r="P82" s="36">
        <v>5.6120000000000001</v>
      </c>
      <c r="Q82" s="36">
        <v>5.734</v>
      </c>
      <c r="R82" s="36">
        <v>5.8419999999999996</v>
      </c>
      <c r="S82" s="36">
        <v>6.0270000000000001</v>
      </c>
      <c r="T82" s="36">
        <v>6.181</v>
      </c>
      <c r="U82" s="36">
        <v>6.3129999999999997</v>
      </c>
      <c r="V82" s="36">
        <v>6.4269999999999996</v>
      </c>
      <c r="W82" s="286">
        <v>6.5289999999999999</v>
      </c>
    </row>
    <row r="83" spans="1:23" x14ac:dyDescent="0.25">
      <c r="A83">
        <v>18</v>
      </c>
      <c r="B83" s="285">
        <v>2.9710000000000001</v>
      </c>
      <c r="C83" s="36">
        <v>3.609</v>
      </c>
      <c r="D83" s="36">
        <v>3.9969999999999999</v>
      </c>
      <c r="E83" s="36">
        <v>4.2770000000000001</v>
      </c>
      <c r="F83" s="36">
        <v>4.4950000000000001</v>
      </c>
      <c r="G83" s="36">
        <v>4.673</v>
      </c>
      <c r="H83" s="36">
        <v>4.8239999999999998</v>
      </c>
      <c r="I83" s="36">
        <v>4.9560000000000004</v>
      </c>
      <c r="J83" s="36">
        <v>5.0709999999999997</v>
      </c>
      <c r="K83" s="36">
        <v>5.1740000000000004</v>
      </c>
      <c r="L83" s="36">
        <v>5.2670000000000003</v>
      </c>
      <c r="M83" s="36">
        <v>5.3520000000000003</v>
      </c>
      <c r="N83" s="36">
        <v>5.4290000000000003</v>
      </c>
      <c r="O83" s="36">
        <v>5.5010000000000003</v>
      </c>
      <c r="P83" s="36">
        <v>5.5679999999999996</v>
      </c>
      <c r="Q83" s="36">
        <v>5.6879999999999997</v>
      </c>
      <c r="R83" s="36">
        <v>5.7939999999999996</v>
      </c>
      <c r="S83" s="36">
        <v>5.9770000000000003</v>
      </c>
      <c r="T83" s="36">
        <v>6.1280000000000001</v>
      </c>
      <c r="U83" s="36">
        <v>6.258</v>
      </c>
      <c r="V83" s="36">
        <v>6.3710000000000004</v>
      </c>
      <c r="W83" s="286">
        <v>6.4710000000000001</v>
      </c>
    </row>
    <row r="84" spans="1:23" x14ac:dyDescent="0.25">
      <c r="A84">
        <v>19</v>
      </c>
      <c r="B84" s="285">
        <v>2.96</v>
      </c>
      <c r="C84" s="36">
        <v>3.593</v>
      </c>
      <c r="D84" s="36">
        <v>3.9769999999999999</v>
      </c>
      <c r="E84" s="36">
        <v>4.2530000000000001</v>
      </c>
      <c r="F84" s="36">
        <v>4.4690000000000003</v>
      </c>
      <c r="G84" s="36">
        <v>4.6449999999999996</v>
      </c>
      <c r="H84" s="36">
        <v>4.7939999999999996</v>
      </c>
      <c r="I84" s="36">
        <v>4.9240000000000004</v>
      </c>
      <c r="J84" s="36">
        <v>5.0380000000000003</v>
      </c>
      <c r="K84" s="36">
        <v>5.14</v>
      </c>
      <c r="L84" s="36">
        <v>5.2309999999999999</v>
      </c>
      <c r="M84" s="36">
        <v>5.3150000000000004</v>
      </c>
      <c r="N84" s="36">
        <v>5.391</v>
      </c>
      <c r="O84" s="36">
        <v>5.4619999999999997</v>
      </c>
      <c r="P84" s="36">
        <v>5.5279999999999996</v>
      </c>
      <c r="Q84" s="36">
        <v>5.6470000000000002</v>
      </c>
      <c r="R84" s="36">
        <v>5.7519999999999998</v>
      </c>
      <c r="S84" s="36">
        <v>5.9320000000000004</v>
      </c>
      <c r="T84" s="36">
        <v>6.0810000000000004</v>
      </c>
      <c r="U84" s="36">
        <v>6.2089999999999996</v>
      </c>
      <c r="V84" s="36">
        <v>6.3209999999999997</v>
      </c>
      <c r="W84" s="286">
        <v>6.4189999999999996</v>
      </c>
    </row>
    <row r="85" spans="1:23" x14ac:dyDescent="0.25">
      <c r="A85">
        <v>20</v>
      </c>
      <c r="B85" s="285">
        <v>2.95</v>
      </c>
      <c r="C85" s="36">
        <v>3.5779999999999998</v>
      </c>
      <c r="D85" s="36">
        <v>3.9580000000000002</v>
      </c>
      <c r="E85" s="36">
        <v>4.2320000000000002</v>
      </c>
      <c r="F85" s="36">
        <v>4.4450000000000003</v>
      </c>
      <c r="G85" s="36">
        <v>4.62</v>
      </c>
      <c r="H85" s="36">
        <v>4.7679999999999998</v>
      </c>
      <c r="I85" s="36">
        <v>4.8959999999999999</v>
      </c>
      <c r="J85" s="36">
        <v>5.008</v>
      </c>
      <c r="K85" s="36">
        <v>5.1079999999999997</v>
      </c>
      <c r="L85" s="36">
        <v>5.1989999999999998</v>
      </c>
      <c r="M85" s="36">
        <v>5.282</v>
      </c>
      <c r="N85" s="36">
        <v>5.3570000000000002</v>
      </c>
      <c r="O85" s="36">
        <v>5.4269999999999996</v>
      </c>
      <c r="P85" s="36">
        <v>5.4930000000000003</v>
      </c>
      <c r="Q85" s="36">
        <v>5.61</v>
      </c>
      <c r="R85" s="36">
        <v>5.7140000000000004</v>
      </c>
      <c r="S85" s="36">
        <v>5.891</v>
      </c>
      <c r="T85" s="36">
        <v>6.0389999999999997</v>
      </c>
      <c r="U85" s="36">
        <v>6.165</v>
      </c>
      <c r="V85" s="36">
        <v>6.2750000000000004</v>
      </c>
      <c r="W85" s="286">
        <v>6.3730000000000002</v>
      </c>
    </row>
    <row r="86" spans="1:23" x14ac:dyDescent="0.25">
      <c r="A86">
        <v>24</v>
      </c>
      <c r="B86" s="285">
        <v>2.919</v>
      </c>
      <c r="C86" s="36">
        <v>3.532</v>
      </c>
      <c r="D86" s="36">
        <v>3.9009999999999998</v>
      </c>
      <c r="E86" s="36">
        <v>4.1660000000000004</v>
      </c>
      <c r="F86" s="36">
        <v>4.3730000000000002</v>
      </c>
      <c r="G86" s="36">
        <v>4.5410000000000004</v>
      </c>
      <c r="H86" s="36">
        <v>4.6840000000000002</v>
      </c>
      <c r="I86" s="36">
        <v>4.8070000000000004</v>
      </c>
      <c r="J86" s="36">
        <v>4.915</v>
      </c>
      <c r="K86" s="36">
        <v>5.0119999999999996</v>
      </c>
      <c r="L86" s="36">
        <v>5.0990000000000002</v>
      </c>
      <c r="M86" s="36">
        <v>5.1790000000000003</v>
      </c>
      <c r="N86" s="36">
        <v>5.2510000000000003</v>
      </c>
      <c r="O86" s="36">
        <v>5.319</v>
      </c>
      <c r="P86" s="36">
        <v>5.3810000000000002</v>
      </c>
      <c r="Q86" s="36">
        <v>5.4939999999999998</v>
      </c>
      <c r="R86" s="36">
        <v>5.5940000000000003</v>
      </c>
      <c r="S86" s="36">
        <v>5.7640000000000002</v>
      </c>
      <c r="T86" s="36">
        <v>5.9059999999999997</v>
      </c>
      <c r="U86" s="36">
        <v>6.0270000000000001</v>
      </c>
      <c r="V86" s="36">
        <v>6.1319999999999997</v>
      </c>
      <c r="W86" s="286">
        <v>6.226</v>
      </c>
    </row>
    <row r="87" spans="1:23" x14ac:dyDescent="0.25">
      <c r="A87">
        <v>30</v>
      </c>
      <c r="B87" s="285">
        <v>2.8879999999999999</v>
      </c>
      <c r="C87" s="36">
        <v>3.4860000000000002</v>
      </c>
      <c r="D87" s="36">
        <v>3.8450000000000002</v>
      </c>
      <c r="E87" s="36">
        <v>4.1020000000000003</v>
      </c>
      <c r="F87" s="36">
        <v>4.3019999999999996</v>
      </c>
      <c r="G87" s="36">
        <v>4.4640000000000004</v>
      </c>
      <c r="H87" s="36">
        <v>4.6020000000000003</v>
      </c>
      <c r="I87" s="36">
        <v>4.72</v>
      </c>
      <c r="J87" s="36">
        <v>4.8239999999999998</v>
      </c>
      <c r="K87" s="36">
        <v>4.9169999999999998</v>
      </c>
      <c r="L87" s="36">
        <v>5.0010000000000003</v>
      </c>
      <c r="M87" s="36">
        <v>5.077</v>
      </c>
      <c r="N87" s="36">
        <v>5.1470000000000002</v>
      </c>
      <c r="O87" s="36">
        <v>5.2110000000000003</v>
      </c>
      <c r="P87" s="36">
        <v>5.2709999999999999</v>
      </c>
      <c r="Q87" s="36">
        <v>5.3789999999999996</v>
      </c>
      <c r="R87" s="36">
        <v>5.4749999999999996</v>
      </c>
      <c r="S87" s="36">
        <v>5.6379999999999999</v>
      </c>
      <c r="T87" s="36">
        <v>5.774</v>
      </c>
      <c r="U87" s="36">
        <v>5.8890000000000002</v>
      </c>
      <c r="V87" s="36">
        <v>5.99</v>
      </c>
      <c r="W87" s="286">
        <v>6.08</v>
      </c>
    </row>
    <row r="88" spans="1:23" x14ac:dyDescent="0.25">
      <c r="A88">
        <v>40</v>
      </c>
      <c r="B88" s="285">
        <v>2.8580000000000001</v>
      </c>
      <c r="C88" s="36">
        <v>3.4420000000000002</v>
      </c>
      <c r="D88" s="36">
        <v>3.7909999999999999</v>
      </c>
      <c r="E88" s="36">
        <v>4.0389999999999997</v>
      </c>
      <c r="F88" s="36">
        <v>4.2320000000000002</v>
      </c>
      <c r="G88" s="36">
        <v>4.3890000000000002</v>
      </c>
      <c r="H88" s="36">
        <v>4.5209999999999999</v>
      </c>
      <c r="I88" s="36">
        <v>4.6349999999999998</v>
      </c>
      <c r="J88" s="36">
        <v>4.7350000000000003</v>
      </c>
      <c r="K88" s="36">
        <v>4.8239999999999998</v>
      </c>
      <c r="L88" s="36">
        <v>4.9039999999999999</v>
      </c>
      <c r="M88" s="36">
        <v>4.9770000000000003</v>
      </c>
      <c r="N88" s="36">
        <v>5.0439999999999996</v>
      </c>
      <c r="O88" s="36">
        <v>5.1059999999999999</v>
      </c>
      <c r="P88" s="36">
        <v>5.1630000000000003</v>
      </c>
      <c r="Q88" s="36">
        <v>5.266</v>
      </c>
      <c r="R88" s="36">
        <v>5.3579999999999997</v>
      </c>
      <c r="S88" s="36">
        <v>5.5129999999999999</v>
      </c>
      <c r="T88" s="36">
        <v>5.6420000000000003</v>
      </c>
      <c r="U88" s="36">
        <v>5.7530000000000001</v>
      </c>
      <c r="V88" s="36">
        <v>5.8490000000000002</v>
      </c>
      <c r="W88" s="286">
        <v>5.9340000000000002</v>
      </c>
    </row>
    <row r="89" spans="1:23" x14ac:dyDescent="0.25">
      <c r="A89">
        <v>60</v>
      </c>
      <c r="B89" s="285">
        <v>2.8290000000000002</v>
      </c>
      <c r="C89" s="36">
        <v>3.399</v>
      </c>
      <c r="D89" s="36">
        <v>3.7370000000000001</v>
      </c>
      <c r="E89" s="36">
        <v>3.9769999999999999</v>
      </c>
      <c r="F89" s="36">
        <v>4.1630000000000003</v>
      </c>
      <c r="G89" s="36">
        <v>4.3140000000000001</v>
      </c>
      <c r="H89" s="36">
        <v>4.4409999999999998</v>
      </c>
      <c r="I89" s="36">
        <v>4.55</v>
      </c>
      <c r="J89" s="36">
        <v>4.6459999999999999</v>
      </c>
      <c r="K89" s="36">
        <v>4.7320000000000002</v>
      </c>
      <c r="L89" s="36">
        <v>4.8079999999999998</v>
      </c>
      <c r="M89" s="36">
        <v>4.8780000000000001</v>
      </c>
      <c r="N89" s="36">
        <v>4.9420000000000002</v>
      </c>
      <c r="O89" s="36">
        <v>5.0010000000000003</v>
      </c>
      <c r="P89" s="36">
        <v>5.056</v>
      </c>
      <c r="Q89" s="36">
        <v>5.1539999999999999</v>
      </c>
      <c r="R89" s="36">
        <v>5.2409999999999997</v>
      </c>
      <c r="S89" s="36">
        <v>5.3890000000000002</v>
      </c>
      <c r="T89" s="36">
        <v>5.5119999999999996</v>
      </c>
      <c r="U89" s="36">
        <v>5.617</v>
      </c>
      <c r="V89" s="36">
        <v>5.7080000000000002</v>
      </c>
      <c r="W89" s="286">
        <v>5.7889999999999997</v>
      </c>
    </row>
    <row r="90" spans="1:23" x14ac:dyDescent="0.25">
      <c r="A90">
        <v>120</v>
      </c>
      <c r="B90" s="285">
        <v>2.8</v>
      </c>
      <c r="C90" s="36">
        <v>3.3559999999999999</v>
      </c>
      <c r="D90" s="36">
        <v>3.6850000000000001</v>
      </c>
      <c r="E90" s="36">
        <v>3.9169999999999998</v>
      </c>
      <c r="F90" s="36">
        <v>4.0960000000000001</v>
      </c>
      <c r="G90" s="36">
        <v>4.2409999999999997</v>
      </c>
      <c r="H90" s="36">
        <v>4.3630000000000004</v>
      </c>
      <c r="I90" s="36">
        <v>4.468</v>
      </c>
      <c r="J90" s="36">
        <v>4.5599999999999996</v>
      </c>
      <c r="K90" s="36">
        <v>4.641</v>
      </c>
      <c r="L90" s="36">
        <v>4.7140000000000004</v>
      </c>
      <c r="M90" s="36">
        <v>4.7809999999999997</v>
      </c>
      <c r="N90" s="36">
        <v>4.8419999999999996</v>
      </c>
      <c r="O90" s="36">
        <v>4.8979999999999997</v>
      </c>
      <c r="P90" s="36">
        <v>4.95</v>
      </c>
      <c r="Q90" s="36">
        <v>5.0439999999999996</v>
      </c>
      <c r="R90" s="36">
        <v>5.1260000000000003</v>
      </c>
      <c r="S90" s="36">
        <v>5.266</v>
      </c>
      <c r="T90" s="36">
        <v>5.3819999999999997</v>
      </c>
      <c r="U90" s="36">
        <v>5.4809999999999999</v>
      </c>
      <c r="V90" s="36">
        <v>5.5679999999999996</v>
      </c>
      <c r="W90" s="286">
        <v>5.6440000000000001</v>
      </c>
    </row>
    <row r="91" spans="1:23" x14ac:dyDescent="0.25">
      <c r="A91" s="12" t="s">
        <v>169</v>
      </c>
      <c r="B91" s="287">
        <v>2.7719999999999998</v>
      </c>
      <c r="C91" s="483">
        <v>3.3140000000000001</v>
      </c>
      <c r="D91" s="483">
        <v>3.633</v>
      </c>
      <c r="E91" s="483">
        <v>3.8580000000000001</v>
      </c>
      <c r="F91" s="483">
        <v>4.03</v>
      </c>
      <c r="G91" s="483">
        <v>4.17</v>
      </c>
      <c r="H91" s="483">
        <v>4.2859999999999996</v>
      </c>
      <c r="I91" s="483">
        <v>4.3869999999999996</v>
      </c>
      <c r="J91" s="483">
        <v>4.4740000000000002</v>
      </c>
      <c r="K91" s="483">
        <v>4.5519999999999996</v>
      </c>
      <c r="L91" s="483">
        <v>4.6219999999999999</v>
      </c>
      <c r="M91" s="483">
        <v>4.6849999999999996</v>
      </c>
      <c r="N91" s="483">
        <v>4.7430000000000003</v>
      </c>
      <c r="O91" s="483">
        <v>4.7960000000000003</v>
      </c>
      <c r="P91" s="483">
        <v>4.8449999999999998</v>
      </c>
      <c r="Q91" s="483">
        <v>4.9340000000000002</v>
      </c>
      <c r="R91" s="483">
        <v>5.0119999999999996</v>
      </c>
      <c r="S91" s="483">
        <v>5.1440000000000001</v>
      </c>
      <c r="T91" s="483">
        <v>5.2530000000000001</v>
      </c>
      <c r="U91" s="483">
        <v>5.3460000000000001</v>
      </c>
      <c r="V91" s="483">
        <v>5.4269999999999996</v>
      </c>
      <c r="W91" s="288">
        <v>5.4980000000000002</v>
      </c>
    </row>
    <row r="93" spans="1:23" x14ac:dyDescent="0.25">
      <c r="A93" t="s">
        <v>18</v>
      </c>
      <c r="B93">
        <v>5.0000000000000001E-3</v>
      </c>
    </row>
    <row r="94" spans="1:23" x14ac:dyDescent="0.25">
      <c r="B94" t="s">
        <v>65</v>
      </c>
    </row>
    <row r="95" spans="1:23" x14ac:dyDescent="0.25">
      <c r="A95" s="12" t="s">
        <v>41</v>
      </c>
      <c r="B95">
        <v>2</v>
      </c>
      <c r="C95">
        <f>B95+1</f>
        <v>3</v>
      </c>
      <c r="D95">
        <f t="shared" ref="D95:L95" si="3">C95+1</f>
        <v>4</v>
      </c>
      <c r="E95">
        <f t="shared" si="3"/>
        <v>5</v>
      </c>
      <c r="F95">
        <f t="shared" si="3"/>
        <v>6</v>
      </c>
      <c r="G95">
        <f t="shared" si="3"/>
        <v>7</v>
      </c>
      <c r="H95">
        <f t="shared" si="3"/>
        <v>8</v>
      </c>
      <c r="I95">
        <f t="shared" si="3"/>
        <v>9</v>
      </c>
      <c r="J95">
        <f t="shared" si="3"/>
        <v>10</v>
      </c>
      <c r="K95">
        <f t="shared" si="3"/>
        <v>11</v>
      </c>
      <c r="L95">
        <f t="shared" si="3"/>
        <v>12</v>
      </c>
      <c r="M95">
        <v>13</v>
      </c>
      <c r="N95">
        <f>M95+1</f>
        <v>14</v>
      </c>
      <c r="O95">
        <f>N95+1</f>
        <v>15</v>
      </c>
      <c r="P95">
        <f>O95+1</f>
        <v>16</v>
      </c>
      <c r="Q95">
        <f>P95+2</f>
        <v>18</v>
      </c>
      <c r="R95">
        <f>Q95+2</f>
        <v>20</v>
      </c>
      <c r="S95">
        <f>R95+4</f>
        <v>24</v>
      </c>
      <c r="T95">
        <f>S95+4</f>
        <v>28</v>
      </c>
      <c r="U95">
        <f>T95+4</f>
        <v>32</v>
      </c>
      <c r="V95">
        <f>U95+4</f>
        <v>36</v>
      </c>
      <c r="W95">
        <f>V95+4</f>
        <v>40</v>
      </c>
    </row>
    <row r="96" spans="1:23" x14ac:dyDescent="0.25">
      <c r="A96">
        <v>1</v>
      </c>
      <c r="B96" s="3">
        <v>180.1</v>
      </c>
      <c r="C96" s="387">
        <v>270.10000000000002</v>
      </c>
      <c r="D96" s="387">
        <v>328.5</v>
      </c>
      <c r="E96" s="387">
        <v>371.2</v>
      </c>
      <c r="F96" s="387">
        <v>404.4</v>
      </c>
      <c r="G96" s="387">
        <v>431.6</v>
      </c>
      <c r="H96" s="387">
        <v>454.4</v>
      </c>
      <c r="I96" s="476">
        <v>474</v>
      </c>
      <c r="J96" s="476">
        <v>491.1</v>
      </c>
      <c r="K96" s="476">
        <v>506.3</v>
      </c>
      <c r="L96" s="476">
        <v>520</v>
      </c>
      <c r="M96" s="387">
        <v>532.4</v>
      </c>
      <c r="N96" s="387">
        <v>543.6</v>
      </c>
      <c r="O96" s="476">
        <v>554</v>
      </c>
      <c r="P96" s="387">
        <v>563.6</v>
      </c>
      <c r="Q96" s="387">
        <v>580.9</v>
      </c>
      <c r="R96" s="476">
        <v>596</v>
      </c>
      <c r="S96" s="387">
        <v>621.70000000000005</v>
      </c>
      <c r="T96" s="387">
        <v>642.70000000000005</v>
      </c>
      <c r="U96" s="387">
        <v>660.6</v>
      </c>
      <c r="V96" s="476">
        <v>676</v>
      </c>
      <c r="W96" s="5">
        <v>689.6</v>
      </c>
    </row>
    <row r="97" spans="1:23" x14ac:dyDescent="0.25">
      <c r="A97">
        <v>2</v>
      </c>
      <c r="B97" s="214">
        <v>19.93</v>
      </c>
      <c r="C97" s="7">
        <v>26.97</v>
      </c>
      <c r="D97" s="7">
        <v>31.6</v>
      </c>
      <c r="E97" s="7">
        <v>35.020000000000003</v>
      </c>
      <c r="F97" s="7">
        <v>37.729999999999997</v>
      </c>
      <c r="G97" s="7">
        <v>39.950000000000003</v>
      </c>
      <c r="H97" s="7">
        <v>41.83</v>
      </c>
      <c r="I97" s="7">
        <v>43.46</v>
      </c>
      <c r="J97" s="7">
        <v>44.89</v>
      </c>
      <c r="K97" s="7">
        <v>46.16</v>
      </c>
      <c r="L97" s="7">
        <v>47.31</v>
      </c>
      <c r="M97" s="7">
        <v>48.35</v>
      </c>
      <c r="N97" s="7">
        <v>49.3</v>
      </c>
      <c r="O97" s="7">
        <v>50.17</v>
      </c>
      <c r="P97" s="7">
        <v>50.99</v>
      </c>
      <c r="Q97" s="7">
        <v>52.45</v>
      </c>
      <c r="R97" s="7">
        <v>53.74</v>
      </c>
      <c r="S97" s="7">
        <v>55.92</v>
      </c>
      <c r="T97" s="7">
        <v>57.73</v>
      </c>
      <c r="U97" s="7">
        <v>59.26</v>
      </c>
      <c r="V97" s="7">
        <v>60.59</v>
      </c>
      <c r="W97" s="215">
        <v>61.76</v>
      </c>
    </row>
    <row r="98" spans="1:23" x14ac:dyDescent="0.25">
      <c r="A98">
        <v>3</v>
      </c>
      <c r="B98" s="214">
        <v>10.55</v>
      </c>
      <c r="C98" s="34">
        <v>13.5</v>
      </c>
      <c r="D98" s="7">
        <v>15.45</v>
      </c>
      <c r="E98" s="7">
        <v>16.91</v>
      </c>
      <c r="F98" s="7">
        <v>18.059999999999999</v>
      </c>
      <c r="G98" s="7">
        <v>19.010000000000002</v>
      </c>
      <c r="H98" s="7">
        <v>19.829999999999998</v>
      </c>
      <c r="I98" s="7">
        <v>20.53</v>
      </c>
      <c r="J98" s="7">
        <v>21.15</v>
      </c>
      <c r="K98" s="34">
        <v>21.7</v>
      </c>
      <c r="L98" s="34">
        <v>22.2</v>
      </c>
      <c r="M98" s="7">
        <v>22.66</v>
      </c>
      <c r="N98" s="7">
        <v>23.08</v>
      </c>
      <c r="O98" s="7">
        <v>23.46</v>
      </c>
      <c r="P98" s="7">
        <v>23.82</v>
      </c>
      <c r="Q98" s="7">
        <v>24.46</v>
      </c>
      <c r="R98" s="7">
        <v>25.03</v>
      </c>
      <c r="S98" s="34">
        <v>26</v>
      </c>
      <c r="T98" s="34">
        <v>26.8</v>
      </c>
      <c r="U98" s="7">
        <v>27.48</v>
      </c>
      <c r="V98" s="7">
        <v>28.07</v>
      </c>
      <c r="W98" s="252">
        <v>28.6</v>
      </c>
    </row>
    <row r="99" spans="1:23" x14ac:dyDescent="0.25">
      <c r="A99">
        <v>4</v>
      </c>
      <c r="B99" s="214">
        <v>7.9160000000000004</v>
      </c>
      <c r="C99" s="7">
        <v>9.8140000000000001</v>
      </c>
      <c r="D99" s="7">
        <v>11.06</v>
      </c>
      <c r="E99" s="7">
        <v>11.99</v>
      </c>
      <c r="F99" s="7">
        <v>12.74</v>
      </c>
      <c r="G99" s="7">
        <v>13.35</v>
      </c>
      <c r="H99" s="7">
        <v>13.88</v>
      </c>
      <c r="I99" s="7">
        <v>14.33</v>
      </c>
      <c r="J99" s="7">
        <v>14.74</v>
      </c>
      <c r="K99" s="34">
        <v>15.1</v>
      </c>
      <c r="L99" s="34">
        <v>15.42</v>
      </c>
      <c r="M99" s="7">
        <v>15.72</v>
      </c>
      <c r="N99" s="7">
        <v>15.99</v>
      </c>
      <c r="O99" s="7">
        <v>16.239999999999998</v>
      </c>
      <c r="P99" s="7">
        <v>16.48</v>
      </c>
      <c r="Q99" s="34">
        <v>16.899999999999999</v>
      </c>
      <c r="R99" s="7">
        <v>17.28</v>
      </c>
      <c r="S99" s="7">
        <v>17.91</v>
      </c>
      <c r="T99" s="7">
        <v>18.440000000000001</v>
      </c>
      <c r="U99" s="7">
        <v>18.89</v>
      </c>
      <c r="V99" s="7">
        <v>19.28</v>
      </c>
      <c r="W99" s="215">
        <v>19.63</v>
      </c>
    </row>
    <row r="100" spans="1:23" x14ac:dyDescent="0.25">
      <c r="A100">
        <v>5</v>
      </c>
      <c r="B100" s="214">
        <v>6.7510000000000003</v>
      </c>
      <c r="C100" s="7">
        <v>8.1959999999999997</v>
      </c>
      <c r="D100" s="7">
        <v>9.141</v>
      </c>
      <c r="E100" s="7">
        <v>9.8469999999999995</v>
      </c>
      <c r="F100" s="7">
        <v>10.41</v>
      </c>
      <c r="G100" s="7">
        <v>10.88</v>
      </c>
      <c r="H100" s="7">
        <v>11.28</v>
      </c>
      <c r="I100" s="7">
        <v>11.63</v>
      </c>
      <c r="J100" s="7">
        <v>11.93</v>
      </c>
      <c r="K100" s="7">
        <v>12.21</v>
      </c>
      <c r="L100" s="7">
        <v>12.46</v>
      </c>
      <c r="M100" s="7">
        <v>12.69</v>
      </c>
      <c r="N100" s="34">
        <v>12.9</v>
      </c>
      <c r="O100" s="7">
        <v>13.09</v>
      </c>
      <c r="P100" s="7">
        <v>13.27</v>
      </c>
      <c r="Q100" s="34">
        <v>13.6</v>
      </c>
      <c r="R100" s="7">
        <v>13.89</v>
      </c>
      <c r="S100" s="7">
        <v>14.38</v>
      </c>
      <c r="T100" s="7">
        <v>14.79</v>
      </c>
      <c r="U100" s="7">
        <v>15.13</v>
      </c>
      <c r="V100" s="7">
        <v>15.44</v>
      </c>
      <c r="W100" s="215">
        <v>15.71</v>
      </c>
    </row>
    <row r="101" spans="1:23" x14ac:dyDescent="0.25">
      <c r="A101">
        <v>6</v>
      </c>
      <c r="B101" s="214">
        <v>6.1050000000000004</v>
      </c>
      <c r="C101" s="7">
        <v>7.306</v>
      </c>
      <c r="D101" s="7">
        <v>8.0879999999999992</v>
      </c>
      <c r="E101" s="36">
        <v>8.67</v>
      </c>
      <c r="F101" s="7">
        <v>9.1349999999999998</v>
      </c>
      <c r="G101" s="7">
        <v>9.5220000000000002</v>
      </c>
      <c r="H101" s="7">
        <v>9.8520000000000003</v>
      </c>
      <c r="I101" s="7">
        <v>10.14</v>
      </c>
      <c r="J101" s="34">
        <v>10.4</v>
      </c>
      <c r="K101" s="7">
        <v>10.63</v>
      </c>
      <c r="L101" s="7">
        <v>10.83</v>
      </c>
      <c r="M101" s="7">
        <v>11.02</v>
      </c>
      <c r="N101" s="34">
        <v>11.2</v>
      </c>
      <c r="O101" s="7">
        <v>11.36</v>
      </c>
      <c r="P101" s="7">
        <v>11.51</v>
      </c>
      <c r="Q101" s="7">
        <v>11.78</v>
      </c>
      <c r="R101" s="7">
        <v>12.02</v>
      </c>
      <c r="S101" s="7">
        <v>12.43</v>
      </c>
      <c r="T101" s="7">
        <v>12.77</v>
      </c>
      <c r="U101" s="7">
        <v>13.06</v>
      </c>
      <c r="V101" s="7">
        <v>13.32</v>
      </c>
      <c r="W101" s="215">
        <v>13.54</v>
      </c>
    </row>
    <row r="102" spans="1:23" x14ac:dyDescent="0.25">
      <c r="A102">
        <v>7</v>
      </c>
      <c r="B102" s="285">
        <v>5.6989999999999998</v>
      </c>
      <c r="C102" s="36">
        <v>6.75</v>
      </c>
      <c r="D102" s="7">
        <v>7.4290000000000003</v>
      </c>
      <c r="E102" s="7">
        <v>7.9349999999999996</v>
      </c>
      <c r="F102" s="7">
        <v>8.3390000000000004</v>
      </c>
      <c r="G102" s="7">
        <v>8.6739999999999995</v>
      </c>
      <c r="H102" s="7">
        <v>8.9610000000000003</v>
      </c>
      <c r="I102" s="7">
        <v>9.2110000000000003</v>
      </c>
      <c r="J102" s="7">
        <v>9.4329999999999998</v>
      </c>
      <c r="K102" s="7">
        <v>9.6319999999999997</v>
      </c>
      <c r="L102" s="7">
        <v>9.8119999999999994</v>
      </c>
      <c r="M102" s="7">
        <v>9.9770000000000003</v>
      </c>
      <c r="N102" s="7">
        <v>10.130000000000001</v>
      </c>
      <c r="O102" s="7">
        <v>10.27</v>
      </c>
      <c r="P102" s="34">
        <v>10.4</v>
      </c>
      <c r="Q102" s="7">
        <v>10.64</v>
      </c>
      <c r="R102" s="7">
        <v>10.85</v>
      </c>
      <c r="S102" s="7">
        <v>11.21</v>
      </c>
      <c r="T102" s="34">
        <v>11.5</v>
      </c>
      <c r="U102" s="7">
        <v>11.76</v>
      </c>
      <c r="V102" s="7">
        <v>11.99</v>
      </c>
      <c r="W102" s="215">
        <v>12.18</v>
      </c>
    </row>
    <row r="103" spans="1:23" x14ac:dyDescent="0.25">
      <c r="A103">
        <v>8</v>
      </c>
      <c r="B103" s="285">
        <v>5.42</v>
      </c>
      <c r="C103" s="36">
        <v>6.37</v>
      </c>
      <c r="D103" s="7">
        <v>6.9809999999999999</v>
      </c>
      <c r="E103" s="7">
        <v>7.4349999999999996</v>
      </c>
      <c r="F103" s="7">
        <v>7.7969999999999997</v>
      </c>
      <c r="G103" s="7">
        <v>8.0969999999999995</v>
      </c>
      <c r="H103" s="7">
        <v>8.3539999999999992</v>
      </c>
      <c r="I103" s="7">
        <v>8.5779999999999994</v>
      </c>
      <c r="J103" s="7">
        <v>8.7769999999999992</v>
      </c>
      <c r="K103" s="7">
        <v>8.9550000000000001</v>
      </c>
      <c r="L103" s="7">
        <v>9.1170000000000009</v>
      </c>
      <c r="M103" s="7">
        <v>9.2650000000000006</v>
      </c>
      <c r="N103" s="7">
        <v>9.4009999999999998</v>
      </c>
      <c r="O103" s="7">
        <v>9.5269999999999992</v>
      </c>
      <c r="P103" s="7">
        <v>9.6440000000000001</v>
      </c>
      <c r="Q103" s="7">
        <v>9.8569999999999993</v>
      </c>
      <c r="R103" s="7">
        <v>10.039999999999999</v>
      </c>
      <c r="S103" s="7">
        <v>10.37</v>
      </c>
      <c r="T103" s="7">
        <v>10.64</v>
      </c>
      <c r="U103" s="7">
        <v>10.87</v>
      </c>
      <c r="V103" s="7">
        <v>11.07</v>
      </c>
      <c r="W103" s="215">
        <v>11.25</v>
      </c>
    </row>
    <row r="104" spans="1:23" x14ac:dyDescent="0.25">
      <c r="A104">
        <v>9</v>
      </c>
      <c r="B104" s="214">
        <v>5.218</v>
      </c>
      <c r="C104" s="7">
        <v>6.0960000000000001</v>
      </c>
      <c r="D104" s="7">
        <v>6.657</v>
      </c>
      <c r="E104" s="7">
        <v>7.0739999999999998</v>
      </c>
      <c r="F104" s="7">
        <v>7.4050000000000002</v>
      </c>
      <c r="G104" s="36">
        <v>7.68</v>
      </c>
      <c r="H104" s="7">
        <v>7.915</v>
      </c>
      <c r="I104" s="36">
        <v>8.1199999999999992</v>
      </c>
      <c r="J104" s="7">
        <v>8.3030000000000008</v>
      </c>
      <c r="K104" s="7">
        <v>8.4659999999999993</v>
      </c>
      <c r="L104" s="7">
        <v>8.6140000000000008</v>
      </c>
      <c r="M104" s="7">
        <v>8.7490000000000006</v>
      </c>
      <c r="N104" s="7">
        <v>8.8740000000000006</v>
      </c>
      <c r="O104" s="36">
        <v>8.99</v>
      </c>
      <c r="P104" s="7">
        <v>9.0969999999999995</v>
      </c>
      <c r="Q104" s="7">
        <v>9.2919999999999998</v>
      </c>
      <c r="R104" s="7">
        <v>9.4649999999999999</v>
      </c>
      <c r="S104" s="7">
        <v>9.7609999999999992</v>
      </c>
      <c r="T104" s="7">
        <v>10.01</v>
      </c>
      <c r="U104" s="7">
        <v>10.220000000000001</v>
      </c>
      <c r="V104" s="7">
        <v>10.41</v>
      </c>
      <c r="W104" s="215">
        <v>10.58</v>
      </c>
    </row>
    <row r="105" spans="1:23" x14ac:dyDescent="0.25">
      <c r="A105">
        <v>10</v>
      </c>
      <c r="B105" s="214">
        <v>5.0650000000000004</v>
      </c>
      <c r="C105" s="7">
        <v>5.8879999999999999</v>
      </c>
      <c r="D105" s="7">
        <v>6.4119999999999999</v>
      </c>
      <c r="E105" s="36">
        <v>6.8</v>
      </c>
      <c r="F105" s="7">
        <v>7.109</v>
      </c>
      <c r="G105" s="36">
        <v>7.3650000000000002</v>
      </c>
      <c r="H105" s="7">
        <v>7.5839999999999996</v>
      </c>
      <c r="I105" s="7">
        <v>7.7750000000000004</v>
      </c>
      <c r="J105" s="7">
        <v>7.944</v>
      </c>
      <c r="K105" s="7">
        <v>8.0960000000000001</v>
      </c>
      <c r="L105" s="7">
        <v>8.234</v>
      </c>
      <c r="M105" s="36">
        <v>8.36</v>
      </c>
      <c r="N105" s="7">
        <v>8.4760000000000009</v>
      </c>
      <c r="O105" s="7">
        <v>8.5830000000000002</v>
      </c>
      <c r="P105" s="7">
        <v>8.6829999999999998</v>
      </c>
      <c r="Q105" s="7">
        <v>8.8650000000000002</v>
      </c>
      <c r="R105" s="7">
        <v>9.0259999999999998</v>
      </c>
      <c r="S105" s="7">
        <v>9.3019999999999996</v>
      </c>
      <c r="T105" s="7">
        <v>9.532</v>
      </c>
      <c r="U105" s="36">
        <v>9.73</v>
      </c>
      <c r="V105" s="7">
        <v>9.9039999999999999</v>
      </c>
      <c r="W105" s="215">
        <v>10.06</v>
      </c>
    </row>
    <row r="106" spans="1:23" x14ac:dyDescent="0.25">
      <c r="A106">
        <v>11</v>
      </c>
      <c r="B106" s="214">
        <v>4.9450000000000003</v>
      </c>
      <c r="C106" s="7">
        <v>5.7270000000000003</v>
      </c>
      <c r="D106" s="7">
        <v>6.2220000000000004</v>
      </c>
      <c r="E106" s="7">
        <v>6.5880000000000001</v>
      </c>
      <c r="F106" s="7">
        <v>6.8780000000000001</v>
      </c>
      <c r="G106" s="36">
        <v>7.1189999999999998</v>
      </c>
      <c r="H106" s="7">
        <v>7.3250000000000002</v>
      </c>
      <c r="I106" s="7">
        <v>7.5049999999999999</v>
      </c>
      <c r="J106" s="7">
        <v>7.6639999999999997</v>
      </c>
      <c r="K106" s="7">
        <v>7.8070000000000004</v>
      </c>
      <c r="L106" s="7">
        <v>7.9370000000000003</v>
      </c>
      <c r="M106" s="7">
        <v>8.0549999999999997</v>
      </c>
      <c r="N106" s="7">
        <v>8.1639999999999997</v>
      </c>
      <c r="O106" s="7">
        <v>8.2650000000000006</v>
      </c>
      <c r="P106" s="7">
        <v>8.359</v>
      </c>
      <c r="Q106" s="36">
        <v>8.5299999999999994</v>
      </c>
      <c r="R106" s="7">
        <v>8.6820000000000004</v>
      </c>
      <c r="S106" s="7">
        <v>8.9410000000000007</v>
      </c>
      <c r="T106" s="7">
        <v>9.1590000000000007</v>
      </c>
      <c r="U106" s="7">
        <v>9.3450000000000006</v>
      </c>
      <c r="V106" s="7">
        <v>9.5090000000000003</v>
      </c>
      <c r="W106" s="215">
        <v>9.6539999999999999</v>
      </c>
    </row>
    <row r="107" spans="1:23" x14ac:dyDescent="0.25">
      <c r="A107">
        <v>12</v>
      </c>
      <c r="B107" s="214">
        <v>4.8490000000000002</v>
      </c>
      <c r="C107" s="7">
        <v>5.5970000000000004</v>
      </c>
      <c r="D107" s="7">
        <v>6.0679999999999996</v>
      </c>
      <c r="E107" s="7">
        <v>6.4160000000000004</v>
      </c>
      <c r="F107" s="7">
        <v>6.6929999999999996</v>
      </c>
      <c r="G107" s="36">
        <v>6.9219999999999997</v>
      </c>
      <c r="H107" s="7">
        <v>7.1180000000000003</v>
      </c>
      <c r="I107" s="7">
        <v>7.2880000000000003</v>
      </c>
      <c r="J107" s="7">
        <v>7.4390000000000001</v>
      </c>
      <c r="K107" s="7">
        <v>7.5750000000000002</v>
      </c>
      <c r="L107" s="7">
        <v>7.6970000000000001</v>
      </c>
      <c r="M107" s="36">
        <v>7.81</v>
      </c>
      <c r="N107" s="7">
        <v>7.9139999999999997</v>
      </c>
      <c r="O107" s="7">
        <v>8.0090000000000003</v>
      </c>
      <c r="P107" s="7">
        <v>8.0990000000000002</v>
      </c>
      <c r="Q107" s="36">
        <v>8.2609999999999992</v>
      </c>
      <c r="R107" s="7">
        <v>8.4049999999999994</v>
      </c>
      <c r="S107" s="7">
        <v>8.6519999999999992</v>
      </c>
      <c r="T107" s="7">
        <v>8.8580000000000005</v>
      </c>
      <c r="U107" s="7">
        <v>9.0359999999999996</v>
      </c>
      <c r="V107" s="7">
        <v>9.1910000000000007</v>
      </c>
      <c r="W107" s="215">
        <v>9.3279999999999994</v>
      </c>
    </row>
    <row r="108" spans="1:23" x14ac:dyDescent="0.25">
      <c r="A108">
        <v>13</v>
      </c>
      <c r="B108" s="285">
        <v>4.7699999999999996</v>
      </c>
      <c r="C108" s="36">
        <v>5.49</v>
      </c>
      <c r="D108" s="7">
        <v>5.9429999999999996</v>
      </c>
      <c r="E108" s="7">
        <v>6.2770000000000001</v>
      </c>
      <c r="F108" s="7">
        <v>6.5410000000000004</v>
      </c>
      <c r="G108" s="36">
        <v>6.76</v>
      </c>
      <c r="H108" s="7">
        <v>6.9470000000000001</v>
      </c>
      <c r="I108" s="7">
        <v>7.1109999999999998</v>
      </c>
      <c r="J108" s="7">
        <v>7.2549999999999999</v>
      </c>
      <c r="K108" s="7">
        <v>7.3840000000000003</v>
      </c>
      <c r="L108" s="7">
        <v>7.5019999999999998</v>
      </c>
      <c r="M108" s="7">
        <v>7.609</v>
      </c>
      <c r="N108" s="7">
        <v>7.7080000000000002</v>
      </c>
      <c r="O108" s="36">
        <v>7.8</v>
      </c>
      <c r="P108" s="7">
        <v>7.8860000000000001</v>
      </c>
      <c r="Q108" s="36">
        <v>8.0399999999999991</v>
      </c>
      <c r="R108" s="7">
        <v>8.1780000000000008</v>
      </c>
      <c r="S108" s="7">
        <v>8.4139999999999997</v>
      </c>
      <c r="T108" s="7">
        <v>8.6110000000000007</v>
      </c>
      <c r="U108" s="7">
        <v>8.7810000000000006</v>
      </c>
      <c r="V108" s="7">
        <v>8.9290000000000003</v>
      </c>
      <c r="W108" s="215">
        <v>9.0609999999999999</v>
      </c>
    </row>
    <row r="109" spans="1:23" x14ac:dyDescent="0.25">
      <c r="A109">
        <v>14</v>
      </c>
      <c r="B109" s="214">
        <v>4.7039999999999997</v>
      </c>
      <c r="C109" s="7">
        <v>5.4009999999999998</v>
      </c>
      <c r="D109" s="7">
        <v>5.8380000000000001</v>
      </c>
      <c r="E109" s="36">
        <v>6.16</v>
      </c>
      <c r="F109" s="7">
        <v>6.4139999999999997</v>
      </c>
      <c r="G109" s="7">
        <v>6.6260000000000003</v>
      </c>
      <c r="H109" s="7">
        <v>6.8049999999999997</v>
      </c>
      <c r="I109" s="7">
        <v>6.9619999999999997</v>
      </c>
      <c r="J109" s="7">
        <v>7.101</v>
      </c>
      <c r="K109" s="7">
        <v>7.2249999999999996</v>
      </c>
      <c r="L109" s="7">
        <v>7.3380000000000001</v>
      </c>
      <c r="M109" s="7">
        <v>7.4420000000000002</v>
      </c>
      <c r="N109" s="7">
        <v>7.5369999999999999</v>
      </c>
      <c r="O109" s="7">
        <v>7.625</v>
      </c>
      <c r="P109" s="7">
        <v>7.7069999999999999</v>
      </c>
      <c r="Q109" s="7">
        <v>7.8559999999999999</v>
      </c>
      <c r="R109" s="7">
        <v>7.9880000000000004</v>
      </c>
      <c r="S109" s="7">
        <v>8.2149999999999999</v>
      </c>
      <c r="T109" s="7">
        <v>8.4039999999999999</v>
      </c>
      <c r="U109" s="7">
        <v>8.5679999999999996</v>
      </c>
      <c r="V109" s="36">
        <v>8.7100000000000009</v>
      </c>
      <c r="W109" s="215">
        <v>8.8369999999999997</v>
      </c>
    </row>
    <row r="110" spans="1:23" x14ac:dyDescent="0.25">
      <c r="A110">
        <v>15</v>
      </c>
      <c r="B110" s="214">
        <v>4.6470000000000002</v>
      </c>
      <c r="C110" s="7">
        <v>5.3250000000000002</v>
      </c>
      <c r="D110" s="36">
        <v>5.75</v>
      </c>
      <c r="E110" s="7">
        <v>6.0609999999999999</v>
      </c>
      <c r="F110" s="7">
        <v>6.3079999999999998</v>
      </c>
      <c r="G110" s="7">
        <v>6.5110000000000001</v>
      </c>
      <c r="H110" s="7">
        <v>6.6849999999999996</v>
      </c>
      <c r="I110" s="7">
        <v>6.8369999999999997</v>
      </c>
      <c r="J110" s="7">
        <v>6.9710000000000001</v>
      </c>
      <c r="K110" s="7">
        <v>7.0910000000000002</v>
      </c>
      <c r="L110" s="36">
        <v>7.2</v>
      </c>
      <c r="M110" s="36">
        <v>7.3</v>
      </c>
      <c r="N110" s="7">
        <v>7.3920000000000003</v>
      </c>
      <c r="O110" s="7">
        <v>7.4770000000000003</v>
      </c>
      <c r="P110" s="7">
        <v>7.556</v>
      </c>
      <c r="Q110" s="7">
        <v>7.6989999999999998</v>
      </c>
      <c r="R110" s="7">
        <v>7.827</v>
      </c>
      <c r="S110" s="7">
        <v>8.0459999999999994</v>
      </c>
      <c r="T110" s="7">
        <v>8.2289999999999992</v>
      </c>
      <c r="U110" s="7">
        <v>8.3870000000000005</v>
      </c>
      <c r="V110" s="7">
        <v>8.5239999999999991</v>
      </c>
      <c r="W110" s="215">
        <v>8.6470000000000002</v>
      </c>
    </row>
    <row r="111" spans="1:23" x14ac:dyDescent="0.25">
      <c r="A111">
        <v>16</v>
      </c>
      <c r="B111" s="214">
        <v>4.5990000000000002</v>
      </c>
      <c r="C111" s="7">
        <v>5.2610000000000001</v>
      </c>
      <c r="D111" s="36">
        <v>5.6740000000000004</v>
      </c>
      <c r="E111" s="7">
        <v>5.9770000000000003</v>
      </c>
      <c r="F111" s="7">
        <v>6.2160000000000002</v>
      </c>
      <c r="G111" s="7">
        <v>6.4130000000000003</v>
      </c>
      <c r="H111" s="7">
        <v>6.5819999999999999</v>
      </c>
      <c r="I111" s="7">
        <v>6.7290000000000001</v>
      </c>
      <c r="J111" s="7">
        <v>6.859</v>
      </c>
      <c r="K111" s="7">
        <v>6.976</v>
      </c>
      <c r="L111" s="7">
        <v>7.0810000000000004</v>
      </c>
      <c r="M111" s="7">
        <v>7.1779999999999999</v>
      </c>
      <c r="N111" s="7">
        <v>7.2670000000000003</v>
      </c>
      <c r="O111" s="7">
        <v>7.3490000000000002</v>
      </c>
      <c r="P111" s="7">
        <v>7.4260000000000002</v>
      </c>
      <c r="Q111" s="7">
        <v>7.5659999999999998</v>
      </c>
      <c r="R111" s="7">
        <v>7.6890000000000001</v>
      </c>
      <c r="S111" s="7">
        <v>7.9009999999999998</v>
      </c>
      <c r="T111" s="7">
        <v>8.0779999999999994</v>
      </c>
      <c r="U111" s="7">
        <v>8.2309999999999999</v>
      </c>
      <c r="V111" s="7">
        <v>8.3650000000000002</v>
      </c>
      <c r="W111" s="215">
        <v>8.4830000000000005</v>
      </c>
    </row>
    <row r="112" spans="1:23" x14ac:dyDescent="0.25">
      <c r="A112">
        <v>17</v>
      </c>
      <c r="B112" s="214">
        <v>4.5570000000000004</v>
      </c>
      <c r="C112" s="7">
        <v>5.2050000000000001</v>
      </c>
      <c r="D112" s="36">
        <v>5.6079999999999997</v>
      </c>
      <c r="E112" s="7">
        <v>5.9029999999999996</v>
      </c>
      <c r="F112" s="7">
        <v>6.1360000000000001</v>
      </c>
      <c r="G112" s="7">
        <v>6.3289999999999997</v>
      </c>
      <c r="H112" s="7">
        <v>6.4930000000000003</v>
      </c>
      <c r="I112" s="7">
        <v>6.6360000000000001</v>
      </c>
      <c r="J112" s="7">
        <v>6.7629999999999999</v>
      </c>
      <c r="K112" s="7">
        <v>6.8760000000000003</v>
      </c>
      <c r="L112" s="7">
        <v>6.9790000000000001</v>
      </c>
      <c r="M112" s="7">
        <v>7.0720000000000001</v>
      </c>
      <c r="N112" s="7">
        <v>7.1589999999999998</v>
      </c>
      <c r="O112" s="7">
        <v>7.2389999999999999</v>
      </c>
      <c r="P112" s="7">
        <v>7.3140000000000001</v>
      </c>
      <c r="Q112" s="7">
        <v>7.4489999999999998</v>
      </c>
      <c r="R112" s="7">
        <v>7.569</v>
      </c>
      <c r="S112" s="7">
        <v>7.7750000000000004</v>
      </c>
      <c r="T112" s="7">
        <v>7.9480000000000004</v>
      </c>
      <c r="U112" s="7">
        <v>8.0960000000000001</v>
      </c>
      <c r="V112" s="7">
        <v>8.2260000000000009</v>
      </c>
      <c r="W112" s="215">
        <v>8.3409999999999993</v>
      </c>
    </row>
    <row r="113" spans="1:23" x14ac:dyDescent="0.25">
      <c r="A113">
        <v>18</v>
      </c>
      <c r="B113" s="214">
        <v>4.5209999999999999</v>
      </c>
      <c r="C113" s="7">
        <v>5.1559999999999997</v>
      </c>
      <c r="D113" s="36">
        <v>5.55</v>
      </c>
      <c r="E113" s="7">
        <v>5.8390000000000004</v>
      </c>
      <c r="F113" s="7">
        <v>6.0670000000000002</v>
      </c>
      <c r="G113" s="7">
        <v>6.2549999999999999</v>
      </c>
      <c r="H113" s="7">
        <v>6.415</v>
      </c>
      <c r="I113" s="7">
        <v>6.5540000000000003</v>
      </c>
      <c r="J113" s="7">
        <v>6.6779999999999999</v>
      </c>
      <c r="K113" s="7">
        <v>6.7880000000000003</v>
      </c>
      <c r="L113" s="7">
        <v>6.8879999999999999</v>
      </c>
      <c r="M113" s="546">
        <v>6980</v>
      </c>
      <c r="N113" s="7">
        <v>7.0640000000000001</v>
      </c>
      <c r="O113" s="7">
        <v>7.1420000000000003</v>
      </c>
      <c r="P113" s="7">
        <v>7.2149999999999999</v>
      </c>
      <c r="Q113" s="7">
        <v>7.3470000000000004</v>
      </c>
      <c r="R113" s="7">
        <v>7.4640000000000004</v>
      </c>
      <c r="S113" s="7">
        <v>7.665</v>
      </c>
      <c r="T113" s="7">
        <v>7.8330000000000002</v>
      </c>
      <c r="U113" s="7">
        <v>7.9779999999999998</v>
      </c>
      <c r="V113" s="7">
        <v>8.1039999999999992</v>
      </c>
      <c r="W113" s="215">
        <v>8.2170000000000005</v>
      </c>
    </row>
    <row r="114" spans="1:23" x14ac:dyDescent="0.25">
      <c r="A114">
        <v>19</v>
      </c>
      <c r="B114" s="285">
        <v>4.4880000000000004</v>
      </c>
      <c r="C114" s="36">
        <v>5.1130000000000004</v>
      </c>
      <c r="D114" s="36">
        <v>5.5</v>
      </c>
      <c r="E114" s="7">
        <v>5.7830000000000004</v>
      </c>
      <c r="F114" s="7">
        <v>6.0049999999999999</v>
      </c>
      <c r="G114" s="7">
        <v>6.1890000000000001</v>
      </c>
      <c r="H114" s="7">
        <v>6.3460000000000001</v>
      </c>
      <c r="I114" s="7">
        <v>6.4820000000000002</v>
      </c>
      <c r="J114" s="7">
        <v>6.6029999999999998</v>
      </c>
      <c r="K114" s="7">
        <v>6.7110000000000003</v>
      </c>
      <c r="L114" s="7">
        <v>6.8090000000000002</v>
      </c>
      <c r="M114" s="7">
        <v>6.8979999999999997</v>
      </c>
      <c r="N114" s="7">
        <v>6.9809999999999999</v>
      </c>
      <c r="O114" s="7">
        <v>7.0570000000000004</v>
      </c>
      <c r="P114" s="7">
        <v>7.1280000000000001</v>
      </c>
      <c r="Q114" s="7">
        <v>7.2569999999999997</v>
      </c>
      <c r="R114" s="7">
        <v>7.3719999999999999</v>
      </c>
      <c r="S114" s="7">
        <v>7.5679999999999996</v>
      </c>
      <c r="T114" s="7">
        <v>7.7320000000000002</v>
      </c>
      <c r="U114" s="7">
        <v>7.8730000000000002</v>
      </c>
      <c r="V114" s="7">
        <v>7.9960000000000004</v>
      </c>
      <c r="W114" s="215">
        <v>8.1059999999999999</v>
      </c>
    </row>
    <row r="115" spans="1:23" x14ac:dyDescent="0.25">
      <c r="A115">
        <v>20</v>
      </c>
      <c r="B115" s="285">
        <v>4.46</v>
      </c>
      <c r="C115" s="36">
        <v>5.0739999999999998</v>
      </c>
      <c r="D115" s="36">
        <v>5.4550000000000001</v>
      </c>
      <c r="E115" s="7">
        <v>5.7320000000000002</v>
      </c>
      <c r="F115" s="7">
        <v>5.9509999999999996</v>
      </c>
      <c r="G115" s="7">
        <v>6.1310000000000002</v>
      </c>
      <c r="H115" s="7">
        <v>6.2850000000000001</v>
      </c>
      <c r="I115" s="7">
        <v>6.4180000000000001</v>
      </c>
      <c r="J115" s="7">
        <v>6.5369999999999999</v>
      </c>
      <c r="K115" s="7">
        <v>6.6420000000000003</v>
      </c>
      <c r="L115" s="7">
        <v>6.7380000000000004</v>
      </c>
      <c r="M115" s="7">
        <v>6.8259999999999996</v>
      </c>
      <c r="N115" s="7">
        <v>6.907</v>
      </c>
      <c r="O115" s="7">
        <v>6.9809999999999999</v>
      </c>
      <c r="P115" s="7">
        <v>7.0510000000000002</v>
      </c>
      <c r="Q115" s="7">
        <v>7.1769999999999996</v>
      </c>
      <c r="R115" s="7">
        <v>7.2889999999999997</v>
      </c>
      <c r="S115" s="7">
        <v>7.4809999999999999</v>
      </c>
      <c r="T115" s="7">
        <v>7.6420000000000003</v>
      </c>
      <c r="U115" s="36">
        <v>7.78</v>
      </c>
      <c r="V115" s="7">
        <v>7.9009999999999998</v>
      </c>
      <c r="W115" s="215">
        <v>8.0079999999999991</v>
      </c>
    </row>
    <row r="116" spans="1:23" x14ac:dyDescent="0.25">
      <c r="A116">
        <v>24</v>
      </c>
      <c r="B116" s="214">
        <v>4.3710000000000004</v>
      </c>
      <c r="C116" s="7">
        <v>4.9550000000000001</v>
      </c>
      <c r="D116" s="7">
        <v>5.3150000000000004</v>
      </c>
      <c r="E116" s="7">
        <v>5.577</v>
      </c>
      <c r="F116" s="7">
        <v>5.7830000000000004</v>
      </c>
      <c r="G116" s="7">
        <v>5.952</v>
      </c>
      <c r="H116" s="7">
        <v>6.0960000000000001</v>
      </c>
      <c r="I116" s="7">
        <v>6.2210000000000001</v>
      </c>
      <c r="J116" s="7">
        <v>6.3319999999999999</v>
      </c>
      <c r="K116" s="36">
        <v>6.431</v>
      </c>
      <c r="L116" s="36">
        <v>6.52</v>
      </c>
      <c r="M116" s="7">
        <v>6.6020000000000003</v>
      </c>
      <c r="N116" s="7">
        <v>6.6769999999999996</v>
      </c>
      <c r="O116" s="7">
        <v>6.7469999999999999</v>
      </c>
      <c r="P116" s="36">
        <v>6.8120000000000003</v>
      </c>
      <c r="Q116" s="36">
        <v>6.93</v>
      </c>
      <c r="R116" s="36">
        <v>7.0339999999999998</v>
      </c>
      <c r="S116" s="7">
        <v>7.2130000000000001</v>
      </c>
      <c r="T116" s="7">
        <v>7.3620000000000001</v>
      </c>
      <c r="U116" s="7">
        <v>7.4909999999999997</v>
      </c>
      <c r="V116" s="7">
        <v>7.6029999999999998</v>
      </c>
      <c r="W116" s="215">
        <v>7.7039999999999997</v>
      </c>
    </row>
    <row r="117" spans="1:23" x14ac:dyDescent="0.25">
      <c r="A117">
        <v>30</v>
      </c>
      <c r="B117" s="214">
        <v>4.2850000000000001</v>
      </c>
      <c r="C117" s="7">
        <v>4.8410000000000002</v>
      </c>
      <c r="D117" s="7">
        <v>5.181</v>
      </c>
      <c r="E117" s="7">
        <v>5.4279999999999999</v>
      </c>
      <c r="F117" s="7">
        <v>5.6210000000000004</v>
      </c>
      <c r="G117" s="36">
        <v>5.78</v>
      </c>
      <c r="H117" s="7">
        <v>5.9139999999999997</v>
      </c>
      <c r="I117" s="7">
        <v>6.0309999999999997</v>
      </c>
      <c r="J117" s="7">
        <v>6.1349999999999998</v>
      </c>
      <c r="K117" s="36">
        <v>6.2270000000000003</v>
      </c>
      <c r="L117" s="36">
        <v>6.31</v>
      </c>
      <c r="M117" s="7">
        <v>6.3869999999999996</v>
      </c>
      <c r="N117" s="7">
        <v>6.4560000000000004</v>
      </c>
      <c r="O117" s="7">
        <v>6.5209999999999999</v>
      </c>
      <c r="P117" s="36">
        <v>6.5810000000000004</v>
      </c>
      <c r="Q117" s="36">
        <v>6.6909999999999998</v>
      </c>
      <c r="R117" s="36">
        <v>6.7880000000000003</v>
      </c>
      <c r="S117" s="7">
        <v>6.9539999999999997</v>
      </c>
      <c r="T117" s="7">
        <v>7.093</v>
      </c>
      <c r="U117" s="7">
        <v>7.2119999999999997</v>
      </c>
      <c r="V117" s="7">
        <v>7.3159999999999998</v>
      </c>
      <c r="W117" s="215">
        <v>7.4089999999999998</v>
      </c>
    </row>
    <row r="118" spans="1:23" x14ac:dyDescent="0.25">
      <c r="A118">
        <v>40</v>
      </c>
      <c r="B118" s="214">
        <v>4.202</v>
      </c>
      <c r="C118" s="7">
        <v>4.7309999999999999</v>
      </c>
      <c r="D118" s="7">
        <v>5.0529999999999999</v>
      </c>
      <c r="E118" s="7">
        <v>5.2839999999999998</v>
      </c>
      <c r="F118" s="7">
        <v>5.4649999999999999</v>
      </c>
      <c r="G118" s="7">
        <v>5.6139999999999999</v>
      </c>
      <c r="H118" s="7">
        <v>5.7389999999999999</v>
      </c>
      <c r="I118" s="7">
        <v>5.8479999999999999</v>
      </c>
      <c r="J118" s="7">
        <v>5.944</v>
      </c>
      <c r="K118" s="36">
        <v>6.03</v>
      </c>
      <c r="L118" s="36">
        <v>6.1079999999999997</v>
      </c>
      <c r="M118" s="7">
        <v>6.1790000000000003</v>
      </c>
      <c r="N118" s="7">
        <v>6.2439999999999998</v>
      </c>
      <c r="O118" s="7">
        <v>6.3040000000000003</v>
      </c>
      <c r="P118" s="36">
        <v>6.36</v>
      </c>
      <c r="Q118" s="36">
        <v>6.4610000000000003</v>
      </c>
      <c r="R118" s="36">
        <v>6.55</v>
      </c>
      <c r="S118" s="7">
        <v>6.7039999999999997</v>
      </c>
      <c r="T118" s="7">
        <v>6.8319999999999999</v>
      </c>
      <c r="U118" s="7">
        <v>6.9420000000000002</v>
      </c>
      <c r="V118" s="7">
        <v>7.0380000000000003</v>
      </c>
      <c r="W118" s="215">
        <v>7.1230000000000002</v>
      </c>
    </row>
    <row r="119" spans="1:23" x14ac:dyDescent="0.25">
      <c r="A119">
        <v>60</v>
      </c>
      <c r="B119" s="214">
        <v>4.1219999999999999</v>
      </c>
      <c r="C119" s="7">
        <v>4.625</v>
      </c>
      <c r="D119" s="7">
        <v>4.9279999999999999</v>
      </c>
      <c r="E119" s="7">
        <v>5.1459999999999999</v>
      </c>
      <c r="F119" s="7">
        <v>5.3159999999999998</v>
      </c>
      <c r="G119" s="7">
        <v>5.4539999999999997</v>
      </c>
      <c r="H119" s="7">
        <v>5.5709999999999997</v>
      </c>
      <c r="I119" s="7">
        <v>5.673</v>
      </c>
      <c r="J119" s="7">
        <v>5.7619999999999996</v>
      </c>
      <c r="K119" s="36">
        <v>5.8410000000000002</v>
      </c>
      <c r="L119" s="36">
        <v>5.9130000000000003</v>
      </c>
      <c r="M119" s="7">
        <v>5.9790000000000001</v>
      </c>
      <c r="N119" s="7">
        <v>6.0389999999999997</v>
      </c>
      <c r="O119" s="7">
        <v>6.0940000000000003</v>
      </c>
      <c r="P119" s="36">
        <v>6.1459999999999999</v>
      </c>
      <c r="Q119" s="36">
        <v>6.2389999999999999</v>
      </c>
      <c r="R119" s="36">
        <v>6.3209999999999997</v>
      </c>
      <c r="S119" s="7">
        <v>6.4619999999999997</v>
      </c>
      <c r="T119" s="36">
        <v>6.58</v>
      </c>
      <c r="U119" s="7">
        <v>6.681</v>
      </c>
      <c r="V119" s="7">
        <v>6.7690000000000001</v>
      </c>
      <c r="W119" s="215">
        <v>6.8460000000000001</v>
      </c>
    </row>
    <row r="120" spans="1:23" x14ac:dyDescent="0.25">
      <c r="A120">
        <v>120</v>
      </c>
      <c r="B120" s="214">
        <v>4.0449999999999999</v>
      </c>
      <c r="C120" s="7">
        <v>4.5229999999999997</v>
      </c>
      <c r="D120" s="7">
        <v>4.8090000000000002</v>
      </c>
      <c r="E120" s="7">
        <v>5.0129999999999999</v>
      </c>
      <c r="F120" s="7">
        <v>5.1719999999999997</v>
      </c>
      <c r="G120" s="7">
        <v>5.3010000000000002</v>
      </c>
      <c r="H120" s="36">
        <v>5.41</v>
      </c>
      <c r="I120" s="7">
        <v>5.5039999999999996</v>
      </c>
      <c r="J120" s="7">
        <v>5.5860000000000003</v>
      </c>
      <c r="K120" s="36">
        <v>5.66</v>
      </c>
      <c r="L120" s="36">
        <v>5.726</v>
      </c>
      <c r="M120" s="7">
        <v>5.7859999999999996</v>
      </c>
      <c r="N120" s="7">
        <v>5.8419999999999996</v>
      </c>
      <c r="O120" s="7">
        <v>5.8929999999999998</v>
      </c>
      <c r="P120" s="36">
        <v>5.94</v>
      </c>
      <c r="Q120" s="36">
        <v>6.0250000000000004</v>
      </c>
      <c r="R120" s="36">
        <v>6.101</v>
      </c>
      <c r="S120" s="36">
        <v>6.23</v>
      </c>
      <c r="T120" s="7">
        <v>6.3369999999999997</v>
      </c>
      <c r="U120" s="7">
        <v>6.4279999999999999</v>
      </c>
      <c r="V120" s="7">
        <v>6.508</v>
      </c>
      <c r="W120" s="286">
        <v>6.58</v>
      </c>
    </row>
    <row r="121" spans="1:23" x14ac:dyDescent="0.25">
      <c r="A121" s="12" t="s">
        <v>169</v>
      </c>
      <c r="B121" s="287">
        <v>3.97</v>
      </c>
      <c r="C121" s="354">
        <v>4.4240000000000004</v>
      </c>
      <c r="D121" s="354">
        <v>4.694</v>
      </c>
      <c r="E121" s="354">
        <v>4.8860000000000001</v>
      </c>
      <c r="F121" s="354">
        <v>5.0330000000000004</v>
      </c>
      <c r="G121" s="354">
        <v>5.1539999999999999</v>
      </c>
      <c r="H121" s="354">
        <v>5.2549999999999999</v>
      </c>
      <c r="I121" s="354">
        <v>5.3410000000000002</v>
      </c>
      <c r="J121" s="354">
        <v>5.4180000000000001</v>
      </c>
      <c r="K121" s="354">
        <v>5.4850000000000003</v>
      </c>
      <c r="L121" s="354">
        <v>5.5460000000000003</v>
      </c>
      <c r="M121" s="354">
        <v>5.6020000000000003</v>
      </c>
      <c r="N121" s="354">
        <v>5.6520000000000001</v>
      </c>
      <c r="O121" s="354">
        <v>5.6989999999999998</v>
      </c>
      <c r="P121" s="483">
        <v>5.742</v>
      </c>
      <c r="Q121" s="483">
        <v>5.82</v>
      </c>
      <c r="R121" s="483">
        <v>5.8890000000000002</v>
      </c>
      <c r="S121" s="354">
        <v>6.0060000000000002</v>
      </c>
      <c r="T121" s="354">
        <v>6.1029999999999998</v>
      </c>
      <c r="U121" s="354">
        <v>6.1859999999999999</v>
      </c>
      <c r="V121" s="354">
        <v>6.258</v>
      </c>
      <c r="W121" s="120">
        <v>6.3220000000000001</v>
      </c>
    </row>
    <row r="122" spans="1:23" x14ac:dyDescent="0.25">
      <c r="A122" s="12"/>
    </row>
    <row r="123" spans="1:23" x14ac:dyDescent="0.25">
      <c r="A123" t="s">
        <v>18</v>
      </c>
      <c r="B123">
        <v>1E-3</v>
      </c>
    </row>
    <row r="124" spans="1:23" x14ac:dyDescent="0.25">
      <c r="B124" t="s">
        <v>65</v>
      </c>
    </row>
    <row r="125" spans="1:23" x14ac:dyDescent="0.25">
      <c r="A125" s="12" t="s">
        <v>41</v>
      </c>
      <c r="B125">
        <v>2</v>
      </c>
      <c r="C125">
        <f>B125+1</f>
        <v>3</v>
      </c>
      <c r="D125">
        <f t="shared" ref="D125:L125" si="4">C125+1</f>
        <v>4</v>
      </c>
      <c r="E125">
        <f t="shared" si="4"/>
        <v>5</v>
      </c>
      <c r="F125">
        <f t="shared" si="4"/>
        <v>6</v>
      </c>
      <c r="G125">
        <f t="shared" si="4"/>
        <v>7</v>
      </c>
      <c r="H125">
        <f t="shared" si="4"/>
        <v>8</v>
      </c>
      <c r="I125">
        <f t="shared" si="4"/>
        <v>9</v>
      </c>
      <c r="J125">
        <f t="shared" si="4"/>
        <v>10</v>
      </c>
      <c r="K125">
        <f t="shared" si="4"/>
        <v>11</v>
      </c>
      <c r="L125">
        <f t="shared" si="4"/>
        <v>12</v>
      </c>
      <c r="M125">
        <v>13</v>
      </c>
      <c r="N125">
        <f>M125+1</f>
        <v>14</v>
      </c>
      <c r="O125">
        <f>N125+1</f>
        <v>15</v>
      </c>
      <c r="P125">
        <f>O125+1</f>
        <v>16</v>
      </c>
      <c r="Q125">
        <f>P125+2</f>
        <v>18</v>
      </c>
      <c r="R125">
        <f>Q125+2</f>
        <v>20</v>
      </c>
      <c r="S125">
        <f>R125+4</f>
        <v>24</v>
      </c>
      <c r="T125">
        <f>S125+4</f>
        <v>28</v>
      </c>
      <c r="U125">
        <f>T125+4</f>
        <v>32</v>
      </c>
      <c r="V125">
        <f>U125+4</f>
        <v>36</v>
      </c>
      <c r="W125">
        <f>V125+4</f>
        <v>40</v>
      </c>
    </row>
    <row r="126" spans="1:23" x14ac:dyDescent="0.25">
      <c r="A126">
        <v>1</v>
      </c>
      <c r="B126" s="3">
        <v>900.3</v>
      </c>
      <c r="C126" s="387">
        <v>1351</v>
      </c>
      <c r="D126" s="387">
        <v>1643</v>
      </c>
      <c r="E126" s="387">
        <v>1856</v>
      </c>
      <c r="F126" s="387">
        <v>2022</v>
      </c>
      <c r="G126" s="387">
        <v>2158</v>
      </c>
      <c r="H126" s="387">
        <v>2272</v>
      </c>
      <c r="I126" s="387">
        <v>2370</v>
      </c>
      <c r="J126" s="387">
        <v>2455</v>
      </c>
      <c r="K126" s="387">
        <v>2532</v>
      </c>
      <c r="L126" s="387">
        <v>2600</v>
      </c>
      <c r="M126" s="387">
        <v>2662</v>
      </c>
      <c r="N126" s="387">
        <v>2718</v>
      </c>
      <c r="O126" s="387">
        <v>2770</v>
      </c>
      <c r="P126" s="387">
        <v>2818</v>
      </c>
      <c r="Q126" s="387">
        <v>2904</v>
      </c>
      <c r="R126" s="387">
        <v>2980</v>
      </c>
      <c r="S126" s="387">
        <v>3108</v>
      </c>
      <c r="T126" s="387">
        <v>3213</v>
      </c>
      <c r="U126" s="387">
        <v>3303</v>
      </c>
      <c r="V126" s="387">
        <v>3380</v>
      </c>
      <c r="W126" s="5">
        <v>3448</v>
      </c>
    </row>
    <row r="127" spans="1:23" x14ac:dyDescent="0.25">
      <c r="A127">
        <v>2</v>
      </c>
      <c r="B127" s="214">
        <v>44.69</v>
      </c>
      <c r="C127" s="7">
        <v>60.42</v>
      </c>
      <c r="D127" s="7">
        <v>70.77</v>
      </c>
      <c r="E127" s="7">
        <v>78.430000000000007</v>
      </c>
      <c r="F127" s="7">
        <v>84.49</v>
      </c>
      <c r="G127" s="7">
        <v>89.46</v>
      </c>
      <c r="H127" s="7">
        <v>93.67</v>
      </c>
      <c r="I127" s="34">
        <v>97.3</v>
      </c>
      <c r="J127" s="7">
        <v>100.5</v>
      </c>
      <c r="K127" s="7">
        <v>103.3</v>
      </c>
      <c r="L127" s="7">
        <v>105.9</v>
      </c>
      <c r="M127" s="7">
        <v>108.2</v>
      </c>
      <c r="N127" s="7">
        <v>110.4</v>
      </c>
      <c r="O127" s="7">
        <v>112.3</v>
      </c>
      <c r="P127" s="7">
        <v>114.2</v>
      </c>
      <c r="Q127" s="7">
        <v>117.4</v>
      </c>
      <c r="R127" s="7">
        <v>120.3</v>
      </c>
      <c r="S127" s="7">
        <v>125.2</v>
      </c>
      <c r="T127" s="7">
        <v>129.30000000000001</v>
      </c>
      <c r="U127" s="7">
        <v>132.69999999999999</v>
      </c>
      <c r="V127" s="7">
        <v>135.69999999999999</v>
      </c>
      <c r="W127" s="215">
        <v>138.30000000000001</v>
      </c>
    </row>
    <row r="128" spans="1:23" x14ac:dyDescent="0.25">
      <c r="A128">
        <v>3</v>
      </c>
      <c r="B128" s="214">
        <v>18.28</v>
      </c>
      <c r="C128" s="7">
        <v>23.32</v>
      </c>
      <c r="D128" s="7">
        <v>26.65</v>
      </c>
      <c r="E128" s="7">
        <v>29.13</v>
      </c>
      <c r="F128" s="7">
        <v>31.11</v>
      </c>
      <c r="G128" s="7">
        <v>32.74</v>
      </c>
      <c r="H128" s="7">
        <v>34.119999999999997</v>
      </c>
      <c r="I128" s="7">
        <v>35.33</v>
      </c>
      <c r="J128" s="7">
        <v>36.39</v>
      </c>
      <c r="K128" s="7">
        <v>37.340000000000003</v>
      </c>
      <c r="L128" s="34">
        <v>38.200000000000003</v>
      </c>
      <c r="M128" s="7">
        <v>38.979999999999997</v>
      </c>
      <c r="N128" s="7">
        <v>39.69</v>
      </c>
      <c r="O128" s="7">
        <v>40.35</v>
      </c>
      <c r="P128" s="7">
        <v>40.97</v>
      </c>
      <c r="Q128" s="7">
        <v>42.07</v>
      </c>
      <c r="R128" s="7">
        <v>43.05</v>
      </c>
      <c r="S128" s="7">
        <v>44.7</v>
      </c>
      <c r="T128" s="7">
        <v>46.07</v>
      </c>
      <c r="U128" s="7">
        <v>47.24</v>
      </c>
      <c r="V128" s="7">
        <v>48.26</v>
      </c>
      <c r="W128" s="215">
        <v>49.16</v>
      </c>
    </row>
    <row r="129" spans="1:23" x14ac:dyDescent="0.25">
      <c r="A129">
        <v>4</v>
      </c>
      <c r="B129" s="251">
        <v>12.18</v>
      </c>
      <c r="C129" s="34">
        <v>14.99</v>
      </c>
      <c r="D129" s="34">
        <v>16.84</v>
      </c>
      <c r="E129" s="34">
        <v>18.23</v>
      </c>
      <c r="F129" s="34">
        <v>19.34</v>
      </c>
      <c r="G129" s="34">
        <v>20.260000000000002</v>
      </c>
      <c r="H129" s="34">
        <v>21.04</v>
      </c>
      <c r="I129" s="34">
        <v>21.73</v>
      </c>
      <c r="J129" s="34">
        <v>22.33</v>
      </c>
      <c r="K129" s="34">
        <v>22.87</v>
      </c>
      <c r="L129" s="34">
        <v>23.36</v>
      </c>
      <c r="M129" s="34">
        <v>23.81</v>
      </c>
      <c r="N129" s="34">
        <v>24.21</v>
      </c>
      <c r="O129" s="34">
        <v>24.59</v>
      </c>
      <c r="P129" s="34">
        <v>24.94</v>
      </c>
      <c r="Q129" s="34">
        <v>25.58</v>
      </c>
      <c r="R129" s="34">
        <v>26.14</v>
      </c>
      <c r="S129" s="34">
        <v>27.1</v>
      </c>
      <c r="T129" s="34">
        <v>27.89</v>
      </c>
      <c r="U129" s="34">
        <v>28.57</v>
      </c>
      <c r="V129" s="34">
        <v>29.16</v>
      </c>
      <c r="W129" s="252">
        <v>29.68</v>
      </c>
    </row>
    <row r="130" spans="1:23" x14ac:dyDescent="0.25">
      <c r="A130">
        <v>5</v>
      </c>
      <c r="B130" s="285">
        <v>9.7140000000000004</v>
      </c>
      <c r="C130" s="34">
        <v>11.67</v>
      </c>
      <c r="D130" s="34">
        <v>12.96</v>
      </c>
      <c r="E130" s="34">
        <v>13.93</v>
      </c>
      <c r="F130" s="34">
        <v>14.71</v>
      </c>
      <c r="G130" s="34">
        <v>15.35</v>
      </c>
      <c r="H130" s="34">
        <v>15.9</v>
      </c>
      <c r="I130" s="34">
        <v>16.38</v>
      </c>
      <c r="J130" s="34">
        <v>16.809999999999999</v>
      </c>
      <c r="K130" s="34">
        <v>17.18</v>
      </c>
      <c r="L130" s="34">
        <v>17.53</v>
      </c>
      <c r="M130" s="34">
        <v>17.850000000000001</v>
      </c>
      <c r="N130" s="34">
        <v>18.13</v>
      </c>
      <c r="O130" s="34">
        <v>18.41</v>
      </c>
      <c r="P130" s="34">
        <v>18.66</v>
      </c>
      <c r="Q130" s="34">
        <v>19.100000000000001</v>
      </c>
      <c r="R130" s="34">
        <v>19.510000000000002</v>
      </c>
      <c r="S130" s="34">
        <v>20.190000000000001</v>
      </c>
      <c r="T130" s="34">
        <v>20.75</v>
      </c>
      <c r="U130" s="34">
        <v>21.24</v>
      </c>
      <c r="V130" s="34">
        <v>21.66</v>
      </c>
      <c r="W130" s="252">
        <v>22.03</v>
      </c>
    </row>
    <row r="131" spans="1:23" x14ac:dyDescent="0.25">
      <c r="A131">
        <v>6</v>
      </c>
      <c r="B131" s="285">
        <v>8.4269999999999996</v>
      </c>
      <c r="C131" s="34">
        <v>9.9600000000000009</v>
      </c>
      <c r="D131" s="34">
        <v>10.97</v>
      </c>
      <c r="E131" s="34">
        <v>11.72</v>
      </c>
      <c r="F131" s="34">
        <v>12.32</v>
      </c>
      <c r="G131" s="34">
        <v>12.83</v>
      </c>
      <c r="H131" s="34">
        <v>13.26</v>
      </c>
      <c r="I131" s="34">
        <v>13.63</v>
      </c>
      <c r="J131" s="34">
        <v>13.97</v>
      </c>
      <c r="K131" s="34">
        <v>14.27</v>
      </c>
      <c r="L131" s="34">
        <v>14.54</v>
      </c>
      <c r="M131" s="34">
        <v>14.79</v>
      </c>
      <c r="N131" s="34">
        <v>15.01</v>
      </c>
      <c r="O131" s="34">
        <v>15.22</v>
      </c>
      <c r="P131" s="34">
        <v>15.42</v>
      </c>
      <c r="Q131" s="34">
        <v>15.78</v>
      </c>
      <c r="R131" s="34">
        <v>16.09</v>
      </c>
      <c r="S131" s="34">
        <v>16.64</v>
      </c>
      <c r="T131" s="34">
        <v>17.079999999999998</v>
      </c>
      <c r="U131" s="34">
        <v>17.47</v>
      </c>
      <c r="V131" s="34">
        <v>17.809999999999999</v>
      </c>
      <c r="W131" s="252">
        <v>18.100000000000001</v>
      </c>
    </row>
    <row r="132" spans="1:23" x14ac:dyDescent="0.25">
      <c r="A132">
        <v>7</v>
      </c>
      <c r="B132" s="285">
        <v>7.6479999999999997</v>
      </c>
      <c r="C132" s="36">
        <v>8.93</v>
      </c>
      <c r="D132" s="36">
        <v>9.7680000000000007</v>
      </c>
      <c r="E132" s="34">
        <v>10.4</v>
      </c>
      <c r="F132" s="34">
        <v>10.9</v>
      </c>
      <c r="G132" s="7">
        <v>11.32</v>
      </c>
      <c r="H132" s="7">
        <v>11.68</v>
      </c>
      <c r="I132" s="7">
        <v>11.99</v>
      </c>
      <c r="J132" s="7">
        <v>12.27</v>
      </c>
      <c r="K132" s="7">
        <v>12.52</v>
      </c>
      <c r="L132" s="7">
        <v>12.74</v>
      </c>
      <c r="M132" s="7">
        <v>12.95</v>
      </c>
      <c r="N132" s="7">
        <v>13.14</v>
      </c>
      <c r="O132" s="7">
        <v>13.32</v>
      </c>
      <c r="P132" s="7">
        <v>13.48</v>
      </c>
      <c r="Q132" s="7">
        <v>13.78</v>
      </c>
      <c r="R132" s="7">
        <v>14.04</v>
      </c>
      <c r="S132" s="34">
        <v>14.5</v>
      </c>
      <c r="T132" s="7">
        <v>14.88</v>
      </c>
      <c r="U132" s="34">
        <v>15.2</v>
      </c>
      <c r="V132" s="7">
        <v>15.49</v>
      </c>
      <c r="W132" s="215">
        <v>15.74</v>
      </c>
    </row>
    <row r="133" spans="1:23" x14ac:dyDescent="0.25">
      <c r="A133">
        <v>8</v>
      </c>
      <c r="B133" s="285">
        <v>7.13</v>
      </c>
      <c r="C133" s="36">
        <v>8.25</v>
      </c>
      <c r="D133" s="36">
        <v>8.9779999999999998</v>
      </c>
      <c r="E133" s="7">
        <v>9.5220000000000002</v>
      </c>
      <c r="F133" s="7">
        <v>9.9580000000000002</v>
      </c>
      <c r="G133" s="7">
        <v>10.32</v>
      </c>
      <c r="H133" s="7">
        <v>10.64</v>
      </c>
      <c r="I133" s="7">
        <v>10.91</v>
      </c>
      <c r="J133" s="7">
        <v>11.15</v>
      </c>
      <c r="K133" s="7">
        <v>11.36</v>
      </c>
      <c r="L133" s="7">
        <v>11.56</v>
      </c>
      <c r="M133" s="7">
        <v>11.74</v>
      </c>
      <c r="N133" s="7">
        <v>11.91</v>
      </c>
      <c r="O133" s="7">
        <v>12.06</v>
      </c>
      <c r="P133" s="7">
        <v>12.21</v>
      </c>
      <c r="Q133" s="7">
        <v>12.47</v>
      </c>
      <c r="R133" s="34">
        <v>12.7</v>
      </c>
      <c r="S133" s="7">
        <v>13.09</v>
      </c>
      <c r="T133" s="7">
        <v>13.42</v>
      </c>
      <c r="U133" s="7">
        <v>13.71</v>
      </c>
      <c r="V133" s="7">
        <v>13.96</v>
      </c>
      <c r="W133" s="215">
        <v>14.18</v>
      </c>
    </row>
    <row r="134" spans="1:23" x14ac:dyDescent="0.25">
      <c r="A134">
        <v>9</v>
      </c>
      <c r="B134" s="285">
        <v>6.7619999999999996</v>
      </c>
      <c r="C134" s="7">
        <v>7.7679999999999998</v>
      </c>
      <c r="D134" s="7">
        <v>8.4190000000000005</v>
      </c>
      <c r="E134" s="7">
        <v>8.9060000000000006</v>
      </c>
      <c r="F134" s="7">
        <v>9.2949999999999999</v>
      </c>
      <c r="G134" s="7">
        <v>9.6189999999999998</v>
      </c>
      <c r="H134" s="7">
        <v>9.8970000000000002</v>
      </c>
      <c r="I134" s="7">
        <v>10.14</v>
      </c>
      <c r="J134" s="7">
        <v>10.36</v>
      </c>
      <c r="K134" s="7">
        <v>10.55</v>
      </c>
      <c r="L134" s="7">
        <v>10.73</v>
      </c>
      <c r="M134" s="7">
        <v>10.89</v>
      </c>
      <c r="N134" s="7">
        <v>11.03</v>
      </c>
      <c r="O134" s="7">
        <v>11.18</v>
      </c>
      <c r="P134" s="34">
        <v>11.3</v>
      </c>
      <c r="Q134" s="7">
        <v>11.54</v>
      </c>
      <c r="R134" s="7">
        <v>11.75</v>
      </c>
      <c r="S134" s="34">
        <v>12.1</v>
      </c>
      <c r="T134" s="7">
        <v>12.39</v>
      </c>
      <c r="U134" s="7">
        <v>12.65</v>
      </c>
      <c r="V134" s="7">
        <v>12.87</v>
      </c>
      <c r="W134" s="215">
        <v>13.07</v>
      </c>
    </row>
    <row r="135" spans="1:23" x14ac:dyDescent="0.25">
      <c r="A135">
        <v>10</v>
      </c>
      <c r="B135" s="285">
        <v>6.4870000000000001</v>
      </c>
      <c r="C135" s="7">
        <v>7.4109999999999996</v>
      </c>
      <c r="D135" s="7">
        <v>8.0060000000000002</v>
      </c>
      <c r="E135" s="36">
        <v>8.4499999999999993</v>
      </c>
      <c r="F135" s="7">
        <v>8.8040000000000003</v>
      </c>
      <c r="G135" s="7">
        <v>9.0990000000000002</v>
      </c>
      <c r="H135" s="7">
        <v>9.3520000000000003</v>
      </c>
      <c r="I135" s="7">
        <v>9.5730000000000004</v>
      </c>
      <c r="J135" s="7">
        <v>9.7690000000000001</v>
      </c>
      <c r="K135" s="7">
        <v>9.9459999999999997</v>
      </c>
      <c r="L135" s="7">
        <v>10.11</v>
      </c>
      <c r="M135" s="7">
        <v>10.25</v>
      </c>
      <c r="N135" s="7">
        <v>10.39</v>
      </c>
      <c r="O135" s="7">
        <v>10.52</v>
      </c>
      <c r="P135" s="7">
        <v>10.64</v>
      </c>
      <c r="Q135" s="7">
        <v>10.85</v>
      </c>
      <c r="R135" s="7">
        <v>11.03</v>
      </c>
      <c r="S135" s="7">
        <v>11.36</v>
      </c>
      <c r="T135" s="7">
        <v>11.63</v>
      </c>
      <c r="U135" s="7">
        <v>11.87</v>
      </c>
      <c r="V135" s="7">
        <v>12.07</v>
      </c>
      <c r="W135" s="215">
        <v>12.25</v>
      </c>
    </row>
    <row r="136" spans="1:23" x14ac:dyDescent="0.25">
      <c r="A136">
        <v>11</v>
      </c>
      <c r="B136" s="285">
        <v>6.2750000000000004</v>
      </c>
      <c r="C136" s="7">
        <v>7.1360000000000001</v>
      </c>
      <c r="D136" s="7">
        <v>7.6870000000000003</v>
      </c>
      <c r="E136" s="7">
        <v>8.0980000000000008</v>
      </c>
      <c r="F136" s="7">
        <v>8.4260000000000002</v>
      </c>
      <c r="G136" s="7">
        <v>8.6989999999999998</v>
      </c>
      <c r="H136" s="7">
        <v>8.9329999999999998</v>
      </c>
      <c r="I136" s="7">
        <v>9.1379999999999999</v>
      </c>
      <c r="J136" s="7">
        <v>9.3190000000000008</v>
      </c>
      <c r="K136" s="7">
        <v>9.4819999999999993</v>
      </c>
      <c r="L136" s="7">
        <v>9.6300000000000008</v>
      </c>
      <c r="M136" s="7">
        <v>9.766</v>
      </c>
      <c r="N136" s="7">
        <v>9.8919999999999995</v>
      </c>
      <c r="O136" s="7">
        <v>10.01</v>
      </c>
      <c r="P136" s="7">
        <v>10.119999999999999</v>
      </c>
      <c r="Q136" s="7">
        <v>10.31</v>
      </c>
      <c r="R136" s="7">
        <v>10.49</v>
      </c>
      <c r="S136" s="7">
        <v>10.79</v>
      </c>
      <c r="T136" s="7">
        <v>11.04</v>
      </c>
      <c r="U136" s="7">
        <v>11.26</v>
      </c>
      <c r="V136" s="7">
        <v>11.45</v>
      </c>
      <c r="W136" s="215">
        <v>11.62</v>
      </c>
    </row>
    <row r="137" spans="1:23" x14ac:dyDescent="0.25">
      <c r="A137">
        <v>12</v>
      </c>
      <c r="B137" s="285">
        <v>6.1059999999999999</v>
      </c>
      <c r="C137" s="7">
        <v>6.9169999999999998</v>
      </c>
      <c r="D137" s="7">
        <v>7.4359999999999999</v>
      </c>
      <c r="E137" s="7">
        <v>7.8209999999999997</v>
      </c>
      <c r="F137" s="7">
        <v>8.1270000000000007</v>
      </c>
      <c r="G137" s="7">
        <v>8.3829999999999991</v>
      </c>
      <c r="H137" s="7">
        <v>8.6010000000000009</v>
      </c>
      <c r="I137" s="7">
        <v>8.7929999999999993</v>
      </c>
      <c r="J137" s="7">
        <v>8.9619999999999997</v>
      </c>
      <c r="K137" s="7">
        <v>9.1150000000000002</v>
      </c>
      <c r="L137" s="7">
        <v>9.2539999999999996</v>
      </c>
      <c r="M137" s="7">
        <v>9.3810000000000002</v>
      </c>
      <c r="N137" s="7">
        <v>9.4979999999999993</v>
      </c>
      <c r="O137" s="7">
        <v>9.6059999999999999</v>
      </c>
      <c r="P137" s="7">
        <v>9.7070000000000007</v>
      </c>
      <c r="Q137" s="7">
        <v>9.891</v>
      </c>
      <c r="R137" s="7">
        <v>10.06</v>
      </c>
      <c r="S137" s="7">
        <v>10.34</v>
      </c>
      <c r="T137" s="7">
        <v>10.57</v>
      </c>
      <c r="U137" s="7">
        <v>10.78</v>
      </c>
      <c r="V137" s="7">
        <v>10.96</v>
      </c>
      <c r="W137" s="215">
        <v>11.11</v>
      </c>
    </row>
    <row r="138" spans="1:23" x14ac:dyDescent="0.25">
      <c r="A138">
        <v>13</v>
      </c>
      <c r="B138" s="285">
        <v>5.97</v>
      </c>
      <c r="C138" s="36">
        <v>6.74</v>
      </c>
      <c r="D138" s="36">
        <v>7.2309999999999999</v>
      </c>
      <c r="E138" s="36">
        <v>7.5949999999999998</v>
      </c>
      <c r="F138" s="36">
        <v>7.8849999999999998</v>
      </c>
      <c r="G138" s="36">
        <v>8.1259999999999994</v>
      </c>
      <c r="H138" s="36">
        <v>8.3330000000000002</v>
      </c>
      <c r="I138" s="36">
        <v>8.5129999999999999</v>
      </c>
      <c r="J138" s="36">
        <v>8.673</v>
      </c>
      <c r="K138" s="36">
        <v>8.8170000000000002</v>
      </c>
      <c r="L138" s="36">
        <v>8.9480000000000004</v>
      </c>
      <c r="M138" s="36">
        <v>9.0679999999999996</v>
      </c>
      <c r="N138" s="36">
        <v>9.1780000000000008</v>
      </c>
      <c r="O138" s="36">
        <v>9.2810000000000006</v>
      </c>
      <c r="P138" s="36">
        <v>9.3759999999999994</v>
      </c>
      <c r="Q138" s="36">
        <v>9.5500000000000007</v>
      </c>
      <c r="R138" s="36">
        <v>9.7040000000000006</v>
      </c>
      <c r="S138" s="36">
        <v>9.9689999999999994</v>
      </c>
      <c r="T138" s="34">
        <v>10.19</v>
      </c>
      <c r="U138" s="34">
        <v>10.39</v>
      </c>
      <c r="V138" s="34">
        <v>10.55</v>
      </c>
      <c r="W138" s="252">
        <v>10.7</v>
      </c>
    </row>
    <row r="139" spans="1:23" x14ac:dyDescent="0.25">
      <c r="A139">
        <v>14</v>
      </c>
      <c r="B139" s="285">
        <v>5.8559999999999999</v>
      </c>
      <c r="C139" s="36">
        <v>6.5940000000000003</v>
      </c>
      <c r="D139" s="36">
        <v>7.0620000000000003</v>
      </c>
      <c r="E139" s="36">
        <v>7.4089999999999998</v>
      </c>
      <c r="F139" s="36">
        <v>7.6849999999999996</v>
      </c>
      <c r="G139" s="36">
        <v>7.915</v>
      </c>
      <c r="H139" s="36">
        <v>8.11</v>
      </c>
      <c r="I139" s="36">
        <v>8.282</v>
      </c>
      <c r="J139" s="36">
        <v>8.4339999999999993</v>
      </c>
      <c r="K139" s="36">
        <v>8.5709999999999997</v>
      </c>
      <c r="L139" s="36">
        <v>8.6959999999999997</v>
      </c>
      <c r="M139" s="36">
        <v>8.8089999999999993</v>
      </c>
      <c r="N139" s="36">
        <v>8.9139999999999997</v>
      </c>
      <c r="O139" s="36">
        <v>9.0120000000000005</v>
      </c>
      <c r="P139" s="36">
        <v>9.1029999999999998</v>
      </c>
      <c r="Q139" s="36">
        <v>9.2669999999999995</v>
      </c>
      <c r="R139" s="36">
        <v>9.4139999999999997</v>
      </c>
      <c r="S139" s="36">
        <v>9.6660000000000004</v>
      </c>
      <c r="T139" s="36">
        <v>9.8780000000000001</v>
      </c>
      <c r="U139" s="34">
        <v>10.06</v>
      </c>
      <c r="V139" s="34">
        <v>10.220000000000001</v>
      </c>
      <c r="W139" s="252">
        <v>10.37</v>
      </c>
    </row>
    <row r="140" spans="1:23" x14ac:dyDescent="0.25">
      <c r="A140">
        <v>15</v>
      </c>
      <c r="B140" s="285">
        <v>5.76</v>
      </c>
      <c r="C140" s="36">
        <v>6.47</v>
      </c>
      <c r="D140" s="36">
        <v>6.92</v>
      </c>
      <c r="E140" s="36">
        <v>7.2519999999999998</v>
      </c>
      <c r="F140" s="36">
        <v>7.5170000000000003</v>
      </c>
      <c r="G140" s="36">
        <v>7.7359999999999998</v>
      </c>
      <c r="H140" s="36">
        <v>7.9249999999999998</v>
      </c>
      <c r="I140" s="36">
        <v>8.0879999999999992</v>
      </c>
      <c r="J140" s="36">
        <v>8.234</v>
      </c>
      <c r="K140" s="36">
        <v>8.3650000000000002</v>
      </c>
      <c r="L140" s="36">
        <v>8.4830000000000005</v>
      </c>
      <c r="M140" s="36">
        <v>8.5920000000000005</v>
      </c>
      <c r="N140" s="36">
        <v>8.6929999999999996</v>
      </c>
      <c r="O140" s="36">
        <v>8.7859999999999996</v>
      </c>
      <c r="P140" s="36">
        <v>8.8719999999999999</v>
      </c>
      <c r="Q140" s="36">
        <v>9.0299999999999994</v>
      </c>
      <c r="R140" s="36">
        <v>9.17</v>
      </c>
      <c r="S140" s="36">
        <v>9.4109999999999996</v>
      </c>
      <c r="T140" s="36">
        <v>9.6129999999999995</v>
      </c>
      <c r="U140" s="36">
        <v>9.7880000000000003</v>
      </c>
      <c r="V140" s="34">
        <v>9.94</v>
      </c>
      <c r="W140" s="252">
        <v>10.08</v>
      </c>
    </row>
    <row r="141" spans="1:23" x14ac:dyDescent="0.25">
      <c r="A141">
        <v>16</v>
      </c>
      <c r="B141" s="285">
        <v>5.6779999999999999</v>
      </c>
      <c r="C141" s="36">
        <v>6.3650000000000002</v>
      </c>
      <c r="D141" s="36">
        <v>6.7990000000000004</v>
      </c>
      <c r="E141" s="36">
        <v>7.1189999999999998</v>
      </c>
      <c r="F141" s="36">
        <v>7.3739999999999997</v>
      </c>
      <c r="G141" s="36">
        <v>7.585</v>
      </c>
      <c r="H141" s="36">
        <v>7.766</v>
      </c>
      <c r="I141" s="36">
        <v>7.923</v>
      </c>
      <c r="J141" s="36">
        <v>8.0630000000000006</v>
      </c>
      <c r="K141" s="36">
        <v>8.1890000000000001</v>
      </c>
      <c r="L141" s="36">
        <v>8.3030000000000008</v>
      </c>
      <c r="M141" s="36">
        <v>8.407</v>
      </c>
      <c r="N141" s="36">
        <v>8.5039999999999996</v>
      </c>
      <c r="O141" s="36">
        <v>8.593</v>
      </c>
      <c r="P141" s="36">
        <v>8.6760000000000002</v>
      </c>
      <c r="Q141" s="36">
        <v>8.8279999999999994</v>
      </c>
      <c r="R141" s="36">
        <v>8.9629999999999992</v>
      </c>
      <c r="S141" s="36">
        <v>9.1940000000000008</v>
      </c>
      <c r="T141" s="36">
        <v>9.3879999999999999</v>
      </c>
      <c r="U141" s="36">
        <v>9.5559999999999992</v>
      </c>
      <c r="V141" s="36">
        <v>9.702</v>
      </c>
      <c r="W141" s="286">
        <v>9.8330000000000002</v>
      </c>
    </row>
    <row r="142" spans="1:23" x14ac:dyDescent="0.25">
      <c r="A142">
        <v>17</v>
      </c>
      <c r="B142" s="285">
        <v>5.6079999999999997</v>
      </c>
      <c r="C142" s="36">
        <v>6.2750000000000004</v>
      </c>
      <c r="D142" s="36">
        <v>6.6950000000000003</v>
      </c>
      <c r="E142" s="36">
        <v>7.0049999999999999</v>
      </c>
      <c r="F142" s="36">
        <v>7.25</v>
      </c>
      <c r="G142" s="36">
        <v>7.4539999999999997</v>
      </c>
      <c r="H142" s="36">
        <v>7.6289999999999996</v>
      </c>
      <c r="I142" s="36">
        <v>7.7809999999999997</v>
      </c>
      <c r="J142" s="36">
        <v>7.9160000000000004</v>
      </c>
      <c r="K142" s="36">
        <v>8.0370000000000008</v>
      </c>
      <c r="L142" s="36">
        <v>8.1479999999999997</v>
      </c>
      <c r="M142" s="36">
        <v>8.2479999999999993</v>
      </c>
      <c r="N142" s="36">
        <v>8.3420000000000005</v>
      </c>
      <c r="O142" s="36">
        <v>8.4269999999999996</v>
      </c>
      <c r="P142" s="36">
        <v>8.5079999999999991</v>
      </c>
      <c r="Q142" s="36">
        <v>8.6539999999999999</v>
      </c>
      <c r="R142" s="36">
        <v>8.7840000000000007</v>
      </c>
      <c r="S142" s="36">
        <v>9.0069999999999997</v>
      </c>
      <c r="T142" s="36">
        <v>9.1940000000000008</v>
      </c>
      <c r="U142" s="36">
        <v>9.3550000000000004</v>
      </c>
      <c r="V142" s="36">
        <v>9.4969999999999999</v>
      </c>
      <c r="W142" s="286">
        <v>9.6229999999999993</v>
      </c>
    </row>
    <row r="143" spans="1:23" x14ac:dyDescent="0.25">
      <c r="A143">
        <v>18</v>
      </c>
      <c r="B143" s="285">
        <v>5.5460000000000003</v>
      </c>
      <c r="C143" s="36">
        <v>6.1959999999999997</v>
      </c>
      <c r="D143" s="36">
        <v>6.6040000000000001</v>
      </c>
      <c r="E143" s="36">
        <v>6.9050000000000002</v>
      </c>
      <c r="F143" s="36">
        <v>7.1429999999999998</v>
      </c>
      <c r="G143" s="36">
        <v>7.3410000000000002</v>
      </c>
      <c r="H143" s="36">
        <v>7.51</v>
      </c>
      <c r="I143" s="36">
        <v>7.657</v>
      </c>
      <c r="J143" s="36">
        <v>7.7880000000000003</v>
      </c>
      <c r="K143" s="36">
        <v>7.9059999999999997</v>
      </c>
      <c r="L143" s="36">
        <v>8.0120000000000005</v>
      </c>
      <c r="M143" s="36">
        <v>8.11</v>
      </c>
      <c r="N143" s="36">
        <v>8.1989999999999998</v>
      </c>
      <c r="O143" s="36">
        <v>8.2829999999999995</v>
      </c>
      <c r="P143" s="36">
        <v>8.3610000000000007</v>
      </c>
      <c r="Q143" s="36">
        <v>8.5020000000000007</v>
      </c>
      <c r="R143" s="36">
        <v>8.6280000000000001</v>
      </c>
      <c r="S143" s="36">
        <v>8.8439999999999994</v>
      </c>
      <c r="T143" s="36">
        <v>9.0250000000000004</v>
      </c>
      <c r="U143" s="36">
        <v>9.1809999999999992</v>
      </c>
      <c r="V143" s="36">
        <v>9.3179999999999996</v>
      </c>
      <c r="W143" s="286">
        <v>9.44</v>
      </c>
    </row>
    <row r="144" spans="1:23" x14ac:dyDescent="0.25">
      <c r="A144">
        <v>19</v>
      </c>
      <c r="B144" s="285">
        <v>5.492</v>
      </c>
      <c r="C144" s="36">
        <v>6.1269999999999998</v>
      </c>
      <c r="D144" s="36">
        <v>6.5250000000000004</v>
      </c>
      <c r="E144" s="36">
        <v>6.8170000000000002</v>
      </c>
      <c r="F144" s="36">
        <v>7.0490000000000004</v>
      </c>
      <c r="G144" s="36">
        <v>7.242</v>
      </c>
      <c r="H144" s="36">
        <v>7.4050000000000002</v>
      </c>
      <c r="I144" s="36">
        <v>7.5490000000000004</v>
      </c>
      <c r="J144" s="36">
        <v>7.6760000000000002</v>
      </c>
      <c r="K144" s="36">
        <v>7.79</v>
      </c>
      <c r="L144" s="36">
        <v>7.8929999999999998</v>
      </c>
      <c r="M144" s="36">
        <v>7.9880000000000004</v>
      </c>
      <c r="N144" s="36">
        <v>8.0749999999999993</v>
      </c>
      <c r="O144" s="36">
        <v>8.1560000000000006</v>
      </c>
      <c r="P144" s="36">
        <v>8.2319999999999993</v>
      </c>
      <c r="Q144" s="36">
        <v>8.3689999999999998</v>
      </c>
      <c r="R144" s="36">
        <v>8.4909999999999997</v>
      </c>
      <c r="S144" s="36">
        <v>8.7010000000000005</v>
      </c>
      <c r="T144" s="36">
        <v>8.8759999999999994</v>
      </c>
      <c r="U144" s="36">
        <v>9.0280000000000005</v>
      </c>
      <c r="V144" s="36">
        <v>9.1609999999999996</v>
      </c>
      <c r="W144" s="286">
        <v>9.2789999999999999</v>
      </c>
    </row>
    <row r="145" spans="1:23" x14ac:dyDescent="0.25">
      <c r="A145">
        <v>20</v>
      </c>
      <c r="B145" s="285">
        <v>5.444</v>
      </c>
      <c r="C145" s="36">
        <v>6.0650000000000004</v>
      </c>
      <c r="D145" s="36">
        <v>6.4539999999999997</v>
      </c>
      <c r="E145" s="36">
        <v>6.74</v>
      </c>
      <c r="F145" s="36">
        <v>6.9660000000000002</v>
      </c>
      <c r="G145" s="36">
        <v>7.1539999999999999</v>
      </c>
      <c r="H145" s="36">
        <v>7.3129999999999997</v>
      </c>
      <c r="I145" s="36">
        <v>7.4530000000000003</v>
      </c>
      <c r="J145" s="36">
        <v>7.577</v>
      </c>
      <c r="K145" s="36">
        <v>7.6879999999999997</v>
      </c>
      <c r="L145" s="36">
        <v>7.7880000000000003</v>
      </c>
      <c r="M145" s="36">
        <v>7.88</v>
      </c>
      <c r="N145" s="36">
        <v>7.9660000000000002</v>
      </c>
      <c r="O145" s="36">
        <v>8.0440000000000005</v>
      </c>
      <c r="P145" s="36">
        <v>8.1180000000000003</v>
      </c>
      <c r="Q145" s="36">
        <v>8.2509999999999994</v>
      </c>
      <c r="R145" s="36">
        <v>8.3699999999999992</v>
      </c>
      <c r="S145" s="36">
        <v>8.5739999999999998</v>
      </c>
      <c r="T145" s="36">
        <v>8.7449999999999992</v>
      </c>
      <c r="U145" s="36">
        <v>8.8919999999999995</v>
      </c>
      <c r="V145" s="36">
        <v>9.0210000000000008</v>
      </c>
      <c r="W145" s="286">
        <v>9.1370000000000005</v>
      </c>
    </row>
    <row r="146" spans="1:23" x14ac:dyDescent="0.25">
      <c r="A146">
        <v>24</v>
      </c>
      <c r="B146" s="285">
        <v>5.2969999999999997</v>
      </c>
      <c r="C146" s="36">
        <v>5.8769999999999998</v>
      </c>
      <c r="D146" s="36">
        <v>6.2380000000000004</v>
      </c>
      <c r="E146" s="36">
        <v>6.5030000000000001</v>
      </c>
      <c r="F146" s="36">
        <v>6.7119999999999997</v>
      </c>
      <c r="G146" s="36">
        <v>6.8840000000000003</v>
      </c>
      <c r="H146" s="36">
        <v>7.0309999999999997</v>
      </c>
      <c r="I146" s="36">
        <v>7.1589999999999998</v>
      </c>
      <c r="J146" s="36">
        <v>7.2720000000000002</v>
      </c>
      <c r="K146" s="36">
        <v>7.3739999999999997</v>
      </c>
      <c r="L146" s="36">
        <v>7.4669999999999996</v>
      </c>
      <c r="M146" s="36">
        <v>7.5510000000000002</v>
      </c>
      <c r="N146" s="36">
        <v>7.6289999999999996</v>
      </c>
      <c r="O146" s="36">
        <v>7.7009999999999996</v>
      </c>
      <c r="P146" s="36">
        <v>7.7679999999999998</v>
      </c>
      <c r="Q146" s="36">
        <v>7.89</v>
      </c>
      <c r="R146" s="36">
        <v>7.9989999999999997</v>
      </c>
      <c r="S146" s="36">
        <v>8.1850000000000005</v>
      </c>
      <c r="T146" s="36">
        <v>8.3420000000000005</v>
      </c>
      <c r="U146" s="36">
        <v>8.4760000000000009</v>
      </c>
      <c r="V146" s="36">
        <v>8.5939999999999994</v>
      </c>
      <c r="W146" s="286">
        <v>8.6999999999999993</v>
      </c>
    </row>
    <row r="147" spans="1:23" x14ac:dyDescent="0.25">
      <c r="A147">
        <v>30</v>
      </c>
      <c r="B147" s="285">
        <v>5.1559999999999997</v>
      </c>
      <c r="C147" s="36">
        <v>5.6980000000000004</v>
      </c>
      <c r="D147" s="36">
        <v>6.0330000000000004</v>
      </c>
      <c r="E147" s="36">
        <v>6.2779999999999996</v>
      </c>
      <c r="F147" s="36">
        <v>6.47</v>
      </c>
      <c r="G147" s="36">
        <v>6.6280000000000001</v>
      </c>
      <c r="H147" s="36">
        <v>6.7629999999999999</v>
      </c>
      <c r="I147" s="36">
        <v>6.88</v>
      </c>
      <c r="J147" s="36">
        <v>6.984</v>
      </c>
      <c r="K147" s="36">
        <v>7.077</v>
      </c>
      <c r="L147" s="36">
        <v>7.1619999999999999</v>
      </c>
      <c r="M147" s="36">
        <v>7.3289999999999997</v>
      </c>
      <c r="N147" s="36">
        <v>7.31</v>
      </c>
      <c r="O147" s="36">
        <v>7.375</v>
      </c>
      <c r="P147" s="36">
        <v>7.4370000000000003</v>
      </c>
      <c r="Q147" s="36">
        <v>7.548</v>
      </c>
      <c r="R147" s="36">
        <v>7.6470000000000002</v>
      </c>
      <c r="S147" s="36">
        <v>7.8159999999999998</v>
      </c>
      <c r="T147" s="36">
        <v>7.9580000000000002</v>
      </c>
      <c r="U147" s="36">
        <v>8.08</v>
      </c>
      <c r="V147" s="36">
        <v>8.1880000000000006</v>
      </c>
      <c r="W147" s="286">
        <v>8.2829999999999995</v>
      </c>
    </row>
    <row r="148" spans="1:23" x14ac:dyDescent="0.25">
      <c r="A148">
        <v>40</v>
      </c>
      <c r="B148" s="285">
        <v>5.0220000000000002</v>
      </c>
      <c r="C148" s="36">
        <v>5.5279999999999996</v>
      </c>
      <c r="D148" s="36">
        <v>5.8380000000000001</v>
      </c>
      <c r="E148" s="36">
        <v>6.0629999999999997</v>
      </c>
      <c r="F148" s="36">
        <v>6.24</v>
      </c>
      <c r="G148" s="36">
        <v>6.3860000000000001</v>
      </c>
      <c r="H148" s="36">
        <v>6.5090000000000003</v>
      </c>
      <c r="I148" s="36">
        <v>6.6159999999999997</v>
      </c>
      <c r="J148" s="36">
        <v>6.7110000000000003</v>
      </c>
      <c r="K148" s="36">
        <v>6.7960000000000003</v>
      </c>
      <c r="L148" s="36">
        <v>6.8719999999999999</v>
      </c>
      <c r="M148" s="36">
        <v>6.9420000000000002</v>
      </c>
      <c r="N148" s="36">
        <v>7.0069999999999997</v>
      </c>
      <c r="O148" s="36">
        <v>7.0670000000000002</v>
      </c>
      <c r="P148" s="36">
        <v>7.1219999999999999</v>
      </c>
      <c r="Q148" s="36">
        <v>7.2229999999999999</v>
      </c>
      <c r="R148" s="36">
        <v>7.3120000000000003</v>
      </c>
      <c r="S148" s="36">
        <v>7.4660000000000002</v>
      </c>
      <c r="T148" s="36">
        <v>7.5940000000000003</v>
      </c>
      <c r="U148" s="36">
        <v>7.7039999999999997</v>
      </c>
      <c r="V148" s="36">
        <v>7.8010000000000002</v>
      </c>
      <c r="W148" s="286">
        <v>7.8869999999999996</v>
      </c>
    </row>
    <row r="149" spans="1:23" x14ac:dyDescent="0.25">
      <c r="A149">
        <v>60</v>
      </c>
      <c r="B149" s="285">
        <v>4.8940000000000001</v>
      </c>
      <c r="C149" s="36">
        <v>5.3650000000000002</v>
      </c>
      <c r="D149" s="36">
        <v>5.6529999999999996</v>
      </c>
      <c r="E149" s="36">
        <v>5.86</v>
      </c>
      <c r="F149" s="36">
        <v>6.0220000000000002</v>
      </c>
      <c r="G149" s="36">
        <v>6.1550000000000002</v>
      </c>
      <c r="H149" s="36">
        <v>6.2679999999999998</v>
      </c>
      <c r="I149" s="36">
        <v>6.3659999999999997</v>
      </c>
      <c r="J149" s="36">
        <v>6.4509999999999996</v>
      </c>
      <c r="K149" s="36">
        <v>6.5279999999999996</v>
      </c>
      <c r="L149" s="36">
        <v>6.5979999999999999</v>
      </c>
      <c r="M149" s="36">
        <v>6.6609999999999996</v>
      </c>
      <c r="N149" s="36">
        <v>6.72</v>
      </c>
      <c r="O149" s="36">
        <v>6.774</v>
      </c>
      <c r="P149" s="36">
        <v>6.8239999999999998</v>
      </c>
      <c r="Q149" s="36">
        <v>6.9139999999999997</v>
      </c>
      <c r="R149" s="36">
        <v>6.9950000000000001</v>
      </c>
      <c r="S149" s="36">
        <v>7.133</v>
      </c>
      <c r="T149" s="36">
        <v>7.2480000000000002</v>
      </c>
      <c r="U149" s="36">
        <v>7.3470000000000004</v>
      </c>
      <c r="V149" s="36">
        <v>7.4329999999999998</v>
      </c>
      <c r="W149" s="286">
        <v>7.51</v>
      </c>
    </row>
    <row r="150" spans="1:23" x14ac:dyDescent="0.25">
      <c r="A150">
        <v>120</v>
      </c>
      <c r="B150" s="285">
        <v>4.7709999999999999</v>
      </c>
      <c r="C150" s="36">
        <v>5.2110000000000003</v>
      </c>
      <c r="D150" s="36">
        <v>5.476</v>
      </c>
      <c r="E150" s="36">
        <v>5.6669999999999998</v>
      </c>
      <c r="F150" s="36">
        <v>5.8150000000000004</v>
      </c>
      <c r="G150" s="36">
        <v>5.9370000000000003</v>
      </c>
      <c r="H150" s="36">
        <v>6.0389999999999997</v>
      </c>
      <c r="I150" s="36">
        <v>6.1280000000000001</v>
      </c>
      <c r="J150" s="36">
        <v>6.2060000000000004</v>
      </c>
      <c r="K150" s="36">
        <v>6.2759999999999998</v>
      </c>
      <c r="L150" s="36">
        <v>6.3390000000000004</v>
      </c>
      <c r="M150" s="36">
        <v>6.3959999999999999</v>
      </c>
      <c r="N150" s="36">
        <v>6.4480000000000004</v>
      </c>
      <c r="O150" s="36">
        <v>6.4960000000000004</v>
      </c>
      <c r="P150" s="36">
        <v>6.5419999999999998</v>
      </c>
      <c r="Q150" s="36">
        <v>6.6230000000000002</v>
      </c>
      <c r="R150" s="36">
        <v>6.6950000000000003</v>
      </c>
      <c r="S150" s="36">
        <v>6.8179999999999996</v>
      </c>
      <c r="T150" s="36">
        <v>6.9210000000000003</v>
      </c>
      <c r="U150" s="36">
        <v>7.008</v>
      </c>
      <c r="V150" s="36">
        <v>7.085</v>
      </c>
      <c r="W150" s="286">
        <v>7.1529999999999996</v>
      </c>
    </row>
    <row r="151" spans="1:23" x14ac:dyDescent="0.25">
      <c r="A151" s="12" t="s">
        <v>169</v>
      </c>
      <c r="B151" s="287">
        <v>4.6539999999999999</v>
      </c>
      <c r="C151" s="483">
        <v>5.0629999999999997</v>
      </c>
      <c r="D151" s="483">
        <v>5.3090000000000002</v>
      </c>
      <c r="E151" s="483">
        <v>5.484</v>
      </c>
      <c r="F151" s="483">
        <v>5.6189999999999998</v>
      </c>
      <c r="G151" s="483">
        <v>5.73</v>
      </c>
      <c r="H151" s="483">
        <v>5.8230000000000004</v>
      </c>
      <c r="I151" s="483">
        <v>5.9029999999999996</v>
      </c>
      <c r="J151" s="483">
        <v>5.9729999999999999</v>
      </c>
      <c r="K151" s="483">
        <v>6.0359999999999996</v>
      </c>
      <c r="L151" s="483">
        <v>6.0919999999999996</v>
      </c>
      <c r="M151" s="483">
        <v>6.1440000000000001</v>
      </c>
      <c r="N151" s="483">
        <v>6.1909999999999998</v>
      </c>
      <c r="O151" s="483">
        <v>6.234</v>
      </c>
      <c r="P151" s="483">
        <v>6.274</v>
      </c>
      <c r="Q151" s="483">
        <v>6.3470000000000004</v>
      </c>
      <c r="R151" s="483">
        <v>6.4109999999999996</v>
      </c>
      <c r="S151" s="483">
        <v>6.52</v>
      </c>
      <c r="T151" s="483">
        <v>6.6109999999999998</v>
      </c>
      <c r="U151" s="483">
        <v>6.6890000000000001</v>
      </c>
      <c r="V151" s="483">
        <v>6.7560000000000002</v>
      </c>
      <c r="W151" s="288">
        <v>6.8159999999999998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U154"/>
  <sheetViews>
    <sheetView workbookViewId="0"/>
  </sheetViews>
  <sheetFormatPr defaultRowHeight="15" x14ac:dyDescent="0.25"/>
  <cols>
    <col min="1" max="1" width="5.7109375" customWidth="1"/>
    <col min="2" max="21" width="7.42578125" customWidth="1"/>
  </cols>
  <sheetData>
    <row r="1" spans="1:21" x14ac:dyDescent="0.25">
      <c r="A1" s="1" t="s">
        <v>1248</v>
      </c>
    </row>
    <row r="3" spans="1:21" x14ac:dyDescent="0.25">
      <c r="A3" s="1" t="s">
        <v>70</v>
      </c>
      <c r="B3" s="1">
        <v>0.01</v>
      </c>
    </row>
    <row r="5" spans="1:21" x14ac:dyDescent="0.25">
      <c r="A5" s="12" t="s">
        <v>1245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14</v>
      </c>
      <c r="O5">
        <v>15</v>
      </c>
      <c r="P5">
        <v>16</v>
      </c>
      <c r="Q5">
        <v>17</v>
      </c>
      <c r="R5">
        <v>18</v>
      </c>
      <c r="S5">
        <v>19</v>
      </c>
      <c r="T5">
        <v>20</v>
      </c>
      <c r="U5">
        <v>21</v>
      </c>
    </row>
    <row r="6" spans="1:21" x14ac:dyDescent="0.25">
      <c r="A6">
        <v>1</v>
      </c>
      <c r="B6" s="541">
        <v>63.656999999999996</v>
      </c>
      <c r="C6" s="481">
        <v>86.959000000000003</v>
      </c>
      <c r="D6" s="481">
        <v>100.28</v>
      </c>
      <c r="E6" s="481">
        <v>109.36</v>
      </c>
      <c r="F6" s="481">
        <v>116.15300000000001</v>
      </c>
      <c r="G6" s="481">
        <v>121.535</v>
      </c>
      <c r="H6" s="481">
        <v>125.967</v>
      </c>
      <c r="I6" s="481">
        <v>129.72</v>
      </c>
      <c r="J6" s="481">
        <v>132.96600000000001</v>
      </c>
      <c r="K6" s="481">
        <v>135.81800000000001</v>
      </c>
      <c r="L6" s="481">
        <v>138.358</v>
      </c>
      <c r="M6" s="481">
        <v>140.64500000000001</v>
      </c>
      <c r="N6" s="481">
        <v>142.721</v>
      </c>
      <c r="O6" s="481">
        <v>144.62100000000001</v>
      </c>
      <c r="P6" s="481">
        <v>146.37100000000001</v>
      </c>
      <c r="Q6" s="481">
        <v>147.99100000000001</v>
      </c>
      <c r="R6" s="481">
        <v>149.499</v>
      </c>
      <c r="S6" s="481">
        <v>150.90799999999999</v>
      </c>
      <c r="T6" s="481">
        <v>152.23099999999999</v>
      </c>
      <c r="U6" s="542">
        <v>153.476</v>
      </c>
    </row>
    <row r="7" spans="1:21" x14ac:dyDescent="0.25">
      <c r="A7">
        <v>2</v>
      </c>
      <c r="B7" s="285">
        <v>9.9250000000000007</v>
      </c>
      <c r="C7" s="36">
        <v>12.388</v>
      </c>
      <c r="D7" s="36">
        <v>13.826000000000001</v>
      </c>
      <c r="E7" s="36">
        <v>14.824999999999999</v>
      </c>
      <c r="F7" s="36">
        <v>15.582000000000001</v>
      </c>
      <c r="G7" s="36">
        <v>16.189</v>
      </c>
      <c r="H7" s="36">
        <v>16.692</v>
      </c>
      <c r="I7" s="36">
        <v>17.120999999999999</v>
      </c>
      <c r="J7" s="36">
        <v>17.494</v>
      </c>
      <c r="K7" s="36">
        <v>17.823</v>
      </c>
      <c r="L7" s="36">
        <v>18.117000000000001</v>
      </c>
      <c r="M7" s="36">
        <v>18.382999999999999</v>
      </c>
      <c r="N7" s="36">
        <v>18.623999999999999</v>
      </c>
      <c r="O7" s="36">
        <v>18.846</v>
      </c>
      <c r="P7" s="36">
        <v>19.050999999999998</v>
      </c>
      <c r="Q7" s="36">
        <v>19.241</v>
      </c>
      <c r="R7" s="36">
        <v>19.417999999999999</v>
      </c>
      <c r="S7" s="36">
        <v>19.582999999999998</v>
      </c>
      <c r="T7" s="36">
        <v>19.739000000000001</v>
      </c>
      <c r="U7" s="286">
        <v>19.885999999999999</v>
      </c>
    </row>
    <row r="8" spans="1:21" x14ac:dyDescent="0.25">
      <c r="A8">
        <v>3</v>
      </c>
      <c r="B8" s="285">
        <v>5.8410000000000002</v>
      </c>
      <c r="C8" s="36">
        <v>6.9740000000000002</v>
      </c>
      <c r="D8" s="36">
        <v>7.6390000000000002</v>
      </c>
      <c r="E8" s="36">
        <v>8.1039999999999992</v>
      </c>
      <c r="F8" s="36">
        <v>8.4600000000000009</v>
      </c>
      <c r="G8" s="36">
        <v>8.7460000000000004</v>
      </c>
      <c r="H8" s="36">
        <v>8.9849999999999994</v>
      </c>
      <c r="I8" s="36">
        <v>9.1890000000000001</v>
      </c>
      <c r="J8" s="36">
        <v>9.3670000000000009</v>
      </c>
      <c r="K8" s="36">
        <v>9.5250000000000004</v>
      </c>
      <c r="L8" s="36">
        <v>9.6660000000000004</v>
      </c>
      <c r="M8" s="36">
        <v>9.7940000000000005</v>
      </c>
      <c r="N8" s="36">
        <v>9.91</v>
      </c>
      <c r="O8" s="36">
        <v>10.016999999999999</v>
      </c>
      <c r="P8" s="36">
        <v>10.116</v>
      </c>
      <c r="Q8" s="36">
        <v>10.208</v>
      </c>
      <c r="R8" s="36">
        <v>10.294</v>
      </c>
      <c r="S8" s="36">
        <v>10.375</v>
      </c>
      <c r="T8" s="36">
        <v>10.45</v>
      </c>
      <c r="U8" s="286">
        <v>10.522</v>
      </c>
    </row>
    <row r="9" spans="1:21" x14ac:dyDescent="0.25">
      <c r="A9">
        <v>4</v>
      </c>
      <c r="B9" s="285">
        <v>4.6040000000000001</v>
      </c>
      <c r="C9" s="36">
        <v>5.3639999999999999</v>
      </c>
      <c r="D9" s="36">
        <v>5.8090000000000002</v>
      </c>
      <c r="E9" s="36">
        <v>6.1210000000000004</v>
      </c>
      <c r="F9" s="36">
        <v>6.3609999999999998</v>
      </c>
      <c r="G9" s="36">
        <v>6.5540000000000003</v>
      </c>
      <c r="H9" s="36">
        <v>6.7160000000000002</v>
      </c>
      <c r="I9" s="36">
        <v>6.8540000000000001</v>
      </c>
      <c r="J9" s="36">
        <v>6.9749999999999996</v>
      </c>
      <c r="K9" s="36">
        <v>7.0819999999999999</v>
      </c>
      <c r="L9" s="36">
        <v>7.1790000000000003</v>
      </c>
      <c r="M9" s="36">
        <v>7.266</v>
      </c>
      <c r="N9" s="36">
        <v>7.3460000000000001</v>
      </c>
      <c r="O9" s="36">
        <v>7.4189999999999996</v>
      </c>
      <c r="P9" s="36">
        <v>7.4870000000000001</v>
      </c>
      <c r="Q9" s="36">
        <v>7.55</v>
      </c>
      <c r="R9" s="36">
        <v>7.609</v>
      </c>
      <c r="S9" s="36">
        <v>7.6639999999999997</v>
      </c>
      <c r="T9" s="36">
        <v>7.7160000000000002</v>
      </c>
      <c r="U9" s="286">
        <v>7.7649999999999997</v>
      </c>
    </row>
    <row r="10" spans="1:21" x14ac:dyDescent="0.25">
      <c r="A10">
        <v>5</v>
      </c>
      <c r="B10" s="285">
        <v>4.032</v>
      </c>
      <c r="C10" s="36">
        <v>4.6269999999999998</v>
      </c>
      <c r="D10" s="36">
        <v>4.9749999999999996</v>
      </c>
      <c r="E10" s="36">
        <v>5.2190000000000003</v>
      </c>
      <c r="F10" s="36">
        <v>5.4059999999999997</v>
      </c>
      <c r="G10" s="36">
        <v>5.5570000000000004</v>
      </c>
      <c r="H10" s="36">
        <v>5.6829999999999998</v>
      </c>
      <c r="I10" s="36">
        <v>5.7919999999999998</v>
      </c>
      <c r="J10" s="36">
        <v>5.8869999999999996</v>
      </c>
      <c r="K10" s="36">
        <v>5.9710000000000001</v>
      </c>
      <c r="L10" s="36">
        <v>6.0469999999999997</v>
      </c>
      <c r="M10" s="36">
        <v>6.1159999999999997</v>
      </c>
      <c r="N10" s="36">
        <v>6.1779999999999999</v>
      </c>
      <c r="O10" s="36">
        <v>6.2359999999999998</v>
      </c>
      <c r="P10" s="36">
        <v>6.2889999999999997</v>
      </c>
      <c r="Q10" s="36">
        <v>6.3390000000000004</v>
      </c>
      <c r="R10" s="36">
        <v>6.3860000000000001</v>
      </c>
      <c r="S10" s="36">
        <v>6.4290000000000003</v>
      </c>
      <c r="T10" s="36">
        <v>6.47</v>
      </c>
      <c r="U10" s="286">
        <v>6.5090000000000003</v>
      </c>
    </row>
    <row r="11" spans="1:21" x14ac:dyDescent="0.25">
      <c r="A11">
        <v>6</v>
      </c>
      <c r="B11" s="285">
        <v>3.7069999999999999</v>
      </c>
      <c r="C11" s="36">
        <v>4.2119999999999997</v>
      </c>
      <c r="D11" s="36">
        <v>4.5060000000000002</v>
      </c>
      <c r="E11" s="36">
        <v>4.7110000000000003</v>
      </c>
      <c r="F11" s="36">
        <v>4.8689999999999998</v>
      </c>
      <c r="G11" s="36">
        <v>4.9969999999999999</v>
      </c>
      <c r="H11" s="36">
        <v>5.1040000000000001</v>
      </c>
      <c r="I11" s="36">
        <v>5.1959999999999997</v>
      </c>
      <c r="J11" s="36">
        <v>5.2759999999999998</v>
      </c>
      <c r="K11" s="36">
        <v>5.3470000000000004</v>
      </c>
      <c r="L11" s="36">
        <v>5.4109999999999996</v>
      </c>
      <c r="M11" s="36">
        <v>5.4690000000000003</v>
      </c>
      <c r="N11" s="36">
        <v>5.5229999999999997</v>
      </c>
      <c r="O11" s="36">
        <v>5.5720000000000001</v>
      </c>
      <c r="P11" s="36">
        <v>5.617</v>
      </c>
      <c r="Q11" s="36">
        <v>5.6589999999999998</v>
      </c>
      <c r="R11" s="36">
        <v>5.6989999999999998</v>
      </c>
      <c r="S11" s="36">
        <v>5.7359999999999998</v>
      </c>
      <c r="T11" s="36">
        <v>5.77</v>
      </c>
      <c r="U11" s="286">
        <v>5.8029999999999999</v>
      </c>
    </row>
    <row r="12" spans="1:21" x14ac:dyDescent="0.25">
      <c r="A12">
        <v>7</v>
      </c>
      <c r="B12" s="285">
        <v>3.4990000000000001</v>
      </c>
      <c r="C12" s="36">
        <v>3.948</v>
      </c>
      <c r="D12" s="36">
        <v>4.2080000000000002</v>
      </c>
      <c r="E12" s="36">
        <v>4.3890000000000002</v>
      </c>
      <c r="F12" s="36">
        <v>4.5289999999999999</v>
      </c>
      <c r="G12" s="36">
        <v>4.6420000000000003</v>
      </c>
      <c r="H12" s="36">
        <v>4.7359999999999998</v>
      </c>
      <c r="I12" s="36">
        <v>4.8170000000000002</v>
      </c>
      <c r="J12" s="36">
        <v>4.8879999999999999</v>
      </c>
      <c r="K12" s="36">
        <v>4.9509999999999996</v>
      </c>
      <c r="L12" s="36">
        <v>5.008</v>
      </c>
      <c r="M12" s="36">
        <v>5.0590000000000002</v>
      </c>
      <c r="N12" s="36">
        <v>5.1059999999999999</v>
      </c>
      <c r="O12" s="36">
        <v>5.15</v>
      </c>
      <c r="P12" s="36">
        <v>5.19</v>
      </c>
      <c r="Q12" s="36">
        <v>5.2270000000000003</v>
      </c>
      <c r="R12" s="36">
        <v>5.2619999999999996</v>
      </c>
      <c r="S12" s="36">
        <v>5.2949999999999999</v>
      </c>
      <c r="T12" s="36">
        <v>5.3259999999999996</v>
      </c>
      <c r="U12" s="286">
        <v>5.3550000000000004</v>
      </c>
    </row>
    <row r="13" spans="1:21" x14ac:dyDescent="0.25">
      <c r="A13">
        <v>8</v>
      </c>
      <c r="B13" s="285">
        <v>3.355</v>
      </c>
      <c r="C13" s="36">
        <v>3.766</v>
      </c>
      <c r="D13" s="36">
        <v>4.0019999999999998</v>
      </c>
      <c r="E13" s="36">
        <v>4.1680000000000001</v>
      </c>
      <c r="F13" s="36">
        <v>4.2949999999999999</v>
      </c>
      <c r="G13" s="36">
        <v>4.3970000000000002</v>
      </c>
      <c r="H13" s="36">
        <v>4.4829999999999997</v>
      </c>
      <c r="I13" s="36">
        <v>4.5570000000000004</v>
      </c>
      <c r="J13" s="36">
        <v>4.6210000000000004</v>
      </c>
      <c r="K13" s="36">
        <v>4.6790000000000003</v>
      </c>
      <c r="L13" s="36">
        <v>4.7300000000000004</v>
      </c>
      <c r="M13" s="36">
        <v>4.7770000000000001</v>
      </c>
      <c r="N13" s="36">
        <v>4.82</v>
      </c>
      <c r="O13" s="36">
        <v>4.859</v>
      </c>
      <c r="P13" s="36">
        <v>4.8959999999999999</v>
      </c>
      <c r="Q13" s="36">
        <v>4.93</v>
      </c>
      <c r="R13" s="36">
        <v>4.9610000000000003</v>
      </c>
      <c r="S13" s="36">
        <v>4.9909999999999997</v>
      </c>
      <c r="T13" s="36">
        <v>5.0190000000000001</v>
      </c>
      <c r="U13" s="286">
        <v>5.0460000000000003</v>
      </c>
    </row>
    <row r="14" spans="1:21" x14ac:dyDescent="0.25">
      <c r="A14">
        <v>9</v>
      </c>
      <c r="B14" s="285">
        <v>3.25</v>
      </c>
      <c r="C14" s="36">
        <v>3.633</v>
      </c>
      <c r="D14" s="36">
        <v>3.8530000000000002</v>
      </c>
      <c r="E14" s="36">
        <v>4.0060000000000002</v>
      </c>
      <c r="F14" s="36">
        <v>4.1239999999999997</v>
      </c>
      <c r="G14" s="36">
        <v>4.2190000000000003</v>
      </c>
      <c r="H14" s="36">
        <v>4.2990000000000004</v>
      </c>
      <c r="I14" s="36">
        <v>4.367</v>
      </c>
      <c r="J14" s="36">
        <v>4.4269999999999996</v>
      </c>
      <c r="K14" s="36">
        <v>4.4800000000000004</v>
      </c>
      <c r="L14" s="36">
        <v>4.5279999999999996</v>
      </c>
      <c r="M14" s="36">
        <v>4.5709999999999997</v>
      </c>
      <c r="N14" s="36">
        <v>4.6109999999999998</v>
      </c>
      <c r="O14" s="36">
        <v>4.6470000000000002</v>
      </c>
      <c r="P14" s="36">
        <v>4.681</v>
      </c>
      <c r="Q14" s="36">
        <v>4.7130000000000001</v>
      </c>
      <c r="R14" s="36">
        <v>4.742</v>
      </c>
      <c r="S14" s="36">
        <v>4.7699999999999996</v>
      </c>
      <c r="T14" s="36">
        <v>4.7960000000000003</v>
      </c>
      <c r="U14" s="286">
        <v>4.8209999999999997</v>
      </c>
    </row>
    <row r="15" spans="1:21" x14ac:dyDescent="0.25">
      <c r="A15">
        <v>10</v>
      </c>
      <c r="B15" s="285">
        <v>3.169</v>
      </c>
      <c r="C15" s="36">
        <v>3.5310000000000001</v>
      </c>
      <c r="D15" s="36">
        <v>3.7389999999999999</v>
      </c>
      <c r="E15" s="36">
        <v>3.883</v>
      </c>
      <c r="F15" s="36">
        <v>3.9940000000000002</v>
      </c>
      <c r="G15" s="36">
        <v>4.0839999999999996</v>
      </c>
      <c r="H15" s="36">
        <v>4.1589999999999998</v>
      </c>
      <c r="I15" s="36">
        <v>4.2229999999999999</v>
      </c>
      <c r="J15" s="36">
        <v>4.2789999999999999</v>
      </c>
      <c r="K15" s="36">
        <v>4.3289999999999997</v>
      </c>
      <c r="L15" s="36">
        <v>4.3739999999999997</v>
      </c>
      <c r="M15" s="36">
        <v>4.415</v>
      </c>
      <c r="N15" s="36">
        <v>4.452</v>
      </c>
      <c r="O15" s="36">
        <v>4.4870000000000001</v>
      </c>
      <c r="P15" s="36">
        <v>4.5190000000000001</v>
      </c>
      <c r="Q15" s="36">
        <v>4.548</v>
      </c>
      <c r="R15" s="36">
        <v>4.5759999999999996</v>
      </c>
      <c r="S15" s="36">
        <v>4.6020000000000003</v>
      </c>
      <c r="T15" s="36">
        <v>4.6269999999999998</v>
      </c>
      <c r="U15" s="286">
        <v>4.6500000000000004</v>
      </c>
    </row>
    <row r="16" spans="1:21" x14ac:dyDescent="0.25">
      <c r="A16">
        <v>11</v>
      </c>
      <c r="B16" s="285">
        <v>3.1059999999999999</v>
      </c>
      <c r="C16" s="36">
        <v>3.452</v>
      </c>
      <c r="D16" s="36">
        <v>3.649</v>
      </c>
      <c r="E16" s="36">
        <v>3.7869999999999999</v>
      </c>
      <c r="F16" s="36">
        <v>3.8919999999999999</v>
      </c>
      <c r="G16" s="36">
        <v>3.9780000000000002</v>
      </c>
      <c r="H16" s="36">
        <v>4.0490000000000004</v>
      </c>
      <c r="I16" s="36">
        <v>4.1100000000000003</v>
      </c>
      <c r="J16" s="36">
        <v>4.1639999999999997</v>
      </c>
      <c r="K16" s="36">
        <v>4.2110000000000003</v>
      </c>
      <c r="L16" s="36">
        <v>4.2539999999999996</v>
      </c>
      <c r="M16" s="36">
        <v>4.2930000000000001</v>
      </c>
      <c r="N16" s="36">
        <v>4.3280000000000003</v>
      </c>
      <c r="O16" s="36">
        <v>4.3609999999999998</v>
      </c>
      <c r="P16" s="36">
        <v>4.391</v>
      </c>
      <c r="Q16" s="36">
        <v>4.4189999999999996</v>
      </c>
      <c r="R16" s="36">
        <v>4.4459999999999997</v>
      </c>
      <c r="S16" s="36">
        <v>4.47</v>
      </c>
      <c r="T16" s="36">
        <v>4.4939999999999998</v>
      </c>
      <c r="U16" s="286">
        <v>4.516</v>
      </c>
    </row>
    <row r="17" spans="1:21" x14ac:dyDescent="0.25">
      <c r="A17">
        <v>12</v>
      </c>
      <c r="B17" s="285">
        <v>3.0550000000000002</v>
      </c>
      <c r="C17" s="36">
        <v>3.387</v>
      </c>
      <c r="D17" s="36">
        <v>3.577</v>
      </c>
      <c r="E17" s="36">
        <v>3.7090000000000001</v>
      </c>
      <c r="F17" s="36">
        <v>3.8109999999999999</v>
      </c>
      <c r="G17" s="36">
        <v>3.8919999999999999</v>
      </c>
      <c r="H17" s="36">
        <v>3.96</v>
      </c>
      <c r="I17" s="36">
        <v>4.0190000000000001</v>
      </c>
      <c r="J17" s="36">
        <v>4.07</v>
      </c>
      <c r="K17" s="36">
        <v>4.1159999999999997</v>
      </c>
      <c r="L17" s="36">
        <v>4.157</v>
      </c>
      <c r="M17" s="36">
        <v>4.194</v>
      </c>
      <c r="N17" s="36">
        <v>4.2279999999999998</v>
      </c>
      <c r="O17" s="36">
        <v>4.2590000000000003</v>
      </c>
      <c r="P17" s="36">
        <v>4.2880000000000003</v>
      </c>
      <c r="Q17" s="36">
        <v>4.3150000000000004</v>
      </c>
      <c r="R17" s="36">
        <v>4.34</v>
      </c>
      <c r="S17" s="36">
        <v>4.3639999999999999</v>
      </c>
      <c r="T17" s="36">
        <v>4.3869999999999996</v>
      </c>
      <c r="U17" s="286">
        <v>4.4080000000000004</v>
      </c>
    </row>
    <row r="18" spans="1:21" x14ac:dyDescent="0.25">
      <c r="A18">
        <v>13</v>
      </c>
      <c r="B18" s="285">
        <v>3.012</v>
      </c>
      <c r="C18" s="36">
        <v>3.335</v>
      </c>
      <c r="D18" s="36">
        <v>3.5179999999999998</v>
      </c>
      <c r="E18" s="36">
        <v>3.6459999999999999</v>
      </c>
      <c r="F18" s="36">
        <v>3.7429999999999999</v>
      </c>
      <c r="G18" s="36">
        <v>3.8220000000000001</v>
      </c>
      <c r="H18" s="36">
        <v>3.8879999999999999</v>
      </c>
      <c r="I18" s="36">
        <v>3.944</v>
      </c>
      <c r="J18" s="36">
        <v>3.9940000000000002</v>
      </c>
      <c r="K18" s="36">
        <v>4.0380000000000003</v>
      </c>
      <c r="L18" s="36">
        <v>4.077</v>
      </c>
      <c r="M18" s="36">
        <v>4.1130000000000004</v>
      </c>
      <c r="N18" s="36">
        <v>4.1459999999999999</v>
      </c>
      <c r="O18" s="36">
        <v>4.1760000000000002</v>
      </c>
      <c r="P18" s="36">
        <v>4.2039999999999997</v>
      </c>
      <c r="Q18" s="36">
        <v>4.2300000000000004</v>
      </c>
      <c r="R18" s="36">
        <v>4.2539999999999996</v>
      </c>
      <c r="S18" s="36">
        <v>4.2770000000000001</v>
      </c>
      <c r="T18" s="36">
        <v>4.2990000000000004</v>
      </c>
      <c r="U18" s="286">
        <v>4.319</v>
      </c>
    </row>
    <row r="19" spans="1:21" x14ac:dyDescent="0.25">
      <c r="A19">
        <v>14</v>
      </c>
      <c r="B19" s="285">
        <v>2.9769999999999999</v>
      </c>
      <c r="C19" s="36">
        <v>3.29</v>
      </c>
      <c r="D19" s="36">
        <v>3.468</v>
      </c>
      <c r="E19" s="36">
        <v>3.5920000000000001</v>
      </c>
      <c r="F19" s="36">
        <v>3.6869999999999998</v>
      </c>
      <c r="G19" s="36">
        <v>3.7629999999999999</v>
      </c>
      <c r="H19" s="36">
        <v>3.827</v>
      </c>
      <c r="I19" s="36">
        <v>3.8820000000000001</v>
      </c>
      <c r="J19" s="36">
        <v>3.93</v>
      </c>
      <c r="K19" s="36">
        <v>3.972</v>
      </c>
      <c r="L19" s="36">
        <v>4.0110000000000001</v>
      </c>
      <c r="M19" s="36">
        <v>4.0449999999999999</v>
      </c>
      <c r="N19" s="36">
        <v>4.077</v>
      </c>
      <c r="O19" s="36">
        <v>4.1059999999999999</v>
      </c>
      <c r="P19" s="36">
        <v>4.133</v>
      </c>
      <c r="Q19" s="36">
        <v>4.1580000000000004</v>
      </c>
      <c r="R19" s="36">
        <v>4.1820000000000004</v>
      </c>
      <c r="S19" s="36">
        <v>4.2039999999999997</v>
      </c>
      <c r="T19" s="36">
        <v>4.2249999999999996</v>
      </c>
      <c r="U19" s="286">
        <v>4.2450000000000001</v>
      </c>
    </row>
    <row r="20" spans="1:21" x14ac:dyDescent="0.25">
      <c r="A20">
        <v>15</v>
      </c>
      <c r="B20" s="285">
        <v>2.9470000000000001</v>
      </c>
      <c r="C20" s="36">
        <v>3.2530000000000001</v>
      </c>
      <c r="D20" s="36">
        <v>3.4260000000000002</v>
      </c>
      <c r="E20" s="36">
        <v>3.5470000000000002</v>
      </c>
      <c r="F20" s="36">
        <v>3.6389999999999998</v>
      </c>
      <c r="G20" s="36">
        <v>3.7130000000000001</v>
      </c>
      <c r="H20" s="36">
        <v>3.7759999999999998</v>
      </c>
      <c r="I20" s="36">
        <v>3.8290000000000002</v>
      </c>
      <c r="J20" s="36">
        <v>3.875</v>
      </c>
      <c r="K20" s="36">
        <v>3.9169999999999998</v>
      </c>
      <c r="L20" s="36">
        <v>3.9540000000000002</v>
      </c>
      <c r="M20" s="36">
        <v>3.988</v>
      </c>
      <c r="N20" s="36">
        <v>4.0190000000000001</v>
      </c>
      <c r="O20" s="36">
        <v>4.0469999999999997</v>
      </c>
      <c r="P20" s="36">
        <v>4.0730000000000004</v>
      </c>
      <c r="Q20" s="36">
        <v>4.0979999999999999</v>
      </c>
      <c r="R20" s="36">
        <v>4.1210000000000004</v>
      </c>
      <c r="S20" s="36">
        <v>4.1420000000000003</v>
      </c>
      <c r="T20" s="36">
        <v>4.1630000000000003</v>
      </c>
      <c r="U20" s="286">
        <v>4.1820000000000004</v>
      </c>
    </row>
    <row r="21" spans="1:21" x14ac:dyDescent="0.25">
      <c r="A21">
        <v>16</v>
      </c>
      <c r="B21" s="285">
        <v>2.9209999999999998</v>
      </c>
      <c r="C21" s="36">
        <v>3.22</v>
      </c>
      <c r="D21" s="36">
        <v>3.39</v>
      </c>
      <c r="E21" s="36">
        <v>3.508</v>
      </c>
      <c r="F21" s="36">
        <v>3.5979999999999999</v>
      </c>
      <c r="G21" s="36">
        <v>3.6709999999999998</v>
      </c>
      <c r="H21" s="36">
        <v>3.7309999999999999</v>
      </c>
      <c r="I21" s="36">
        <v>3.7829999999999999</v>
      </c>
      <c r="J21" s="36">
        <v>3.8290000000000002</v>
      </c>
      <c r="K21" s="36">
        <v>3.8690000000000002</v>
      </c>
      <c r="L21" s="36">
        <v>3.9049999999999998</v>
      </c>
      <c r="M21" s="36">
        <v>3.9380000000000002</v>
      </c>
      <c r="N21" s="36">
        <v>3.968</v>
      </c>
      <c r="O21" s="36">
        <v>3.996</v>
      </c>
      <c r="P21" s="36">
        <v>4.0220000000000002</v>
      </c>
      <c r="Q21" s="36">
        <v>4.0460000000000003</v>
      </c>
      <c r="R21" s="36">
        <v>4.0679999999999996</v>
      </c>
      <c r="S21" s="36">
        <v>4.0890000000000004</v>
      </c>
      <c r="T21" s="36">
        <v>4.109</v>
      </c>
      <c r="U21" s="286">
        <v>4.1280000000000001</v>
      </c>
    </row>
    <row r="22" spans="1:21" x14ac:dyDescent="0.25">
      <c r="A22">
        <v>17</v>
      </c>
      <c r="B22" s="285">
        <v>2.8980000000000001</v>
      </c>
      <c r="C22" s="36">
        <v>3.1920000000000002</v>
      </c>
      <c r="D22" s="36">
        <v>3.359</v>
      </c>
      <c r="E22" s="36">
        <v>3.4740000000000002</v>
      </c>
      <c r="F22" s="36">
        <v>3.5630000000000002</v>
      </c>
      <c r="G22" s="36">
        <v>3.6339999999999999</v>
      </c>
      <c r="H22" s="36">
        <v>3.6930000000000001</v>
      </c>
      <c r="I22" s="36">
        <v>3.7440000000000002</v>
      </c>
      <c r="J22" s="36">
        <v>3.7879999999999998</v>
      </c>
      <c r="K22" s="36">
        <v>3.8279999999999998</v>
      </c>
      <c r="L22" s="36">
        <v>3.863</v>
      </c>
      <c r="M22" s="36">
        <v>3.8959999999999999</v>
      </c>
      <c r="N22" s="36">
        <v>3.9249999999999998</v>
      </c>
      <c r="O22" s="36">
        <v>3.952</v>
      </c>
      <c r="P22" s="36">
        <v>3.9769999999999999</v>
      </c>
      <c r="Q22" s="36">
        <v>4.0010000000000003</v>
      </c>
      <c r="R22" s="36">
        <v>4.0229999999999997</v>
      </c>
      <c r="S22" s="36">
        <v>4.0430000000000001</v>
      </c>
      <c r="T22" s="36">
        <v>4.0620000000000003</v>
      </c>
      <c r="U22" s="286">
        <v>4.0810000000000004</v>
      </c>
    </row>
    <row r="23" spans="1:21" x14ac:dyDescent="0.25">
      <c r="A23">
        <v>18</v>
      </c>
      <c r="B23" s="285">
        <v>2.8780000000000001</v>
      </c>
      <c r="C23" s="36">
        <v>3.1680000000000001</v>
      </c>
      <c r="D23" s="36">
        <v>3.331</v>
      </c>
      <c r="E23" s="36">
        <v>3.4449999999999998</v>
      </c>
      <c r="F23" s="36">
        <v>3.5310000000000001</v>
      </c>
      <c r="G23" s="36">
        <v>3.601</v>
      </c>
      <c r="H23" s="36">
        <v>3.6589999999999998</v>
      </c>
      <c r="I23" s="36">
        <v>3.7090000000000001</v>
      </c>
      <c r="J23" s="36">
        <v>3.7530000000000001</v>
      </c>
      <c r="K23" s="36">
        <v>3.7919999999999998</v>
      </c>
      <c r="L23" s="36">
        <v>3.8260000000000001</v>
      </c>
      <c r="M23" s="36">
        <v>3.8580000000000001</v>
      </c>
      <c r="N23" s="36">
        <v>3.887</v>
      </c>
      <c r="O23" s="36">
        <v>3.9140000000000001</v>
      </c>
      <c r="P23" s="36">
        <v>3.9380000000000002</v>
      </c>
      <c r="Q23" s="36">
        <v>3.9609999999999999</v>
      </c>
      <c r="R23" s="36">
        <v>3.9830000000000001</v>
      </c>
      <c r="S23" s="36">
        <v>4.0030000000000001</v>
      </c>
      <c r="T23" s="36">
        <v>4.0220000000000002</v>
      </c>
      <c r="U23" s="286">
        <v>4.04</v>
      </c>
    </row>
    <row r="24" spans="1:21" x14ac:dyDescent="0.25">
      <c r="A24">
        <v>19</v>
      </c>
      <c r="B24" s="285">
        <v>2.8610000000000002</v>
      </c>
      <c r="C24" s="36">
        <v>3.1459999999999999</v>
      </c>
      <c r="D24" s="36">
        <v>3.3069999999999999</v>
      </c>
      <c r="E24" s="36">
        <v>3.419</v>
      </c>
      <c r="F24" s="36">
        <v>3.504</v>
      </c>
      <c r="G24" s="36">
        <v>3.5720000000000001</v>
      </c>
      <c r="H24" s="36">
        <v>3.63</v>
      </c>
      <c r="I24" s="36">
        <v>3.6789999999999998</v>
      </c>
      <c r="J24" s="36">
        <v>3.722</v>
      </c>
      <c r="K24" s="36">
        <v>3.76</v>
      </c>
      <c r="L24" s="36">
        <v>3.794</v>
      </c>
      <c r="M24" s="36">
        <v>3.8250000000000002</v>
      </c>
      <c r="N24" s="36">
        <v>3.8530000000000002</v>
      </c>
      <c r="O24" s="36">
        <v>3.879</v>
      </c>
      <c r="P24" s="36">
        <v>3.9039999999999999</v>
      </c>
      <c r="Q24" s="36">
        <v>3.9260000000000002</v>
      </c>
      <c r="R24" s="36">
        <v>3.9470000000000001</v>
      </c>
      <c r="S24" s="36">
        <v>3.9670000000000001</v>
      </c>
      <c r="T24" s="36">
        <v>3.9860000000000002</v>
      </c>
      <c r="U24" s="286">
        <v>4.0030000000000001</v>
      </c>
    </row>
    <row r="25" spans="1:21" x14ac:dyDescent="0.25">
      <c r="A25">
        <v>20</v>
      </c>
      <c r="B25" s="285">
        <v>2.8450000000000002</v>
      </c>
      <c r="C25" s="36">
        <v>3.1269999999999998</v>
      </c>
      <c r="D25" s="36">
        <v>3.2850000000000001</v>
      </c>
      <c r="E25" s="36">
        <v>3.395</v>
      </c>
      <c r="F25" s="36">
        <v>3.4790000000000001</v>
      </c>
      <c r="G25" s="36">
        <v>3.5470000000000002</v>
      </c>
      <c r="H25" s="36">
        <v>3.6030000000000002</v>
      </c>
      <c r="I25" s="36">
        <v>3.6509999999999998</v>
      </c>
      <c r="J25" s="36">
        <v>3.694</v>
      </c>
      <c r="K25" s="36">
        <v>3.7309999999999999</v>
      </c>
      <c r="L25" s="36">
        <v>3.7650000000000001</v>
      </c>
      <c r="M25" s="36">
        <v>3.7949999999999999</v>
      </c>
      <c r="N25" s="36">
        <v>3.823</v>
      </c>
      <c r="O25" s="36">
        <v>3.8490000000000002</v>
      </c>
      <c r="P25" s="36">
        <v>3.8730000000000002</v>
      </c>
      <c r="Q25" s="36">
        <v>3.895</v>
      </c>
      <c r="R25" s="36">
        <v>3.9159999999999999</v>
      </c>
      <c r="S25" s="36">
        <v>3.9350000000000001</v>
      </c>
      <c r="T25" s="36">
        <v>3.9540000000000002</v>
      </c>
      <c r="U25" s="286">
        <v>3.9710000000000001</v>
      </c>
    </row>
    <row r="26" spans="1:21" x14ac:dyDescent="0.25">
      <c r="A26">
        <v>21</v>
      </c>
      <c r="B26" s="285">
        <v>2.831</v>
      </c>
      <c r="C26" s="36">
        <v>3.109</v>
      </c>
      <c r="D26" s="36">
        <v>3.266</v>
      </c>
      <c r="E26" s="36">
        <v>3.375</v>
      </c>
      <c r="F26" s="36">
        <v>3.4569999999999999</v>
      </c>
      <c r="G26" s="36">
        <v>3.524</v>
      </c>
      <c r="H26" s="36">
        <v>3.5790000000000002</v>
      </c>
      <c r="I26" s="36">
        <v>3.6269999999999998</v>
      </c>
      <c r="J26" s="36">
        <v>3.669</v>
      </c>
      <c r="K26" s="36">
        <v>3.706</v>
      </c>
      <c r="L26" s="36">
        <v>3.7389999999999999</v>
      </c>
      <c r="M26" s="36">
        <v>3.7690000000000001</v>
      </c>
      <c r="N26" s="36">
        <v>3.7970000000000002</v>
      </c>
      <c r="O26" s="36">
        <v>3.8220000000000001</v>
      </c>
      <c r="P26" s="36">
        <v>3.8450000000000002</v>
      </c>
      <c r="Q26" s="36">
        <v>3.867</v>
      </c>
      <c r="R26" s="36">
        <v>3.8879999999999999</v>
      </c>
      <c r="S26" s="36">
        <v>3.907</v>
      </c>
      <c r="T26" s="36">
        <v>3.9249999999999998</v>
      </c>
      <c r="U26" s="286">
        <v>3.9420000000000002</v>
      </c>
    </row>
    <row r="27" spans="1:21" x14ac:dyDescent="0.25">
      <c r="A27">
        <v>22</v>
      </c>
      <c r="B27" s="285">
        <v>2.819</v>
      </c>
      <c r="C27" s="36">
        <v>3.0939999999999999</v>
      </c>
      <c r="D27" s="36">
        <v>3.2490000000000001</v>
      </c>
      <c r="E27" s="36">
        <v>3.3559999999999999</v>
      </c>
      <c r="F27" s="36">
        <v>3.4369999999999998</v>
      </c>
      <c r="G27" s="36">
        <v>3.5030000000000001</v>
      </c>
      <c r="H27" s="36">
        <v>3.5579999999999998</v>
      </c>
      <c r="I27" s="36">
        <v>3.605</v>
      </c>
      <c r="J27" s="36">
        <v>3.6459999999999999</v>
      </c>
      <c r="K27" s="36">
        <v>3.6829999999999998</v>
      </c>
      <c r="L27" s="36">
        <v>3.7160000000000002</v>
      </c>
      <c r="M27" s="36">
        <v>3.7450000000000001</v>
      </c>
      <c r="N27" s="36">
        <v>3.7730000000000001</v>
      </c>
      <c r="O27" s="36">
        <v>3.798</v>
      </c>
      <c r="P27" s="36">
        <v>3.8210000000000002</v>
      </c>
      <c r="Q27" s="36">
        <v>3.8420000000000001</v>
      </c>
      <c r="R27" s="36">
        <v>3.8620000000000001</v>
      </c>
      <c r="S27" s="36">
        <v>3.8809999999999998</v>
      </c>
      <c r="T27" s="36">
        <v>3.899</v>
      </c>
      <c r="U27" s="286">
        <v>3.9159999999999999</v>
      </c>
    </row>
    <row r="28" spans="1:21" x14ac:dyDescent="0.25">
      <c r="A28">
        <v>23</v>
      </c>
      <c r="B28" s="285">
        <v>2.8069999999999999</v>
      </c>
      <c r="C28" s="36">
        <v>3.08</v>
      </c>
      <c r="D28" s="36">
        <v>3.2330000000000001</v>
      </c>
      <c r="E28" s="36">
        <v>3.339</v>
      </c>
      <c r="F28" s="36">
        <v>3.42</v>
      </c>
      <c r="G28" s="36">
        <v>3.4849999999999999</v>
      </c>
      <c r="H28" s="36">
        <v>3.5390000000000001</v>
      </c>
      <c r="I28" s="36">
        <v>3.585</v>
      </c>
      <c r="J28" s="36">
        <v>3.6259999999999999</v>
      </c>
      <c r="K28" s="36">
        <v>3.6619999999999999</v>
      </c>
      <c r="L28" s="36">
        <v>3.694</v>
      </c>
      <c r="M28" s="36">
        <v>3.7240000000000002</v>
      </c>
      <c r="N28" s="36">
        <v>3.7509999999999999</v>
      </c>
      <c r="O28" s="36">
        <v>3.7749999999999999</v>
      </c>
      <c r="P28" s="36">
        <v>3.798</v>
      </c>
      <c r="Q28" s="36">
        <v>3.82</v>
      </c>
      <c r="R28" s="36">
        <v>3.84</v>
      </c>
      <c r="S28" s="36">
        <v>3.8580000000000001</v>
      </c>
      <c r="T28" s="36">
        <v>3.8759999999999999</v>
      </c>
      <c r="U28" s="286">
        <v>3.8929999999999998</v>
      </c>
    </row>
    <row r="29" spans="1:21" x14ac:dyDescent="0.25">
      <c r="A29">
        <v>24</v>
      </c>
      <c r="B29" s="285">
        <v>2.7970000000000002</v>
      </c>
      <c r="C29" s="36">
        <v>3.0670000000000002</v>
      </c>
      <c r="D29" s="36">
        <v>3.218</v>
      </c>
      <c r="E29" s="36">
        <v>3.323</v>
      </c>
      <c r="F29" s="36">
        <v>3.403</v>
      </c>
      <c r="G29" s="36">
        <v>3.468</v>
      </c>
      <c r="H29" s="36">
        <v>3.5209999999999999</v>
      </c>
      <c r="I29" s="36">
        <v>3.5670000000000002</v>
      </c>
      <c r="J29" s="36">
        <v>3.6080000000000001</v>
      </c>
      <c r="K29" s="36">
        <v>3.6429999999999998</v>
      </c>
      <c r="L29" s="36">
        <v>3.6749999999999998</v>
      </c>
      <c r="M29" s="36">
        <v>3.7040000000000002</v>
      </c>
      <c r="N29" s="36">
        <v>3.7309999999999999</v>
      </c>
      <c r="O29" s="36">
        <v>3.7549999999999999</v>
      </c>
      <c r="P29" s="36">
        <v>3.778</v>
      </c>
      <c r="Q29" s="36">
        <v>3.7989999999999999</v>
      </c>
      <c r="R29" s="36">
        <v>3.819</v>
      </c>
      <c r="S29" s="36">
        <v>3.8370000000000002</v>
      </c>
      <c r="T29" s="36">
        <v>3.855</v>
      </c>
      <c r="U29" s="286">
        <v>3.871</v>
      </c>
    </row>
    <row r="30" spans="1:21" x14ac:dyDescent="0.25">
      <c r="A30">
        <v>25</v>
      </c>
      <c r="B30" s="285">
        <v>2.7869999999999999</v>
      </c>
      <c r="C30" s="36">
        <v>3.0550000000000002</v>
      </c>
      <c r="D30" s="36">
        <v>3.2050000000000001</v>
      </c>
      <c r="E30" s="36">
        <v>3.3090000000000002</v>
      </c>
      <c r="F30" s="36">
        <v>3.3879999999999999</v>
      </c>
      <c r="G30" s="36">
        <v>3.452</v>
      </c>
      <c r="H30" s="36">
        <v>3.5049999999999999</v>
      </c>
      <c r="I30" s="36">
        <v>3.5510000000000002</v>
      </c>
      <c r="J30" s="36">
        <v>3.5910000000000002</v>
      </c>
      <c r="K30" s="36">
        <v>3.6259999999999999</v>
      </c>
      <c r="L30" s="36">
        <v>3.6579999999999999</v>
      </c>
      <c r="M30" s="36">
        <v>3.6859999999999999</v>
      </c>
      <c r="N30" s="36">
        <v>3.7130000000000001</v>
      </c>
      <c r="O30" s="36">
        <v>3.7370000000000001</v>
      </c>
      <c r="P30" s="36">
        <v>3.7589999999999999</v>
      </c>
      <c r="Q30" s="36">
        <v>3.78</v>
      </c>
      <c r="R30" s="36">
        <v>3.8</v>
      </c>
      <c r="S30" s="36">
        <v>3.8180000000000001</v>
      </c>
      <c r="T30" s="36">
        <v>3.835</v>
      </c>
      <c r="U30" s="286">
        <v>3.8519999999999999</v>
      </c>
    </row>
    <row r="31" spans="1:21" x14ac:dyDescent="0.25">
      <c r="A31">
        <v>26</v>
      </c>
      <c r="B31" s="285">
        <v>2.7789999999999999</v>
      </c>
      <c r="C31" s="36">
        <v>3.044</v>
      </c>
      <c r="D31" s="36">
        <v>3.1930000000000001</v>
      </c>
      <c r="E31" s="36">
        <v>3.2959999999999998</v>
      </c>
      <c r="F31" s="36">
        <v>3.375</v>
      </c>
      <c r="G31" s="36">
        <v>3.4380000000000002</v>
      </c>
      <c r="H31" s="36">
        <v>3.4910000000000001</v>
      </c>
      <c r="I31" s="36">
        <v>3.536</v>
      </c>
      <c r="J31" s="36">
        <v>3.5750000000000002</v>
      </c>
      <c r="K31" s="36">
        <v>3.61</v>
      </c>
      <c r="L31" s="36">
        <v>3.6419999999999999</v>
      </c>
      <c r="M31" s="36">
        <v>3.67</v>
      </c>
      <c r="N31" s="36">
        <v>3.6960000000000002</v>
      </c>
      <c r="O31" s="36">
        <v>3.72</v>
      </c>
      <c r="P31" s="36">
        <v>3.742</v>
      </c>
      <c r="Q31" s="36">
        <v>3.7629999999999999</v>
      </c>
      <c r="R31" s="36">
        <v>3.782</v>
      </c>
      <c r="S31" s="36">
        <v>3.8</v>
      </c>
      <c r="T31" s="36">
        <v>3.8170000000000002</v>
      </c>
      <c r="U31" s="286">
        <v>3.8340000000000001</v>
      </c>
    </row>
    <row r="32" spans="1:21" x14ac:dyDescent="0.25">
      <c r="A32">
        <v>27</v>
      </c>
      <c r="B32" s="285">
        <v>2.7709999999999999</v>
      </c>
      <c r="C32" s="36">
        <v>3.0339999999999998</v>
      </c>
      <c r="D32" s="36">
        <v>3.1819999999999999</v>
      </c>
      <c r="E32" s="36">
        <v>3.2839999999999998</v>
      </c>
      <c r="F32" s="36">
        <v>3.3620000000000001</v>
      </c>
      <c r="G32" s="36">
        <v>3.4249999999999998</v>
      </c>
      <c r="H32" s="36">
        <v>3.4769999999999999</v>
      </c>
      <c r="I32" s="36">
        <v>3.5219999999999998</v>
      </c>
      <c r="J32" s="36">
        <v>3.5609999999999999</v>
      </c>
      <c r="K32" s="36">
        <v>3.5960000000000001</v>
      </c>
      <c r="L32" s="36">
        <v>3.6269999999999998</v>
      </c>
      <c r="M32" s="36">
        <v>3.6549999999999998</v>
      </c>
      <c r="N32" s="36">
        <v>3.681</v>
      </c>
      <c r="O32" s="36">
        <v>3.7050000000000001</v>
      </c>
      <c r="P32" s="36">
        <v>3.7269999999999999</v>
      </c>
      <c r="Q32" s="36">
        <v>3.7469999999999999</v>
      </c>
      <c r="R32" s="36">
        <v>3.766</v>
      </c>
      <c r="S32" s="36">
        <v>3.7839999999999998</v>
      </c>
      <c r="T32" s="36">
        <v>3.8010000000000002</v>
      </c>
      <c r="U32" s="286">
        <v>3.8170000000000002</v>
      </c>
    </row>
    <row r="33" spans="1:21" x14ac:dyDescent="0.25">
      <c r="A33">
        <v>28</v>
      </c>
      <c r="B33" s="285">
        <v>2.7629999999999999</v>
      </c>
      <c r="C33" s="36">
        <v>3.0249999999999999</v>
      </c>
      <c r="D33" s="36">
        <v>3.1720000000000002</v>
      </c>
      <c r="E33" s="36">
        <v>3.2730000000000001</v>
      </c>
      <c r="F33" s="36">
        <v>3.351</v>
      </c>
      <c r="G33" s="36">
        <v>3.4129999999999998</v>
      </c>
      <c r="H33" s="36">
        <v>3.4649999999999999</v>
      </c>
      <c r="I33" s="36">
        <v>3.5089999999999999</v>
      </c>
      <c r="J33" s="36">
        <v>3.548</v>
      </c>
      <c r="K33" s="36">
        <v>3.5819999999999999</v>
      </c>
      <c r="L33" s="36">
        <v>3.613</v>
      </c>
      <c r="M33" s="36">
        <v>3.641</v>
      </c>
      <c r="N33" s="36">
        <v>3.6669999999999998</v>
      </c>
      <c r="O33" s="36">
        <v>3.69</v>
      </c>
      <c r="P33" s="36">
        <v>3.7120000000000002</v>
      </c>
      <c r="Q33" s="36">
        <v>3.7320000000000002</v>
      </c>
      <c r="R33" s="36">
        <v>3.7509999999999999</v>
      </c>
      <c r="S33" s="36">
        <v>3.7690000000000001</v>
      </c>
      <c r="T33" s="36">
        <v>3.786</v>
      </c>
      <c r="U33" s="286">
        <v>3.802</v>
      </c>
    </row>
    <row r="34" spans="1:21" x14ac:dyDescent="0.25">
      <c r="A34">
        <v>29</v>
      </c>
      <c r="B34" s="285">
        <v>2.7559999999999998</v>
      </c>
      <c r="C34" s="36">
        <v>3.0169999999999999</v>
      </c>
      <c r="D34" s="36">
        <v>3.1619999999999999</v>
      </c>
      <c r="E34" s="36">
        <v>3.2629999999999999</v>
      </c>
      <c r="F34" s="36">
        <v>3.34</v>
      </c>
      <c r="G34" s="36">
        <v>3.4020000000000001</v>
      </c>
      <c r="H34" s="36">
        <v>3.4529999999999998</v>
      </c>
      <c r="I34" s="36">
        <v>3.4969999999999999</v>
      </c>
      <c r="J34" s="36">
        <v>3.536</v>
      </c>
      <c r="K34" s="36">
        <v>3.57</v>
      </c>
      <c r="L34" s="36">
        <v>3.6</v>
      </c>
      <c r="M34" s="36">
        <v>3.6280000000000001</v>
      </c>
      <c r="N34" s="36">
        <v>3.6539999999999999</v>
      </c>
      <c r="O34" s="36">
        <v>3.677</v>
      </c>
      <c r="P34" s="36">
        <v>3.6989999999999998</v>
      </c>
      <c r="Q34" s="36">
        <v>3.7189999999999999</v>
      </c>
      <c r="R34" s="36">
        <v>3.738</v>
      </c>
      <c r="S34" s="36">
        <v>3.7549999999999999</v>
      </c>
      <c r="T34" s="36">
        <v>3.7719999999999998</v>
      </c>
      <c r="U34" s="286">
        <v>3.7879999999999998</v>
      </c>
    </row>
    <row r="35" spans="1:21" x14ac:dyDescent="0.25">
      <c r="A35">
        <v>30</v>
      </c>
      <c r="B35" s="285">
        <v>2.75</v>
      </c>
      <c r="C35" s="36">
        <v>3.0089999999999999</v>
      </c>
      <c r="D35" s="36">
        <v>3.1539999999999999</v>
      </c>
      <c r="E35" s="36">
        <v>3.254</v>
      </c>
      <c r="F35" s="36">
        <v>3.33</v>
      </c>
      <c r="G35" s="36">
        <v>3.391</v>
      </c>
      <c r="H35" s="36">
        <v>3.4420000000000002</v>
      </c>
      <c r="I35" s="36">
        <v>3.4860000000000002</v>
      </c>
      <c r="J35" s="36">
        <v>3.524</v>
      </c>
      <c r="K35" s="36">
        <v>3.5579999999999998</v>
      </c>
      <c r="L35" s="36">
        <v>3.589</v>
      </c>
      <c r="M35" s="36">
        <v>3.6160000000000001</v>
      </c>
      <c r="N35" s="36">
        <v>3.641</v>
      </c>
      <c r="O35" s="36">
        <v>3.665</v>
      </c>
      <c r="P35" s="36">
        <v>3.6859999999999999</v>
      </c>
      <c r="Q35" s="36">
        <v>3.706</v>
      </c>
      <c r="R35" s="36">
        <v>3.7250000000000001</v>
      </c>
      <c r="S35" s="36">
        <v>3.7429999999999999</v>
      </c>
      <c r="T35" s="36">
        <v>3.7589999999999999</v>
      </c>
      <c r="U35" s="286">
        <v>3.7749999999999999</v>
      </c>
    </row>
    <row r="36" spans="1:21" x14ac:dyDescent="0.25">
      <c r="A36">
        <v>31</v>
      </c>
      <c r="B36" s="285">
        <v>2.7440000000000002</v>
      </c>
      <c r="C36" s="36">
        <v>3.0009999999999999</v>
      </c>
      <c r="D36" s="36">
        <v>3.145</v>
      </c>
      <c r="E36" s="36">
        <v>3.2450000000000001</v>
      </c>
      <c r="F36" s="36">
        <v>3.3210000000000002</v>
      </c>
      <c r="G36" s="36">
        <v>3.3809999999999998</v>
      </c>
      <c r="H36" s="36">
        <v>3.4319999999999999</v>
      </c>
      <c r="I36" s="36">
        <v>3.476</v>
      </c>
      <c r="J36" s="36">
        <v>3.5139999999999998</v>
      </c>
      <c r="K36" s="36">
        <v>3.5470000000000002</v>
      </c>
      <c r="L36" s="36">
        <v>3.5779999999999998</v>
      </c>
      <c r="M36" s="36">
        <v>3.605</v>
      </c>
      <c r="N36" s="36">
        <v>3.63</v>
      </c>
      <c r="O36" s="36">
        <v>3.653</v>
      </c>
      <c r="P36" s="36">
        <v>3.6749999999999998</v>
      </c>
      <c r="Q36" s="36">
        <v>3.6949999999999998</v>
      </c>
      <c r="R36" s="36">
        <v>3.7130000000000001</v>
      </c>
      <c r="S36" s="36">
        <v>3.7309999999999999</v>
      </c>
      <c r="T36" s="36">
        <v>3.7469999999999999</v>
      </c>
      <c r="U36" s="286">
        <v>3.7629999999999999</v>
      </c>
    </row>
    <row r="37" spans="1:21" x14ac:dyDescent="0.25">
      <c r="A37">
        <v>32</v>
      </c>
      <c r="B37" s="285">
        <v>2.738</v>
      </c>
      <c r="C37" s="36">
        <v>2.9940000000000002</v>
      </c>
      <c r="D37" s="36">
        <v>3.1379999999999999</v>
      </c>
      <c r="E37" s="36">
        <v>3.2370000000000001</v>
      </c>
      <c r="F37" s="36">
        <v>3.3119999999999998</v>
      </c>
      <c r="G37" s="36">
        <v>3.3719999999999999</v>
      </c>
      <c r="H37" s="36">
        <v>3.423</v>
      </c>
      <c r="I37" s="36">
        <v>3.4660000000000002</v>
      </c>
      <c r="J37" s="36">
        <v>3.504</v>
      </c>
      <c r="K37" s="36">
        <v>3.5369999999999999</v>
      </c>
      <c r="L37" s="36">
        <v>3.5670000000000002</v>
      </c>
      <c r="M37" s="36">
        <v>3.5950000000000002</v>
      </c>
      <c r="N37" s="36">
        <v>3.62</v>
      </c>
      <c r="O37" s="36">
        <v>3.6429999999999998</v>
      </c>
      <c r="P37" s="36">
        <v>3.6640000000000001</v>
      </c>
      <c r="Q37" s="36">
        <v>3.6840000000000002</v>
      </c>
      <c r="R37" s="36">
        <v>3.702</v>
      </c>
      <c r="S37" s="36">
        <v>3.7189999999999999</v>
      </c>
      <c r="T37" s="36">
        <v>3.7360000000000002</v>
      </c>
      <c r="U37" s="286">
        <v>3.7509999999999999</v>
      </c>
    </row>
    <row r="38" spans="1:21" x14ac:dyDescent="0.25">
      <c r="A38">
        <v>33</v>
      </c>
      <c r="B38" s="285">
        <v>2.7330000000000001</v>
      </c>
      <c r="C38" s="36">
        <v>2.988</v>
      </c>
      <c r="D38" s="36">
        <v>3.1309999999999998</v>
      </c>
      <c r="E38" s="36">
        <v>3.2290000000000001</v>
      </c>
      <c r="F38" s="36">
        <v>3.3039999999999998</v>
      </c>
      <c r="G38" s="36">
        <v>3.3639999999999999</v>
      </c>
      <c r="H38" s="36">
        <v>3.4140000000000001</v>
      </c>
      <c r="I38" s="36">
        <v>3.4569999999999999</v>
      </c>
      <c r="J38" s="36">
        <v>3.4950000000000001</v>
      </c>
      <c r="K38" s="36">
        <v>3.528</v>
      </c>
      <c r="L38" s="36">
        <v>3.5579999999999998</v>
      </c>
      <c r="M38" s="36">
        <v>3.585</v>
      </c>
      <c r="N38" s="36">
        <v>3.61</v>
      </c>
      <c r="O38" s="36">
        <v>3.633</v>
      </c>
      <c r="P38" s="36">
        <v>3.6539999999999999</v>
      </c>
      <c r="Q38" s="36">
        <v>3.673</v>
      </c>
      <c r="R38" s="36">
        <v>3.6920000000000002</v>
      </c>
      <c r="S38" s="36">
        <v>3.7090000000000001</v>
      </c>
      <c r="T38" s="36">
        <v>3.7250000000000001</v>
      </c>
      <c r="U38" s="286">
        <v>3.74</v>
      </c>
    </row>
    <row r="39" spans="1:21" x14ac:dyDescent="0.25">
      <c r="A39">
        <v>34</v>
      </c>
      <c r="B39" s="285">
        <v>2.7280000000000002</v>
      </c>
      <c r="C39" s="36">
        <v>2.9820000000000002</v>
      </c>
      <c r="D39" s="36">
        <v>3.1240000000000001</v>
      </c>
      <c r="E39" s="36">
        <v>3.222</v>
      </c>
      <c r="F39" s="36">
        <v>3.2959999999999998</v>
      </c>
      <c r="G39" s="36">
        <v>3.3559999999999999</v>
      </c>
      <c r="H39" s="36">
        <v>3.4060000000000001</v>
      </c>
      <c r="I39" s="36">
        <v>3.4489999999999998</v>
      </c>
      <c r="J39" s="36">
        <v>3.4860000000000002</v>
      </c>
      <c r="K39" s="36">
        <v>3.5190000000000001</v>
      </c>
      <c r="L39" s="36">
        <v>3.5489999999999999</v>
      </c>
      <c r="M39" s="36">
        <v>3.5760000000000001</v>
      </c>
      <c r="N39" s="36">
        <v>3.601</v>
      </c>
      <c r="O39" s="36">
        <v>3.6230000000000002</v>
      </c>
      <c r="P39" s="36">
        <v>3.6440000000000001</v>
      </c>
      <c r="Q39" s="36">
        <v>3.6640000000000001</v>
      </c>
      <c r="R39" s="36">
        <v>3.6819999999999999</v>
      </c>
      <c r="S39" s="36">
        <v>3.6989999999999998</v>
      </c>
      <c r="T39" s="36">
        <v>3.7149999999999999</v>
      </c>
      <c r="U39" s="286">
        <v>3.73</v>
      </c>
    </row>
    <row r="40" spans="1:21" x14ac:dyDescent="0.25">
      <c r="A40">
        <v>35</v>
      </c>
      <c r="B40" s="285">
        <v>2.7240000000000002</v>
      </c>
      <c r="C40" s="36">
        <v>2.976</v>
      </c>
      <c r="D40" s="36">
        <v>3.1179999999999999</v>
      </c>
      <c r="E40" s="36">
        <v>3.2149999999999999</v>
      </c>
      <c r="F40" s="36">
        <v>3.2890000000000001</v>
      </c>
      <c r="G40" s="36">
        <v>3.3490000000000002</v>
      </c>
      <c r="H40" s="36">
        <v>3.3980000000000001</v>
      </c>
      <c r="I40" s="36">
        <v>3.4409999999999998</v>
      </c>
      <c r="J40" s="36">
        <v>3.4780000000000002</v>
      </c>
      <c r="K40" s="36">
        <v>3.5110000000000001</v>
      </c>
      <c r="L40" s="36">
        <v>3.5409999999999999</v>
      </c>
      <c r="M40" s="36">
        <v>3.5670000000000002</v>
      </c>
      <c r="N40" s="36">
        <v>3.5920000000000001</v>
      </c>
      <c r="O40" s="36">
        <v>3.6139999999999999</v>
      </c>
      <c r="P40" s="36">
        <v>3.6349999999999998</v>
      </c>
      <c r="Q40" s="36">
        <v>3.6549999999999998</v>
      </c>
      <c r="R40" s="36">
        <v>3.673</v>
      </c>
      <c r="S40" s="36">
        <v>3.69</v>
      </c>
      <c r="T40" s="36">
        <v>3.706</v>
      </c>
      <c r="U40" s="286">
        <v>3.7210000000000001</v>
      </c>
    </row>
    <row r="41" spans="1:21" x14ac:dyDescent="0.25">
      <c r="A41">
        <v>36</v>
      </c>
      <c r="B41" s="285">
        <v>2.7189999999999999</v>
      </c>
      <c r="C41" s="36">
        <v>2.9710000000000001</v>
      </c>
      <c r="D41" s="36">
        <v>3.1120000000000001</v>
      </c>
      <c r="E41" s="36">
        <v>3.2090000000000001</v>
      </c>
      <c r="F41" s="36">
        <v>3.282</v>
      </c>
      <c r="G41" s="36">
        <v>3.3420000000000001</v>
      </c>
      <c r="H41" s="36">
        <v>3.391</v>
      </c>
      <c r="I41" s="36">
        <v>3.4329999999999998</v>
      </c>
      <c r="J41" s="36">
        <v>3.47</v>
      </c>
      <c r="K41" s="36">
        <v>3.5030000000000001</v>
      </c>
      <c r="L41" s="36">
        <v>3.5329999999999999</v>
      </c>
      <c r="M41" s="36">
        <v>3.5590000000000002</v>
      </c>
      <c r="N41" s="36">
        <v>3.5840000000000001</v>
      </c>
      <c r="O41" s="36">
        <v>3.6059999999999999</v>
      </c>
      <c r="P41" s="36">
        <v>3.6269999999999998</v>
      </c>
      <c r="Q41" s="36">
        <v>3.6459999999999999</v>
      </c>
      <c r="R41" s="36">
        <v>3.6640000000000001</v>
      </c>
      <c r="S41" s="36">
        <v>3.681</v>
      </c>
      <c r="T41" s="36">
        <v>3.6970000000000001</v>
      </c>
      <c r="U41" s="286">
        <v>3.7120000000000002</v>
      </c>
    </row>
    <row r="42" spans="1:21" x14ac:dyDescent="0.25">
      <c r="A42">
        <v>37</v>
      </c>
      <c r="B42" s="285">
        <v>2.7149999999999999</v>
      </c>
      <c r="C42" s="36">
        <v>2.9660000000000002</v>
      </c>
      <c r="D42" s="36">
        <v>3.1059999999999999</v>
      </c>
      <c r="E42" s="36">
        <v>3.2029999999999998</v>
      </c>
      <c r="F42" s="36">
        <v>3.2759999999999998</v>
      </c>
      <c r="G42" s="36">
        <v>3.335</v>
      </c>
      <c r="H42" s="36">
        <v>3.3839999999999999</v>
      </c>
      <c r="I42" s="36">
        <v>3.4260000000000002</v>
      </c>
      <c r="J42" s="36">
        <v>3.4630000000000001</v>
      </c>
      <c r="K42" s="36">
        <v>3.496</v>
      </c>
      <c r="L42" s="36">
        <v>3.5249999999999999</v>
      </c>
      <c r="M42" s="36">
        <v>3.552</v>
      </c>
      <c r="N42" s="36">
        <v>3.5760000000000001</v>
      </c>
      <c r="O42" s="36">
        <v>3.5979999999999999</v>
      </c>
      <c r="P42" s="36">
        <v>3.6190000000000002</v>
      </c>
      <c r="Q42" s="36">
        <v>3.6379999999999999</v>
      </c>
      <c r="R42" s="36">
        <v>3.6560000000000001</v>
      </c>
      <c r="S42" s="36">
        <v>3.673</v>
      </c>
      <c r="T42" s="36">
        <v>3.6890000000000001</v>
      </c>
      <c r="U42" s="286">
        <v>3.7040000000000002</v>
      </c>
    </row>
    <row r="43" spans="1:21" x14ac:dyDescent="0.25">
      <c r="A43">
        <v>38</v>
      </c>
      <c r="B43" s="285">
        <v>2.7120000000000002</v>
      </c>
      <c r="C43" s="36">
        <v>2.9609999999999999</v>
      </c>
      <c r="D43" s="36">
        <v>3.101</v>
      </c>
      <c r="E43" s="36">
        <v>3.1970000000000001</v>
      </c>
      <c r="F43" s="36">
        <v>3.27</v>
      </c>
      <c r="G43" s="36">
        <v>3.3290000000000002</v>
      </c>
      <c r="H43" s="36">
        <v>3.3780000000000001</v>
      </c>
      <c r="I43" s="36">
        <v>3.42</v>
      </c>
      <c r="J43" s="36">
        <v>3.456</v>
      </c>
      <c r="K43" s="36">
        <v>3.4889999999999999</v>
      </c>
      <c r="L43" s="36">
        <v>3.5179999999999998</v>
      </c>
      <c r="M43" s="36">
        <v>3.544</v>
      </c>
      <c r="N43" s="36">
        <v>3.569</v>
      </c>
      <c r="O43" s="36">
        <v>3.5910000000000002</v>
      </c>
      <c r="P43" s="36">
        <v>3.6110000000000002</v>
      </c>
      <c r="Q43" s="36">
        <v>3.6309999999999998</v>
      </c>
      <c r="R43" s="36">
        <v>3.649</v>
      </c>
      <c r="S43" s="36">
        <v>3.665</v>
      </c>
      <c r="T43" s="36">
        <v>3.681</v>
      </c>
      <c r="U43" s="286">
        <v>3.6960000000000002</v>
      </c>
    </row>
    <row r="44" spans="1:21" x14ac:dyDescent="0.25">
      <c r="A44">
        <v>39</v>
      </c>
      <c r="B44" s="285">
        <v>2.7080000000000002</v>
      </c>
      <c r="C44" s="36">
        <v>2.9569999999999999</v>
      </c>
      <c r="D44" s="36">
        <v>3.0960000000000001</v>
      </c>
      <c r="E44" s="36">
        <v>3.1920000000000002</v>
      </c>
      <c r="F44" s="36">
        <v>3.2639999999999998</v>
      </c>
      <c r="G44" s="36">
        <v>3.323</v>
      </c>
      <c r="H44" s="36">
        <v>3.3719999999999999</v>
      </c>
      <c r="I44" s="36">
        <v>3.4129999999999998</v>
      </c>
      <c r="J44" s="36">
        <v>3.45</v>
      </c>
      <c r="K44" s="36">
        <v>3.4820000000000002</v>
      </c>
      <c r="L44" s="36">
        <v>3.5110000000000001</v>
      </c>
      <c r="M44" s="36">
        <v>3.5379999999999998</v>
      </c>
      <c r="N44" s="36">
        <v>3.5619999999999998</v>
      </c>
      <c r="O44" s="36">
        <v>3.5840000000000001</v>
      </c>
      <c r="P44" s="36">
        <v>3.6040000000000001</v>
      </c>
      <c r="Q44" s="36">
        <v>3.6230000000000002</v>
      </c>
      <c r="R44" s="36">
        <v>3.641</v>
      </c>
      <c r="S44" s="36">
        <v>3.6579999999999999</v>
      </c>
      <c r="T44" s="36">
        <v>3.6739999999999999</v>
      </c>
      <c r="U44" s="286">
        <v>3.6890000000000001</v>
      </c>
    </row>
    <row r="45" spans="1:21" x14ac:dyDescent="0.25">
      <c r="A45">
        <v>40</v>
      </c>
      <c r="B45" s="285">
        <v>2.7040000000000002</v>
      </c>
      <c r="C45" s="36">
        <v>2.952</v>
      </c>
      <c r="D45" s="36">
        <v>3.0910000000000002</v>
      </c>
      <c r="E45" s="36">
        <v>3.1859999999999999</v>
      </c>
      <c r="F45" s="36">
        <v>3.2589999999999999</v>
      </c>
      <c r="G45" s="36">
        <v>3.3170000000000002</v>
      </c>
      <c r="H45" s="36">
        <v>3.3660000000000001</v>
      </c>
      <c r="I45" s="36">
        <v>3.4079999999999999</v>
      </c>
      <c r="J45" s="36">
        <v>3.444</v>
      </c>
      <c r="K45" s="36">
        <v>3.476</v>
      </c>
      <c r="L45" s="36">
        <v>3.5049999999999999</v>
      </c>
      <c r="M45" s="36">
        <v>3.5310000000000001</v>
      </c>
      <c r="N45" s="36">
        <v>3.5550000000000002</v>
      </c>
      <c r="O45" s="36">
        <v>3.577</v>
      </c>
      <c r="P45" s="36">
        <v>3.5979999999999999</v>
      </c>
      <c r="Q45" s="36">
        <v>3.617</v>
      </c>
      <c r="R45" s="36">
        <v>3.6339999999999999</v>
      </c>
      <c r="S45" s="36">
        <v>3.6509999999999998</v>
      </c>
      <c r="T45" s="36">
        <v>3.6669999999999998</v>
      </c>
      <c r="U45" s="286">
        <v>3.6819999999999999</v>
      </c>
    </row>
    <row r="46" spans="1:21" x14ac:dyDescent="0.25">
      <c r="A46">
        <v>48</v>
      </c>
      <c r="B46" s="285">
        <v>2.6819999999999999</v>
      </c>
      <c r="C46" s="36">
        <v>2.9249999999999998</v>
      </c>
      <c r="D46" s="36">
        <v>3.06</v>
      </c>
      <c r="E46" s="36">
        <v>3.1539999999999999</v>
      </c>
      <c r="F46" s="36">
        <v>3.2240000000000002</v>
      </c>
      <c r="G46" s="36">
        <v>3.2810000000000001</v>
      </c>
      <c r="H46" s="36">
        <v>3.3290000000000002</v>
      </c>
      <c r="I46" s="36">
        <v>3.3690000000000002</v>
      </c>
      <c r="J46" s="36">
        <v>3.4049999999999998</v>
      </c>
      <c r="K46" s="36">
        <v>3.4359999999999999</v>
      </c>
      <c r="L46" s="36">
        <v>3.464</v>
      </c>
      <c r="M46" s="36">
        <v>3.49</v>
      </c>
      <c r="N46" s="36">
        <v>3.5129999999999999</v>
      </c>
      <c r="O46" s="36">
        <v>3.5350000000000001</v>
      </c>
      <c r="P46" s="36">
        <v>3.5550000000000002</v>
      </c>
      <c r="Q46" s="36">
        <v>3.573</v>
      </c>
      <c r="R46" s="36">
        <v>3.59</v>
      </c>
      <c r="S46" s="36">
        <v>3.6070000000000002</v>
      </c>
      <c r="T46" s="36">
        <v>3.6219999999999999</v>
      </c>
      <c r="U46" s="286">
        <v>3.6360000000000001</v>
      </c>
    </row>
    <row r="47" spans="1:21" x14ac:dyDescent="0.25">
      <c r="A47">
        <v>60</v>
      </c>
      <c r="B47" s="285">
        <v>2.66</v>
      </c>
      <c r="C47" s="36">
        <v>2.8980000000000001</v>
      </c>
      <c r="D47" s="36">
        <v>3.03</v>
      </c>
      <c r="E47" s="36">
        <v>3.121</v>
      </c>
      <c r="F47" s="36">
        <v>3.19</v>
      </c>
      <c r="G47" s="36">
        <v>3.246</v>
      </c>
      <c r="H47" s="36">
        <v>3.2919999999999998</v>
      </c>
      <c r="I47" s="36">
        <v>3.3319999999999999</v>
      </c>
      <c r="J47" s="36">
        <v>3.3660000000000001</v>
      </c>
      <c r="K47" s="36">
        <v>3.3969999999999998</v>
      </c>
      <c r="L47" s="36">
        <v>3.4239999999999999</v>
      </c>
      <c r="M47" s="36">
        <v>3.4489999999999998</v>
      </c>
      <c r="N47" s="36">
        <v>3.472</v>
      </c>
      <c r="O47" s="36">
        <v>3.4929999999999999</v>
      </c>
      <c r="P47" s="36">
        <v>3.512</v>
      </c>
      <c r="Q47" s="36">
        <v>3.53</v>
      </c>
      <c r="R47" s="36">
        <v>3.5470000000000002</v>
      </c>
      <c r="S47" s="36">
        <v>3.5630000000000002</v>
      </c>
      <c r="T47" s="36">
        <v>3.5779999999999998</v>
      </c>
      <c r="U47" s="286">
        <v>3.5920000000000001</v>
      </c>
    </row>
    <row r="48" spans="1:21" x14ac:dyDescent="0.25">
      <c r="A48">
        <v>80</v>
      </c>
      <c r="B48" s="285">
        <v>2.6389999999999998</v>
      </c>
      <c r="C48" s="36">
        <v>2.871</v>
      </c>
      <c r="D48" s="36">
        <v>3.0009999999999999</v>
      </c>
      <c r="E48" s="36">
        <v>3.09</v>
      </c>
      <c r="F48" s="36">
        <v>3.157</v>
      </c>
      <c r="G48" s="36">
        <v>3.2109999999999999</v>
      </c>
      <c r="H48" s="36">
        <v>3.2559999999999998</v>
      </c>
      <c r="I48" s="36">
        <v>3.2949999999999999</v>
      </c>
      <c r="J48" s="36">
        <v>3.3279999999999998</v>
      </c>
      <c r="K48" s="36">
        <v>3.3580000000000001</v>
      </c>
      <c r="L48" s="36">
        <v>3.3849999999999998</v>
      </c>
      <c r="M48" s="36">
        <v>3.4089999999999998</v>
      </c>
      <c r="N48" s="36">
        <v>3.431</v>
      </c>
      <c r="O48" s="36">
        <v>3.452</v>
      </c>
      <c r="P48" s="36">
        <v>3.4710000000000001</v>
      </c>
      <c r="Q48" s="36">
        <v>3.488</v>
      </c>
      <c r="R48" s="36">
        <v>3.504</v>
      </c>
      <c r="S48" s="36">
        <v>3.52</v>
      </c>
      <c r="T48" s="36">
        <v>3.5339999999999998</v>
      </c>
      <c r="U48" s="286">
        <v>3.548</v>
      </c>
    </row>
    <row r="49" spans="1:21" x14ac:dyDescent="0.25">
      <c r="A49" s="543">
        <v>120</v>
      </c>
      <c r="B49" s="285">
        <v>2.617</v>
      </c>
      <c r="C49" s="36">
        <v>2.8450000000000002</v>
      </c>
      <c r="D49" s="36">
        <v>2.972</v>
      </c>
      <c r="E49" s="36">
        <v>3.0590000000000002</v>
      </c>
      <c r="F49" s="36">
        <v>3.1240000000000001</v>
      </c>
      <c r="G49" s="36">
        <v>3.177</v>
      </c>
      <c r="H49" s="36">
        <v>3.2210000000000001</v>
      </c>
      <c r="I49" s="36">
        <v>3.2589999999999999</v>
      </c>
      <c r="J49" s="36">
        <v>3.2909999999999999</v>
      </c>
      <c r="K49" s="36">
        <v>3.32</v>
      </c>
      <c r="L49" s="36">
        <v>3.3460000000000001</v>
      </c>
      <c r="M49" s="36">
        <v>3.37</v>
      </c>
      <c r="N49" s="36">
        <v>3.3919999999999999</v>
      </c>
      <c r="O49" s="36">
        <v>3.411</v>
      </c>
      <c r="P49" s="36">
        <v>3.43</v>
      </c>
      <c r="Q49" s="36">
        <v>3.4470000000000001</v>
      </c>
      <c r="R49" s="36">
        <v>3.4630000000000001</v>
      </c>
      <c r="S49" s="36">
        <v>3.4780000000000002</v>
      </c>
      <c r="T49" s="36">
        <v>3.492</v>
      </c>
      <c r="U49" s="286">
        <v>3.5049999999999999</v>
      </c>
    </row>
    <row r="50" spans="1:21" x14ac:dyDescent="0.25">
      <c r="A50" s="543">
        <v>240</v>
      </c>
      <c r="B50" s="285">
        <v>2.5960000000000001</v>
      </c>
      <c r="C50" s="36">
        <v>2.82</v>
      </c>
      <c r="D50" s="36">
        <v>2.9430000000000001</v>
      </c>
      <c r="E50" s="36">
        <v>3.028</v>
      </c>
      <c r="F50" s="36">
        <v>3.0920000000000001</v>
      </c>
      <c r="G50" s="36">
        <v>3.1429999999999998</v>
      </c>
      <c r="H50" s="36">
        <v>3.1859999999999999</v>
      </c>
      <c r="I50" s="36">
        <v>3.2229999999999999</v>
      </c>
      <c r="J50" s="36">
        <v>3.2549999999999999</v>
      </c>
      <c r="K50" s="36">
        <v>3.2829999999999999</v>
      </c>
      <c r="L50" s="36">
        <v>3.3079999999999998</v>
      </c>
      <c r="M50" s="36">
        <v>3.331</v>
      </c>
      <c r="N50" s="36">
        <v>3.3519999999999999</v>
      </c>
      <c r="O50" s="36">
        <v>3.3719999999999999</v>
      </c>
      <c r="P50" s="36">
        <v>3.3889999999999998</v>
      </c>
      <c r="Q50" s="36">
        <v>3.4060000000000001</v>
      </c>
      <c r="R50" s="36">
        <v>3.4220000000000002</v>
      </c>
      <c r="S50" s="36">
        <v>3.4359999999999999</v>
      </c>
      <c r="T50" s="36">
        <v>3.45</v>
      </c>
      <c r="U50" s="286">
        <v>3.4630000000000001</v>
      </c>
    </row>
    <row r="51" spans="1:21" x14ac:dyDescent="0.25">
      <c r="A51" s="544" t="s">
        <v>66</v>
      </c>
      <c r="B51" s="287">
        <v>2.5760000000000001</v>
      </c>
      <c r="C51" s="483">
        <v>2.794</v>
      </c>
      <c r="D51" s="483">
        <v>2.915</v>
      </c>
      <c r="E51" s="483">
        <v>2.9980000000000002</v>
      </c>
      <c r="F51" s="483">
        <v>3.06</v>
      </c>
      <c r="G51" s="483">
        <v>3.11</v>
      </c>
      <c r="H51" s="483">
        <v>3.1520000000000001</v>
      </c>
      <c r="I51" s="483">
        <v>3.1880000000000002</v>
      </c>
      <c r="J51" s="483">
        <v>3.2189999999999999</v>
      </c>
      <c r="K51" s="483">
        <v>3.246</v>
      </c>
      <c r="L51" s="483">
        <v>3.2709999999999999</v>
      </c>
      <c r="M51" s="483">
        <v>3.2930000000000001</v>
      </c>
      <c r="N51" s="483">
        <v>3.3140000000000001</v>
      </c>
      <c r="O51" s="483">
        <v>3.3330000000000002</v>
      </c>
      <c r="P51" s="483">
        <v>3.35</v>
      </c>
      <c r="Q51" s="483">
        <v>3.3660000000000001</v>
      </c>
      <c r="R51" s="483">
        <v>3.3809999999999998</v>
      </c>
      <c r="S51" s="483">
        <v>3.395</v>
      </c>
      <c r="T51" s="483">
        <v>3.4089999999999998</v>
      </c>
      <c r="U51" s="288">
        <v>3.4209999999999998</v>
      </c>
    </row>
    <row r="53" spans="1:21" x14ac:dyDescent="0.25">
      <c r="A53" s="1" t="s">
        <v>70</v>
      </c>
      <c r="B53" s="1">
        <v>0.05</v>
      </c>
    </row>
    <row r="55" spans="1:21" x14ac:dyDescent="0.25">
      <c r="A55" s="544" t="s">
        <v>1245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  <c r="U55">
        <v>21</v>
      </c>
    </row>
    <row r="56" spans="1:21" x14ac:dyDescent="0.25">
      <c r="A56" s="543">
        <v>1</v>
      </c>
      <c r="B56" s="541">
        <v>12.706</v>
      </c>
      <c r="C56" s="481">
        <v>17.369</v>
      </c>
      <c r="D56" s="481">
        <v>20.033999999999999</v>
      </c>
      <c r="E56" s="481">
        <v>21.85</v>
      </c>
      <c r="F56" s="481">
        <v>23.209</v>
      </c>
      <c r="G56" s="481">
        <v>24.285</v>
      </c>
      <c r="H56" s="481">
        <v>25.170999999999999</v>
      </c>
      <c r="I56" s="481">
        <v>25.922000000000001</v>
      </c>
      <c r="J56" s="481">
        <v>26.57</v>
      </c>
      <c r="K56" s="481">
        <v>27.140999999999998</v>
      </c>
      <c r="L56" s="481">
        <v>27.649000000000001</v>
      </c>
      <c r="M56" s="481">
        <v>28.106000000000002</v>
      </c>
      <c r="N56" s="481">
        <v>28.521000000000001</v>
      </c>
      <c r="O56" s="481">
        <v>28.901</v>
      </c>
      <c r="P56" s="481">
        <v>29.251000000000001</v>
      </c>
      <c r="Q56" s="481">
        <v>29.574999999999999</v>
      </c>
      <c r="R56" s="481">
        <v>29.876000000000001</v>
      </c>
      <c r="S56" s="481">
        <v>30.158000000000001</v>
      </c>
      <c r="T56" s="481">
        <v>30.422000000000001</v>
      </c>
      <c r="U56" s="542">
        <v>30.670999999999999</v>
      </c>
    </row>
    <row r="57" spans="1:21" x14ac:dyDescent="0.25">
      <c r="A57" s="543">
        <v>2</v>
      </c>
      <c r="B57" s="285">
        <v>4.3029999999999999</v>
      </c>
      <c r="C57" s="36">
        <v>5.4180000000000001</v>
      </c>
      <c r="D57" s="36">
        <v>6.0650000000000004</v>
      </c>
      <c r="E57" s="36">
        <v>6.5129999999999999</v>
      </c>
      <c r="F57" s="36">
        <v>6.8520000000000003</v>
      </c>
      <c r="G57" s="36">
        <v>7.1239999999999997</v>
      </c>
      <c r="H57" s="36">
        <v>7.3490000000000002</v>
      </c>
      <c r="I57" s="36">
        <v>7.54</v>
      </c>
      <c r="J57" s="36">
        <v>7.7069999999999999</v>
      </c>
      <c r="K57" s="36">
        <v>7.8529999999999998</v>
      </c>
      <c r="L57" s="36">
        <v>7.9850000000000003</v>
      </c>
      <c r="M57" s="36">
        <v>8.1029999999999998</v>
      </c>
      <c r="N57" s="36">
        <v>8.2110000000000003</v>
      </c>
      <c r="O57" s="36">
        <v>8.31</v>
      </c>
      <c r="P57" s="36">
        <v>8.4009999999999998</v>
      </c>
      <c r="Q57" s="36">
        <v>8.4849999999999994</v>
      </c>
      <c r="R57" s="36">
        <v>8.5640000000000001</v>
      </c>
      <c r="S57" s="36">
        <v>8.6379999999999999</v>
      </c>
      <c r="T57" s="36">
        <v>8.7070000000000007</v>
      </c>
      <c r="U57" s="286">
        <v>8.7729999999999997</v>
      </c>
    </row>
    <row r="58" spans="1:21" x14ac:dyDescent="0.25">
      <c r="A58" s="543">
        <v>3</v>
      </c>
      <c r="B58" s="285">
        <v>3.1819999999999999</v>
      </c>
      <c r="C58" s="36">
        <v>3.867</v>
      </c>
      <c r="D58" s="36">
        <v>4.2629999999999999</v>
      </c>
      <c r="E58" s="36">
        <v>4.5380000000000003</v>
      </c>
      <c r="F58" s="36">
        <v>4.7480000000000002</v>
      </c>
      <c r="G58" s="36">
        <v>4.9160000000000004</v>
      </c>
      <c r="H58" s="36">
        <v>5.056</v>
      </c>
      <c r="I58" s="36">
        <v>5.1760000000000002</v>
      </c>
      <c r="J58" s="36">
        <v>5.28</v>
      </c>
      <c r="K58" s="36">
        <v>5.3719999999999999</v>
      </c>
      <c r="L58" s="36">
        <v>5.4550000000000001</v>
      </c>
      <c r="M58" s="36">
        <v>5.5289999999999999</v>
      </c>
      <c r="N58" s="36">
        <v>5.5970000000000004</v>
      </c>
      <c r="O58" s="36">
        <v>5.66</v>
      </c>
      <c r="P58" s="36">
        <v>5.7169999999999996</v>
      </c>
      <c r="Q58" s="36">
        <v>5.7709999999999999</v>
      </c>
      <c r="R58" s="36">
        <v>5.8209999999999997</v>
      </c>
      <c r="S58" s="36">
        <v>5.8680000000000003</v>
      </c>
      <c r="T58" s="36">
        <v>5.9119999999999999</v>
      </c>
      <c r="U58" s="286">
        <v>5.9530000000000003</v>
      </c>
    </row>
    <row r="59" spans="1:21" x14ac:dyDescent="0.25">
      <c r="A59" s="543">
        <v>4</v>
      </c>
      <c r="B59" s="285">
        <v>2.7759999999999998</v>
      </c>
      <c r="C59" s="36">
        <v>3.31</v>
      </c>
      <c r="D59" s="36">
        <v>3.6179999999999999</v>
      </c>
      <c r="E59" s="36">
        <v>3.8319999999999999</v>
      </c>
      <c r="F59" s="36">
        <v>3.9940000000000002</v>
      </c>
      <c r="G59" s="36">
        <v>4.125</v>
      </c>
      <c r="H59" s="36">
        <v>4.2350000000000003</v>
      </c>
      <c r="I59" s="36">
        <v>4.3280000000000003</v>
      </c>
      <c r="J59" s="36">
        <v>4.41</v>
      </c>
      <c r="K59" s="36">
        <v>4.4820000000000002</v>
      </c>
      <c r="L59" s="36">
        <v>4.5460000000000003</v>
      </c>
      <c r="M59" s="36">
        <v>4.6050000000000004</v>
      </c>
      <c r="N59" s="36">
        <v>4.6580000000000004</v>
      </c>
      <c r="O59" s="36">
        <v>4.7069999999999999</v>
      </c>
      <c r="P59" s="36">
        <v>4.7519999999999998</v>
      </c>
      <c r="Q59" s="36">
        <v>4.7939999999999996</v>
      </c>
      <c r="R59" s="36">
        <v>4.8339999999999996</v>
      </c>
      <c r="S59" s="36">
        <v>4.87</v>
      </c>
      <c r="T59" s="36">
        <v>4.9050000000000002</v>
      </c>
      <c r="U59" s="286">
        <v>4.9379999999999997</v>
      </c>
    </row>
    <row r="60" spans="1:21" x14ac:dyDescent="0.25">
      <c r="A60" s="543">
        <v>5</v>
      </c>
      <c r="B60" s="285">
        <v>2.5710000000000002</v>
      </c>
      <c r="C60" s="36">
        <v>3.03</v>
      </c>
      <c r="D60" s="36">
        <v>3.2930000000000001</v>
      </c>
      <c r="E60" s="36">
        <v>3.476</v>
      </c>
      <c r="F60" s="36">
        <v>3.6150000000000002</v>
      </c>
      <c r="G60" s="36">
        <v>3.7269999999999999</v>
      </c>
      <c r="H60" s="36">
        <v>3.8210000000000002</v>
      </c>
      <c r="I60" s="36">
        <v>3.9</v>
      </c>
      <c r="J60" s="36">
        <v>3.97</v>
      </c>
      <c r="K60" s="36">
        <v>4.032</v>
      </c>
      <c r="L60" s="36">
        <v>4.0869999999999997</v>
      </c>
      <c r="M60" s="36">
        <v>4.1369999999999996</v>
      </c>
      <c r="N60" s="36">
        <v>4.1829999999999998</v>
      </c>
      <c r="O60" s="36">
        <v>4.2249999999999996</v>
      </c>
      <c r="P60" s="36">
        <v>4.2640000000000002</v>
      </c>
      <c r="Q60" s="36">
        <v>4.3</v>
      </c>
      <c r="R60" s="36">
        <v>4.3339999999999996</v>
      </c>
      <c r="S60" s="36">
        <v>4.3659999999999997</v>
      </c>
      <c r="T60" s="36">
        <v>4.3949999999999996</v>
      </c>
      <c r="U60" s="286">
        <v>4.4240000000000004</v>
      </c>
    </row>
    <row r="61" spans="1:21" x14ac:dyDescent="0.25">
      <c r="A61" s="543">
        <v>6</v>
      </c>
      <c r="B61" s="285">
        <v>2.4470000000000001</v>
      </c>
      <c r="C61" s="36">
        <v>2.863</v>
      </c>
      <c r="D61" s="36">
        <v>3.0990000000000002</v>
      </c>
      <c r="E61" s="36">
        <v>3.2629999999999999</v>
      </c>
      <c r="F61" s="36">
        <v>3.3879999999999999</v>
      </c>
      <c r="G61" s="36">
        <v>3.4889999999999999</v>
      </c>
      <c r="H61" s="36">
        <v>3.573</v>
      </c>
      <c r="I61" s="36">
        <v>3.6440000000000001</v>
      </c>
      <c r="J61" s="36">
        <v>3.7069999999999999</v>
      </c>
      <c r="K61" s="36">
        <v>3.7629999999999999</v>
      </c>
      <c r="L61" s="36">
        <v>3.8119999999999998</v>
      </c>
      <c r="M61" s="36">
        <v>3.8570000000000002</v>
      </c>
      <c r="N61" s="36">
        <v>3.8980000000000001</v>
      </c>
      <c r="O61" s="36">
        <v>3.9359999999999999</v>
      </c>
      <c r="P61" s="36">
        <v>3.9710000000000001</v>
      </c>
      <c r="Q61" s="36">
        <v>4.0039999999999996</v>
      </c>
      <c r="R61" s="36">
        <v>4.0339999999999998</v>
      </c>
      <c r="S61" s="36">
        <v>4.0629999999999997</v>
      </c>
      <c r="T61" s="36">
        <v>4.0890000000000004</v>
      </c>
      <c r="U61" s="286">
        <v>4.1150000000000002</v>
      </c>
    </row>
    <row r="62" spans="1:21" x14ac:dyDescent="0.25">
      <c r="A62" s="543">
        <v>7</v>
      </c>
      <c r="B62" s="285">
        <v>2.3650000000000002</v>
      </c>
      <c r="C62" s="36">
        <v>2.7519999999999998</v>
      </c>
      <c r="D62" s="36">
        <v>2.9710000000000001</v>
      </c>
      <c r="E62" s="36">
        <v>3.1230000000000002</v>
      </c>
      <c r="F62" s="36">
        <v>3.238</v>
      </c>
      <c r="G62" s="36">
        <v>3.331</v>
      </c>
      <c r="H62" s="36">
        <v>3.4079999999999999</v>
      </c>
      <c r="I62" s="36">
        <v>3.4750000000000001</v>
      </c>
      <c r="J62" s="36">
        <v>3.5329999999999999</v>
      </c>
      <c r="K62" s="36">
        <v>3.5840000000000001</v>
      </c>
      <c r="L62" s="36">
        <v>3.63</v>
      </c>
      <c r="M62" s="36">
        <v>3.6709999999999998</v>
      </c>
      <c r="N62" s="36">
        <v>3.7090000000000001</v>
      </c>
      <c r="O62" s="36">
        <v>3.7440000000000002</v>
      </c>
      <c r="P62" s="36">
        <v>3.7770000000000001</v>
      </c>
      <c r="Q62" s="36">
        <v>3.8069999999999999</v>
      </c>
      <c r="R62" s="36">
        <v>3.835</v>
      </c>
      <c r="S62" s="36">
        <v>3.8610000000000002</v>
      </c>
      <c r="T62" s="36">
        <v>3.8860000000000001</v>
      </c>
      <c r="U62" s="286">
        <v>3.9089999999999998</v>
      </c>
    </row>
    <row r="63" spans="1:21" x14ac:dyDescent="0.25">
      <c r="A63" s="543">
        <v>8</v>
      </c>
      <c r="B63" s="285">
        <v>2.306</v>
      </c>
      <c r="C63" s="36">
        <v>2.673</v>
      </c>
      <c r="D63" s="36">
        <v>2.88</v>
      </c>
      <c r="E63" s="36">
        <v>3.0230000000000001</v>
      </c>
      <c r="F63" s="36">
        <v>3.1309999999999998</v>
      </c>
      <c r="G63" s="36">
        <v>3.2189999999999999</v>
      </c>
      <c r="H63" s="36">
        <v>3.2919999999999998</v>
      </c>
      <c r="I63" s="36">
        <v>3.3540000000000001</v>
      </c>
      <c r="J63" s="36">
        <v>3.4079999999999999</v>
      </c>
      <c r="K63" s="36">
        <v>3.4569999999999999</v>
      </c>
      <c r="L63" s="36">
        <v>3.5</v>
      </c>
      <c r="M63" s="36">
        <v>3.5390000000000001</v>
      </c>
      <c r="N63" s="36">
        <v>3.5750000000000002</v>
      </c>
      <c r="O63" s="36">
        <v>3.6080000000000001</v>
      </c>
      <c r="P63" s="36">
        <v>3.6379999999999999</v>
      </c>
      <c r="Q63" s="36">
        <v>3.6659999999999999</v>
      </c>
      <c r="R63" s="36">
        <v>3.6930000000000001</v>
      </c>
      <c r="S63" s="36">
        <v>3.718</v>
      </c>
      <c r="T63" s="36">
        <v>3.7410000000000001</v>
      </c>
      <c r="U63" s="286">
        <v>3.7629999999999999</v>
      </c>
    </row>
    <row r="64" spans="1:21" x14ac:dyDescent="0.25">
      <c r="A64" s="543">
        <v>9</v>
      </c>
      <c r="B64" s="285">
        <v>2.262</v>
      </c>
      <c r="C64" s="36">
        <v>2.6139999999999999</v>
      </c>
      <c r="D64" s="36">
        <v>2.8119999999999998</v>
      </c>
      <c r="E64" s="36">
        <v>2.948</v>
      </c>
      <c r="F64" s="36">
        <v>3.052</v>
      </c>
      <c r="G64" s="36">
        <v>3.1349999999999998</v>
      </c>
      <c r="H64" s="36">
        <v>3.2050000000000001</v>
      </c>
      <c r="I64" s="36">
        <v>3.2639999999999998</v>
      </c>
      <c r="J64" s="36">
        <v>3.3159999999999998</v>
      </c>
      <c r="K64" s="36">
        <v>3.3620000000000001</v>
      </c>
      <c r="L64" s="36">
        <v>3.403</v>
      </c>
      <c r="M64" s="36">
        <v>3.44</v>
      </c>
      <c r="N64" s="36">
        <v>3.4740000000000002</v>
      </c>
      <c r="O64" s="36">
        <v>3.5059999999999998</v>
      </c>
      <c r="P64" s="36">
        <v>3.5350000000000001</v>
      </c>
      <c r="Q64" s="36">
        <v>3.5619999999999998</v>
      </c>
      <c r="R64" s="36">
        <v>3.5870000000000002</v>
      </c>
      <c r="S64" s="36">
        <v>3.61</v>
      </c>
      <c r="T64" s="36">
        <v>3.633</v>
      </c>
      <c r="U64" s="286">
        <v>3.6539999999999999</v>
      </c>
    </row>
    <row r="65" spans="1:21" x14ac:dyDescent="0.25">
      <c r="A65" s="543">
        <v>10</v>
      </c>
      <c r="B65" s="285">
        <v>2.2280000000000002</v>
      </c>
      <c r="C65" s="36">
        <v>2.5680000000000001</v>
      </c>
      <c r="D65" s="36">
        <v>2.7589999999999999</v>
      </c>
      <c r="E65" s="36">
        <v>2.89</v>
      </c>
      <c r="F65" s="36">
        <v>2.99</v>
      </c>
      <c r="G65" s="36">
        <v>3.07</v>
      </c>
      <c r="H65" s="36">
        <v>3.137</v>
      </c>
      <c r="I65" s="36">
        <v>3.194</v>
      </c>
      <c r="J65" s="36">
        <v>3.2440000000000002</v>
      </c>
      <c r="K65" s="36">
        <v>3.2879999999999998</v>
      </c>
      <c r="L65" s="36">
        <v>3.3279999999999998</v>
      </c>
      <c r="M65" s="36">
        <v>3.3639999999999999</v>
      </c>
      <c r="N65" s="36">
        <v>3.3959999999999999</v>
      </c>
      <c r="O65" s="36">
        <v>3.427</v>
      </c>
      <c r="P65" s="36">
        <v>3.4540000000000002</v>
      </c>
      <c r="Q65" s="36">
        <v>3.48</v>
      </c>
      <c r="R65" s="36">
        <v>3.504</v>
      </c>
      <c r="S65" s="36">
        <v>3.5270000000000001</v>
      </c>
      <c r="T65" s="36">
        <v>3.5489999999999999</v>
      </c>
      <c r="U65" s="286">
        <v>3.569</v>
      </c>
    </row>
    <row r="66" spans="1:21" x14ac:dyDescent="0.25">
      <c r="A66" s="543">
        <v>11</v>
      </c>
      <c r="B66" s="285">
        <v>2.2010000000000001</v>
      </c>
      <c r="C66" s="36">
        <v>2.532</v>
      </c>
      <c r="D66" s="36">
        <v>2.7170000000000001</v>
      </c>
      <c r="E66" s="36">
        <v>2.8450000000000002</v>
      </c>
      <c r="F66" s="36">
        <v>2.9409999999999998</v>
      </c>
      <c r="G66" s="36">
        <v>3.0190000000000001</v>
      </c>
      <c r="H66" s="36">
        <v>3.0840000000000001</v>
      </c>
      <c r="I66" s="36">
        <v>3.1389999999999998</v>
      </c>
      <c r="J66" s="36">
        <v>3.1869999999999998</v>
      </c>
      <c r="K66" s="36">
        <v>3.23</v>
      </c>
      <c r="L66" s="36">
        <v>3.2679999999999998</v>
      </c>
      <c r="M66" s="36">
        <v>3.3029999999999999</v>
      </c>
      <c r="N66" s="36">
        <v>3.3340000000000001</v>
      </c>
      <c r="O66" s="36">
        <v>3.363</v>
      </c>
      <c r="P66" s="36">
        <v>3.39</v>
      </c>
      <c r="Q66" s="36">
        <v>3.415</v>
      </c>
      <c r="R66" s="36">
        <v>3.4390000000000001</v>
      </c>
      <c r="S66" s="36">
        <v>3.4609999999999999</v>
      </c>
      <c r="T66" s="36">
        <v>3.4809999999999999</v>
      </c>
      <c r="U66" s="286">
        <v>3.5009999999999999</v>
      </c>
    </row>
    <row r="67" spans="1:21" x14ac:dyDescent="0.25">
      <c r="A67" s="543">
        <v>12</v>
      </c>
      <c r="B67" s="285">
        <v>2.1789999999999998</v>
      </c>
      <c r="C67" s="36">
        <v>2.5019999999999998</v>
      </c>
      <c r="D67" s="36">
        <v>2.6829999999999998</v>
      </c>
      <c r="E67" s="36">
        <v>2.8069999999999999</v>
      </c>
      <c r="F67" s="36">
        <v>2.9009999999999998</v>
      </c>
      <c r="G67" s="36">
        <v>2.9769999999999999</v>
      </c>
      <c r="H67" s="36">
        <v>3.04</v>
      </c>
      <c r="I67" s="36">
        <v>3.0939999999999999</v>
      </c>
      <c r="J67" s="36">
        <v>3.14</v>
      </c>
      <c r="K67" s="36">
        <v>3.1819999999999999</v>
      </c>
      <c r="L67" s="36">
        <v>3.2189999999999999</v>
      </c>
      <c r="M67" s="36">
        <v>3.2530000000000001</v>
      </c>
      <c r="N67" s="36">
        <v>3.2839999999999998</v>
      </c>
      <c r="O67" s="36">
        <v>3.3119999999999998</v>
      </c>
      <c r="P67" s="36">
        <v>3.3380000000000001</v>
      </c>
      <c r="Q67" s="36">
        <v>3.363</v>
      </c>
      <c r="R67" s="36">
        <v>3.3849999999999998</v>
      </c>
      <c r="S67" s="36">
        <v>3.407</v>
      </c>
      <c r="T67" s="36">
        <v>3.427</v>
      </c>
      <c r="U67" s="286">
        <v>3.4460000000000002</v>
      </c>
    </row>
    <row r="68" spans="1:21" x14ac:dyDescent="0.25">
      <c r="A68" s="543">
        <v>13</v>
      </c>
      <c r="B68" s="285">
        <v>2.16</v>
      </c>
      <c r="C68" s="36">
        <v>2.4780000000000002</v>
      </c>
      <c r="D68" s="36">
        <v>2.6539999999999999</v>
      </c>
      <c r="E68" s="36">
        <v>2.7759999999999998</v>
      </c>
      <c r="F68" s="36">
        <v>2.8679999999999999</v>
      </c>
      <c r="G68" s="36">
        <v>2.9420000000000002</v>
      </c>
      <c r="H68" s="36">
        <v>3.0030000000000001</v>
      </c>
      <c r="I68" s="36">
        <v>3.056</v>
      </c>
      <c r="J68" s="36">
        <v>3.1019999999999999</v>
      </c>
      <c r="K68" s="36">
        <v>3.1419999999999999</v>
      </c>
      <c r="L68" s="36">
        <v>3.1789999999999998</v>
      </c>
      <c r="M68" s="36">
        <v>3.2120000000000002</v>
      </c>
      <c r="N68" s="36">
        <v>3.242</v>
      </c>
      <c r="O68" s="36">
        <v>3.2690000000000001</v>
      </c>
      <c r="P68" s="36">
        <v>3.2949999999999999</v>
      </c>
      <c r="Q68" s="36">
        <v>3.319</v>
      </c>
      <c r="R68" s="36">
        <v>3.3410000000000002</v>
      </c>
      <c r="S68" s="36">
        <v>3.3620000000000001</v>
      </c>
      <c r="T68" s="36">
        <v>3.3809999999999998</v>
      </c>
      <c r="U68" s="286">
        <v>3.4</v>
      </c>
    </row>
    <row r="69" spans="1:21" x14ac:dyDescent="0.25">
      <c r="A69" s="543">
        <v>14</v>
      </c>
      <c r="B69" s="285">
        <v>2.145</v>
      </c>
      <c r="C69" s="36">
        <v>2.4569999999999999</v>
      </c>
      <c r="D69" s="36">
        <v>2.6309999999999998</v>
      </c>
      <c r="E69" s="36">
        <v>2.75</v>
      </c>
      <c r="F69" s="36">
        <v>2.84</v>
      </c>
      <c r="G69" s="36">
        <v>2.9119999999999999</v>
      </c>
      <c r="H69" s="36">
        <v>2.9729999999999999</v>
      </c>
      <c r="I69" s="36">
        <v>3.024</v>
      </c>
      <c r="J69" s="36">
        <v>3.069</v>
      </c>
      <c r="K69" s="36">
        <v>3.109</v>
      </c>
      <c r="L69" s="36">
        <v>3.1440000000000001</v>
      </c>
      <c r="M69" s="36">
        <v>3.177</v>
      </c>
      <c r="N69" s="36">
        <v>3.206</v>
      </c>
      <c r="O69" s="36">
        <v>3.2330000000000001</v>
      </c>
      <c r="P69" s="36">
        <v>3.258</v>
      </c>
      <c r="Q69" s="36">
        <v>3.282</v>
      </c>
      <c r="R69" s="36">
        <v>3.3029999999999999</v>
      </c>
      <c r="S69" s="36">
        <v>3.3239999999999998</v>
      </c>
      <c r="T69" s="36">
        <v>3.343</v>
      </c>
      <c r="U69" s="286">
        <v>3.3610000000000002</v>
      </c>
    </row>
    <row r="70" spans="1:21" x14ac:dyDescent="0.25">
      <c r="A70" s="543">
        <v>15</v>
      </c>
      <c r="B70" s="285">
        <v>2.1309999999999998</v>
      </c>
      <c r="C70" s="36">
        <v>2.4390000000000001</v>
      </c>
      <c r="D70" s="36">
        <v>2.61</v>
      </c>
      <c r="E70" s="36">
        <v>2.7269999999999999</v>
      </c>
      <c r="F70" s="36">
        <v>2.8159999999999998</v>
      </c>
      <c r="G70" s="36">
        <v>2.887</v>
      </c>
      <c r="H70" s="36">
        <v>2.9460000000000002</v>
      </c>
      <c r="I70" s="36">
        <v>2.9969999999999999</v>
      </c>
      <c r="J70" s="36">
        <v>3.0409999999999999</v>
      </c>
      <c r="K70" s="36">
        <v>3.08</v>
      </c>
      <c r="L70" s="36">
        <v>3.1150000000000002</v>
      </c>
      <c r="M70" s="36">
        <v>3.1469999999999998</v>
      </c>
      <c r="N70" s="36">
        <v>3.1760000000000002</v>
      </c>
      <c r="O70" s="36">
        <v>3.202</v>
      </c>
      <c r="P70" s="36">
        <v>3.2269999999999999</v>
      </c>
      <c r="Q70" s="36">
        <v>3.25</v>
      </c>
      <c r="R70" s="36">
        <v>3.2709999999999999</v>
      </c>
      <c r="S70" s="36">
        <v>3.2909999999999999</v>
      </c>
      <c r="T70" s="36">
        <v>3.31</v>
      </c>
      <c r="U70" s="286">
        <v>3.3279999999999998</v>
      </c>
    </row>
    <row r="71" spans="1:21" x14ac:dyDescent="0.25">
      <c r="A71" s="543">
        <v>16</v>
      </c>
      <c r="B71" s="285">
        <v>2.12</v>
      </c>
      <c r="C71" s="36">
        <v>2.4239999999999999</v>
      </c>
      <c r="D71" s="36">
        <v>2.5920000000000001</v>
      </c>
      <c r="E71" s="36">
        <v>2.7080000000000002</v>
      </c>
      <c r="F71" s="36">
        <v>2.7949999999999999</v>
      </c>
      <c r="G71" s="36">
        <v>2.8650000000000002</v>
      </c>
      <c r="H71" s="36">
        <v>2.9239999999999999</v>
      </c>
      <c r="I71" s="36">
        <v>2.9740000000000002</v>
      </c>
      <c r="J71" s="36">
        <v>3.0169999999999999</v>
      </c>
      <c r="K71" s="36">
        <v>3.056</v>
      </c>
      <c r="L71" s="36">
        <v>3.09</v>
      </c>
      <c r="M71" s="36">
        <v>3.121</v>
      </c>
      <c r="N71" s="36">
        <v>3.15</v>
      </c>
      <c r="O71" s="36">
        <v>3.1760000000000002</v>
      </c>
      <c r="P71" s="36">
        <v>3.2</v>
      </c>
      <c r="Q71" s="36">
        <v>3.222</v>
      </c>
      <c r="R71" s="36">
        <v>3.2429999999999999</v>
      </c>
      <c r="S71" s="36">
        <v>3.2629999999999999</v>
      </c>
      <c r="T71" s="36">
        <v>3.282</v>
      </c>
      <c r="U71" s="286">
        <v>3.2989999999999999</v>
      </c>
    </row>
    <row r="72" spans="1:21" x14ac:dyDescent="0.25">
      <c r="A72" s="543">
        <v>17</v>
      </c>
      <c r="B72" s="285">
        <v>2.11</v>
      </c>
      <c r="C72" s="36">
        <v>2.41</v>
      </c>
      <c r="D72" s="36">
        <v>2.577</v>
      </c>
      <c r="E72" s="36">
        <v>2.6909999999999998</v>
      </c>
      <c r="F72" s="36">
        <v>2.7770000000000001</v>
      </c>
      <c r="G72" s="36">
        <v>2.8460000000000001</v>
      </c>
      <c r="H72" s="36">
        <v>2.9039999999999999</v>
      </c>
      <c r="I72" s="36">
        <v>2.9529999999999998</v>
      </c>
      <c r="J72" s="36">
        <v>2.996</v>
      </c>
      <c r="K72" s="36">
        <v>3.0339999999999998</v>
      </c>
      <c r="L72" s="36">
        <v>3.0680000000000001</v>
      </c>
      <c r="M72" s="36">
        <v>3.0990000000000002</v>
      </c>
      <c r="N72" s="36">
        <v>3.1269999999999998</v>
      </c>
      <c r="O72" s="36">
        <v>3.1520000000000001</v>
      </c>
      <c r="P72" s="36">
        <v>3.1760000000000002</v>
      </c>
      <c r="Q72" s="36">
        <v>3.1989999999999998</v>
      </c>
      <c r="R72" s="36">
        <v>3.2189999999999999</v>
      </c>
      <c r="S72" s="36">
        <v>3.2389999999999999</v>
      </c>
      <c r="T72" s="36">
        <v>3.2570000000000001</v>
      </c>
      <c r="U72" s="286">
        <v>3.274</v>
      </c>
    </row>
    <row r="73" spans="1:21" x14ac:dyDescent="0.25">
      <c r="A73" s="543">
        <v>18</v>
      </c>
      <c r="B73" s="285">
        <v>2.101</v>
      </c>
      <c r="C73" s="36">
        <v>2.399</v>
      </c>
      <c r="D73" s="36">
        <v>2.5630000000000002</v>
      </c>
      <c r="E73" s="36">
        <v>2.6760000000000002</v>
      </c>
      <c r="F73" s="36">
        <v>2.7610000000000001</v>
      </c>
      <c r="G73" s="36">
        <v>2.83</v>
      </c>
      <c r="H73" s="36">
        <v>2.887</v>
      </c>
      <c r="I73" s="36">
        <v>2.9350000000000001</v>
      </c>
      <c r="J73" s="36">
        <v>2.9769999999999999</v>
      </c>
      <c r="K73" s="36">
        <v>3.0150000000000001</v>
      </c>
      <c r="L73" s="36">
        <v>3.048</v>
      </c>
      <c r="M73" s="36">
        <v>3.0790000000000002</v>
      </c>
      <c r="N73" s="36">
        <v>3.1070000000000002</v>
      </c>
      <c r="O73" s="36">
        <v>3.1320000000000001</v>
      </c>
      <c r="P73" s="36">
        <v>3.1560000000000001</v>
      </c>
      <c r="Q73" s="36">
        <v>3.177</v>
      </c>
      <c r="R73" s="36">
        <v>3.198</v>
      </c>
      <c r="S73" s="36">
        <v>3.2170000000000001</v>
      </c>
      <c r="T73" s="36">
        <v>3.2349999999999999</v>
      </c>
      <c r="U73" s="286">
        <v>3.2519999999999998</v>
      </c>
    </row>
    <row r="74" spans="1:21" x14ac:dyDescent="0.25">
      <c r="A74" s="543">
        <v>19</v>
      </c>
      <c r="B74" s="285">
        <v>2.093</v>
      </c>
      <c r="C74" s="36">
        <v>2.3879999999999999</v>
      </c>
      <c r="D74" s="36">
        <v>2.5510000000000002</v>
      </c>
      <c r="E74" s="36">
        <v>2.6629999999999998</v>
      </c>
      <c r="F74" s="36">
        <v>2.7469999999999999</v>
      </c>
      <c r="G74" s="36">
        <v>2.8149999999999999</v>
      </c>
      <c r="H74" s="36">
        <v>2.871</v>
      </c>
      <c r="I74" s="36">
        <v>2.919</v>
      </c>
      <c r="J74" s="36">
        <v>2.9609999999999999</v>
      </c>
      <c r="K74" s="36">
        <v>2.9980000000000002</v>
      </c>
      <c r="L74" s="36">
        <v>3.0310000000000001</v>
      </c>
      <c r="M74" s="36">
        <v>3.0609999999999999</v>
      </c>
      <c r="N74" s="36">
        <v>3.089</v>
      </c>
      <c r="O74" s="36">
        <v>3.1139999999999999</v>
      </c>
      <c r="P74" s="36">
        <v>3.137</v>
      </c>
      <c r="Q74" s="36">
        <v>3.1589999999999998</v>
      </c>
      <c r="R74" s="36">
        <v>3.1789999999999998</v>
      </c>
      <c r="S74" s="36">
        <v>3.198</v>
      </c>
      <c r="T74" s="36">
        <v>3.2160000000000002</v>
      </c>
      <c r="U74" s="286">
        <v>3.2330000000000001</v>
      </c>
    </row>
    <row r="75" spans="1:21" x14ac:dyDescent="0.25">
      <c r="A75" s="543">
        <v>20</v>
      </c>
      <c r="B75" s="285">
        <v>2.0859999999999999</v>
      </c>
      <c r="C75" s="36">
        <v>2.379</v>
      </c>
      <c r="D75" s="36">
        <v>2.54</v>
      </c>
      <c r="E75" s="36">
        <v>2.6509999999999998</v>
      </c>
      <c r="F75" s="36">
        <v>2.7349999999999999</v>
      </c>
      <c r="G75" s="36">
        <v>2.802</v>
      </c>
      <c r="H75" s="36">
        <v>2.8570000000000002</v>
      </c>
      <c r="I75" s="36">
        <v>2.9049999999999998</v>
      </c>
      <c r="J75" s="36">
        <v>2.9460000000000002</v>
      </c>
      <c r="K75" s="36">
        <v>2.9830000000000001</v>
      </c>
      <c r="L75" s="36">
        <v>3.016</v>
      </c>
      <c r="M75" s="36">
        <v>3.0449999999999999</v>
      </c>
      <c r="N75" s="36">
        <v>3.073</v>
      </c>
      <c r="O75" s="36">
        <v>3.0979999999999999</v>
      </c>
      <c r="P75" s="36">
        <v>3.121</v>
      </c>
      <c r="Q75" s="36">
        <v>3.1419999999999999</v>
      </c>
      <c r="R75" s="36">
        <v>3.1619999999999999</v>
      </c>
      <c r="S75" s="36">
        <v>3.181</v>
      </c>
      <c r="T75" s="36">
        <v>3.198</v>
      </c>
      <c r="U75" s="286">
        <v>3.2149999999999999</v>
      </c>
    </row>
    <row r="76" spans="1:21" x14ac:dyDescent="0.25">
      <c r="A76" s="543">
        <v>21</v>
      </c>
      <c r="B76" s="285">
        <v>2.08</v>
      </c>
      <c r="C76" s="36">
        <v>2.37</v>
      </c>
      <c r="D76" s="36">
        <v>2.5310000000000001</v>
      </c>
      <c r="E76" s="36">
        <v>2.64</v>
      </c>
      <c r="F76" s="36">
        <v>2.7229999999999999</v>
      </c>
      <c r="G76" s="36">
        <v>2.79</v>
      </c>
      <c r="H76" s="36">
        <v>2.8450000000000002</v>
      </c>
      <c r="I76" s="36">
        <v>2.8919999999999999</v>
      </c>
      <c r="J76" s="36">
        <v>2.9329999999999998</v>
      </c>
      <c r="K76" s="36">
        <v>2.9689999999999999</v>
      </c>
      <c r="L76" s="36">
        <v>3.0019999999999998</v>
      </c>
      <c r="M76" s="36">
        <v>3.0310000000000001</v>
      </c>
      <c r="N76" s="36">
        <v>3.0579999999999998</v>
      </c>
      <c r="O76" s="36">
        <v>3.0830000000000002</v>
      </c>
      <c r="P76" s="36">
        <v>3.1059999999999999</v>
      </c>
      <c r="Q76" s="36">
        <v>3.1269999999999998</v>
      </c>
      <c r="R76" s="36">
        <v>3.1469999999999998</v>
      </c>
      <c r="S76" s="36">
        <v>3.165</v>
      </c>
      <c r="T76" s="36">
        <v>3.1829999999999998</v>
      </c>
      <c r="U76" s="286">
        <v>3.1989999999999998</v>
      </c>
    </row>
    <row r="77" spans="1:21" x14ac:dyDescent="0.25">
      <c r="A77" s="543">
        <v>22</v>
      </c>
      <c r="B77" s="285">
        <v>2.0739999999999998</v>
      </c>
      <c r="C77" s="36">
        <v>2.363</v>
      </c>
      <c r="D77" s="36">
        <v>2.5219999999999998</v>
      </c>
      <c r="E77" s="36">
        <v>2.6309999999999998</v>
      </c>
      <c r="F77" s="36">
        <v>2.7130000000000001</v>
      </c>
      <c r="G77" s="36">
        <v>2.7789999999999999</v>
      </c>
      <c r="H77" s="36">
        <v>2.8340000000000001</v>
      </c>
      <c r="I77" s="36">
        <v>2.88</v>
      </c>
      <c r="J77" s="36">
        <v>2.9209999999999998</v>
      </c>
      <c r="K77" s="36">
        <v>2.9569999999999999</v>
      </c>
      <c r="L77" s="36">
        <v>2.9889999999999999</v>
      </c>
      <c r="M77" s="36">
        <v>3.0190000000000001</v>
      </c>
      <c r="N77" s="36">
        <v>3.0449999999999999</v>
      </c>
      <c r="O77" s="36">
        <v>3.07</v>
      </c>
      <c r="P77" s="36">
        <v>3.0920000000000001</v>
      </c>
      <c r="Q77" s="36">
        <v>3.113</v>
      </c>
      <c r="R77" s="36">
        <v>3.133</v>
      </c>
      <c r="S77" s="36">
        <v>3.1509999999999998</v>
      </c>
      <c r="T77" s="36">
        <v>3.169</v>
      </c>
      <c r="U77" s="286">
        <v>3.1850000000000001</v>
      </c>
    </row>
    <row r="78" spans="1:21" x14ac:dyDescent="0.25">
      <c r="A78" s="543">
        <v>23</v>
      </c>
      <c r="B78" s="285">
        <v>2.069</v>
      </c>
      <c r="C78" s="36">
        <v>2.3559999999999999</v>
      </c>
      <c r="D78" s="36">
        <v>2.5139999999999998</v>
      </c>
      <c r="E78" s="36">
        <v>2.6219999999999999</v>
      </c>
      <c r="F78" s="36">
        <v>2.7040000000000002</v>
      </c>
      <c r="G78" s="36">
        <v>2.7690000000000001</v>
      </c>
      <c r="H78" s="36">
        <v>2.8239999999999998</v>
      </c>
      <c r="I78" s="36">
        <v>2.87</v>
      </c>
      <c r="J78" s="36">
        <v>2.91</v>
      </c>
      <c r="K78" s="36">
        <v>2.9460000000000002</v>
      </c>
      <c r="L78" s="36">
        <v>2.9780000000000002</v>
      </c>
      <c r="M78" s="36">
        <v>3.0070000000000001</v>
      </c>
      <c r="N78" s="36">
        <v>3.0329999999999999</v>
      </c>
      <c r="O78" s="36">
        <v>3.0579999999999998</v>
      </c>
      <c r="P78" s="36">
        <v>3.08</v>
      </c>
      <c r="Q78" s="36">
        <v>3.101</v>
      </c>
      <c r="R78" s="36">
        <v>3.121</v>
      </c>
      <c r="S78" s="36">
        <v>3.1389999999999998</v>
      </c>
      <c r="T78" s="36">
        <v>3.1560000000000001</v>
      </c>
      <c r="U78" s="286">
        <v>3.1720000000000002</v>
      </c>
    </row>
    <row r="79" spans="1:21" x14ac:dyDescent="0.25">
      <c r="A79" s="543">
        <v>24</v>
      </c>
      <c r="B79" s="285">
        <v>2.0640000000000001</v>
      </c>
      <c r="C79" s="36">
        <v>2.3490000000000002</v>
      </c>
      <c r="D79" s="36">
        <v>2.5070000000000001</v>
      </c>
      <c r="E79" s="36">
        <v>2.6139999999999999</v>
      </c>
      <c r="F79" s="36">
        <v>2.6949999999999998</v>
      </c>
      <c r="G79" s="36">
        <v>2.76</v>
      </c>
      <c r="H79" s="36">
        <v>2.8140000000000001</v>
      </c>
      <c r="I79" s="36">
        <v>2.86</v>
      </c>
      <c r="J79" s="36">
        <v>2.9</v>
      </c>
      <c r="K79" s="36">
        <v>2.9359999999999999</v>
      </c>
      <c r="L79" s="36">
        <v>2.968</v>
      </c>
      <c r="M79" s="36">
        <v>2.996</v>
      </c>
      <c r="N79" s="36">
        <v>3.0230000000000001</v>
      </c>
      <c r="O79" s="36">
        <v>3.0470000000000002</v>
      </c>
      <c r="P79" s="36">
        <v>3.069</v>
      </c>
      <c r="Q79" s="36">
        <v>3.09</v>
      </c>
      <c r="R79" s="36">
        <v>3.109</v>
      </c>
      <c r="S79" s="36">
        <v>3.1269999999999998</v>
      </c>
      <c r="T79" s="36">
        <v>3.1440000000000001</v>
      </c>
      <c r="U79" s="286">
        <v>3.161</v>
      </c>
    </row>
    <row r="80" spans="1:21" x14ac:dyDescent="0.25">
      <c r="A80" s="543">
        <v>25</v>
      </c>
      <c r="B80" s="285">
        <v>2.06</v>
      </c>
      <c r="C80" s="36">
        <v>2.3439999999999999</v>
      </c>
      <c r="D80" s="36">
        <v>2.5</v>
      </c>
      <c r="E80" s="36">
        <v>2.6070000000000002</v>
      </c>
      <c r="F80" s="36">
        <v>2.6880000000000002</v>
      </c>
      <c r="G80" s="36">
        <v>2.7519999999999998</v>
      </c>
      <c r="H80" s="36">
        <v>2.806</v>
      </c>
      <c r="I80" s="36">
        <v>2.851</v>
      </c>
      <c r="J80" s="36">
        <v>2.891</v>
      </c>
      <c r="K80" s="36">
        <v>2.927</v>
      </c>
      <c r="L80" s="36">
        <v>2.9580000000000002</v>
      </c>
      <c r="M80" s="36">
        <v>2.9870000000000001</v>
      </c>
      <c r="N80" s="36">
        <v>3.0129999999999999</v>
      </c>
      <c r="O80" s="36">
        <v>3.0369999999999999</v>
      </c>
      <c r="P80" s="36">
        <v>3.0590000000000002</v>
      </c>
      <c r="Q80" s="36">
        <v>3.08</v>
      </c>
      <c r="R80" s="36">
        <v>3.0990000000000002</v>
      </c>
      <c r="S80" s="36">
        <v>3.117</v>
      </c>
      <c r="T80" s="36">
        <v>3.1339999999999999</v>
      </c>
      <c r="U80" s="286">
        <v>3.15</v>
      </c>
    </row>
    <row r="81" spans="1:21" x14ac:dyDescent="0.25">
      <c r="A81" s="543">
        <v>26</v>
      </c>
      <c r="B81" s="285">
        <v>2.056</v>
      </c>
      <c r="C81" s="36">
        <v>2.3380000000000001</v>
      </c>
      <c r="D81" s="36">
        <v>2.4940000000000002</v>
      </c>
      <c r="E81" s="36">
        <v>2.6</v>
      </c>
      <c r="F81" s="36">
        <v>2.68</v>
      </c>
      <c r="G81" s="36">
        <v>2.7450000000000001</v>
      </c>
      <c r="H81" s="36">
        <v>2.798</v>
      </c>
      <c r="I81" s="36">
        <v>2.843</v>
      </c>
      <c r="J81" s="36">
        <v>2.883</v>
      </c>
      <c r="K81" s="36">
        <v>2.9180000000000001</v>
      </c>
      <c r="L81" s="36">
        <v>2.9489999999999998</v>
      </c>
      <c r="M81" s="36">
        <v>2.9780000000000002</v>
      </c>
      <c r="N81" s="36">
        <v>3.004</v>
      </c>
      <c r="O81" s="36">
        <v>3.028</v>
      </c>
      <c r="P81" s="36">
        <v>3.05</v>
      </c>
      <c r="Q81" s="36">
        <v>3.07</v>
      </c>
      <c r="R81" s="36">
        <v>3.089</v>
      </c>
      <c r="S81" s="36">
        <v>3.1070000000000002</v>
      </c>
      <c r="T81" s="36">
        <v>3.1240000000000001</v>
      </c>
      <c r="U81" s="286">
        <v>3.14</v>
      </c>
    </row>
    <row r="82" spans="1:21" x14ac:dyDescent="0.25">
      <c r="A82" s="543">
        <v>27</v>
      </c>
      <c r="B82" s="285">
        <v>2.052</v>
      </c>
      <c r="C82" s="36">
        <v>2.3330000000000002</v>
      </c>
      <c r="D82" s="36">
        <v>2.488</v>
      </c>
      <c r="E82" s="36">
        <v>2.5939999999999999</v>
      </c>
      <c r="F82" s="36">
        <v>2.6739999999999999</v>
      </c>
      <c r="G82" s="36">
        <v>2.738</v>
      </c>
      <c r="H82" s="36">
        <v>2.7909999999999999</v>
      </c>
      <c r="I82" s="36">
        <v>2.8359999999999999</v>
      </c>
      <c r="J82" s="36">
        <v>2.875</v>
      </c>
      <c r="K82" s="36">
        <v>2.91</v>
      </c>
      <c r="L82" s="36">
        <v>2.9409999999999998</v>
      </c>
      <c r="M82" s="36">
        <v>2.97</v>
      </c>
      <c r="N82" s="36">
        <v>2.9950000000000001</v>
      </c>
      <c r="O82" s="36">
        <v>3.0190000000000001</v>
      </c>
      <c r="P82" s="36">
        <v>3.0409999999999999</v>
      </c>
      <c r="Q82" s="36">
        <v>3.0609999999999999</v>
      </c>
      <c r="R82" s="36">
        <v>3.08</v>
      </c>
      <c r="S82" s="36">
        <v>3.0979999999999999</v>
      </c>
      <c r="T82" s="36">
        <v>3.1150000000000002</v>
      </c>
      <c r="U82" s="286">
        <v>3.1309999999999998</v>
      </c>
    </row>
    <row r="83" spans="1:21" x14ac:dyDescent="0.25">
      <c r="A83" s="543">
        <v>28</v>
      </c>
      <c r="B83" s="285">
        <v>2.048</v>
      </c>
      <c r="C83" s="36">
        <v>2.3290000000000002</v>
      </c>
      <c r="D83" s="36">
        <v>2.4830000000000001</v>
      </c>
      <c r="E83" s="36">
        <v>2.5880000000000001</v>
      </c>
      <c r="F83" s="36">
        <v>2.6680000000000001</v>
      </c>
      <c r="G83" s="36">
        <v>2.7309999999999999</v>
      </c>
      <c r="H83" s="36">
        <v>2.7839999999999998</v>
      </c>
      <c r="I83" s="36">
        <v>2.8290000000000002</v>
      </c>
      <c r="J83" s="36">
        <v>2.8679999999999999</v>
      </c>
      <c r="K83" s="36">
        <v>2.903</v>
      </c>
      <c r="L83" s="36">
        <v>2.9340000000000002</v>
      </c>
      <c r="M83" s="36">
        <v>2.9620000000000002</v>
      </c>
      <c r="N83" s="36">
        <v>2.988</v>
      </c>
      <c r="O83" s="36">
        <v>3.0110000000000001</v>
      </c>
      <c r="P83" s="36">
        <v>3.0329999999999999</v>
      </c>
      <c r="Q83" s="36">
        <v>3.0529999999999999</v>
      </c>
      <c r="R83" s="36">
        <v>3.0720000000000001</v>
      </c>
      <c r="S83" s="36">
        <v>3.09</v>
      </c>
      <c r="T83" s="36">
        <v>3.1070000000000002</v>
      </c>
      <c r="U83" s="286">
        <v>3.1219999999999999</v>
      </c>
    </row>
    <row r="84" spans="1:21" x14ac:dyDescent="0.25">
      <c r="A84" s="543">
        <v>29</v>
      </c>
      <c r="B84" s="285">
        <v>2.0449999999999999</v>
      </c>
      <c r="C84" s="36">
        <v>2.3250000000000002</v>
      </c>
      <c r="D84" s="36">
        <v>2.4780000000000002</v>
      </c>
      <c r="E84" s="36">
        <v>2.5830000000000002</v>
      </c>
      <c r="F84" s="36">
        <v>2.6619999999999999</v>
      </c>
      <c r="G84" s="36">
        <v>2.7250000000000001</v>
      </c>
      <c r="H84" s="36">
        <v>2.778</v>
      </c>
      <c r="I84" s="36">
        <v>2.823</v>
      </c>
      <c r="J84" s="36">
        <v>2.8620000000000001</v>
      </c>
      <c r="K84" s="36">
        <v>2.8959999999999999</v>
      </c>
      <c r="L84" s="36">
        <v>2.927</v>
      </c>
      <c r="M84" s="36">
        <v>2.9550000000000001</v>
      </c>
      <c r="N84" s="36">
        <v>2.9809999999999999</v>
      </c>
      <c r="O84" s="36">
        <v>3.004</v>
      </c>
      <c r="P84" s="36">
        <v>3.0259999999999998</v>
      </c>
      <c r="Q84" s="36">
        <v>3.0459999999999998</v>
      </c>
      <c r="R84" s="36">
        <v>3.0649999999999999</v>
      </c>
      <c r="S84" s="36">
        <v>3.0819999999999999</v>
      </c>
      <c r="T84" s="36">
        <v>3.0990000000000002</v>
      </c>
      <c r="U84" s="286">
        <v>3.1139999999999999</v>
      </c>
    </row>
    <row r="85" spans="1:21" x14ac:dyDescent="0.25">
      <c r="A85" s="543">
        <v>30</v>
      </c>
      <c r="B85" s="285">
        <v>2.0419999999999998</v>
      </c>
      <c r="C85" s="36">
        <v>2.3210000000000002</v>
      </c>
      <c r="D85" s="36">
        <v>2.4740000000000002</v>
      </c>
      <c r="E85" s="36">
        <v>2.5779999999999998</v>
      </c>
      <c r="F85" s="36">
        <v>2.657</v>
      </c>
      <c r="G85" s="36">
        <v>2.72</v>
      </c>
      <c r="H85" s="36">
        <v>2.7719999999999998</v>
      </c>
      <c r="I85" s="36">
        <v>2.8170000000000002</v>
      </c>
      <c r="J85" s="36">
        <v>2.8559999999999999</v>
      </c>
      <c r="K85" s="36">
        <v>2.89</v>
      </c>
      <c r="L85" s="36">
        <v>2.9209999999999998</v>
      </c>
      <c r="M85" s="36">
        <v>2.9489999999999998</v>
      </c>
      <c r="N85" s="36">
        <v>2.9740000000000002</v>
      </c>
      <c r="O85" s="36">
        <v>2.9969999999999999</v>
      </c>
      <c r="P85" s="36">
        <v>3.0190000000000001</v>
      </c>
      <c r="Q85" s="36">
        <v>3.0390000000000001</v>
      </c>
      <c r="R85" s="36">
        <v>3.0579999999999998</v>
      </c>
      <c r="S85" s="36">
        <v>3.0750000000000002</v>
      </c>
      <c r="T85" s="36">
        <v>3.0920000000000001</v>
      </c>
      <c r="U85" s="286">
        <v>3.1070000000000002</v>
      </c>
    </row>
    <row r="86" spans="1:21" x14ac:dyDescent="0.25">
      <c r="A86" s="543">
        <v>31</v>
      </c>
      <c r="B86" s="285">
        <v>2.04</v>
      </c>
      <c r="C86" s="36">
        <v>2.3170000000000002</v>
      </c>
      <c r="D86" s="36">
        <v>2.4689999999999999</v>
      </c>
      <c r="E86" s="36">
        <v>2.5739999999999998</v>
      </c>
      <c r="F86" s="36">
        <v>2.6520000000000001</v>
      </c>
      <c r="G86" s="36">
        <v>2.7149999999999999</v>
      </c>
      <c r="H86" s="36">
        <v>2.7669999999999999</v>
      </c>
      <c r="I86" s="36">
        <v>2.8109999999999999</v>
      </c>
      <c r="J86" s="36">
        <v>2.85</v>
      </c>
      <c r="K86" s="36">
        <v>2.8839999999999999</v>
      </c>
      <c r="L86" s="36">
        <v>2.915</v>
      </c>
      <c r="M86" s="36">
        <v>2.9420000000000002</v>
      </c>
      <c r="N86" s="36">
        <v>2.968</v>
      </c>
      <c r="O86" s="36">
        <v>2.9910000000000001</v>
      </c>
      <c r="P86" s="36">
        <v>3.012</v>
      </c>
      <c r="Q86" s="36">
        <v>3.032</v>
      </c>
      <c r="R86" s="36">
        <v>3.0510000000000002</v>
      </c>
      <c r="S86" s="36">
        <v>3.0680000000000001</v>
      </c>
      <c r="T86" s="36">
        <v>3.085</v>
      </c>
      <c r="U86" s="286">
        <v>3.1</v>
      </c>
    </row>
    <row r="87" spans="1:21" x14ac:dyDescent="0.25">
      <c r="A87" s="543">
        <v>32</v>
      </c>
      <c r="B87" s="285">
        <v>2.0369999999999999</v>
      </c>
      <c r="C87" s="36">
        <v>2.3140000000000001</v>
      </c>
      <c r="D87" s="36">
        <v>2.4660000000000002</v>
      </c>
      <c r="E87" s="36">
        <v>2.569</v>
      </c>
      <c r="F87" s="36">
        <v>2.6469999999999998</v>
      </c>
      <c r="G87" s="36">
        <v>2.71</v>
      </c>
      <c r="H87" s="36">
        <v>2.762</v>
      </c>
      <c r="I87" s="36">
        <v>2.806</v>
      </c>
      <c r="J87" s="36">
        <v>2.8450000000000002</v>
      </c>
      <c r="K87" s="36">
        <v>2.879</v>
      </c>
      <c r="L87" s="36">
        <v>2.9089999999999998</v>
      </c>
      <c r="M87" s="36">
        <v>2.9369999999999998</v>
      </c>
      <c r="N87" s="36">
        <v>2.9620000000000002</v>
      </c>
      <c r="O87" s="36">
        <v>2.9849999999999999</v>
      </c>
      <c r="P87" s="36">
        <v>3.0059999999999998</v>
      </c>
      <c r="Q87" s="36">
        <v>3.0259999999999998</v>
      </c>
      <c r="R87" s="36">
        <v>3.0449999999999999</v>
      </c>
      <c r="S87" s="36">
        <v>3.0619999999999998</v>
      </c>
      <c r="T87" s="36">
        <v>3.0790000000000002</v>
      </c>
      <c r="U87" s="286">
        <v>3.0939999999999999</v>
      </c>
    </row>
    <row r="88" spans="1:21" x14ac:dyDescent="0.25">
      <c r="A88" s="543">
        <v>33</v>
      </c>
      <c r="B88" s="285">
        <v>2.0350000000000001</v>
      </c>
      <c r="C88" s="36">
        <v>2.31</v>
      </c>
      <c r="D88" s="36">
        <v>2.4620000000000002</v>
      </c>
      <c r="E88" s="36">
        <v>2.5649999999999999</v>
      </c>
      <c r="F88" s="36">
        <v>2.6429999999999998</v>
      </c>
      <c r="G88" s="36">
        <v>2.7050000000000001</v>
      </c>
      <c r="H88" s="36">
        <v>2.7570000000000001</v>
      </c>
      <c r="I88" s="36">
        <v>2.8010000000000002</v>
      </c>
      <c r="J88" s="36">
        <v>2.84</v>
      </c>
      <c r="K88" s="36">
        <v>2.8730000000000002</v>
      </c>
      <c r="L88" s="36">
        <v>2.9039999999999999</v>
      </c>
      <c r="M88" s="36">
        <v>2.931</v>
      </c>
      <c r="N88" s="36">
        <v>2.956</v>
      </c>
      <c r="O88" s="36">
        <v>2.9790000000000001</v>
      </c>
      <c r="P88" s="36">
        <v>3.0009999999999999</v>
      </c>
      <c r="Q88" s="36">
        <v>3.0209999999999999</v>
      </c>
      <c r="R88" s="36">
        <v>3.0390000000000001</v>
      </c>
      <c r="S88" s="36">
        <v>3.056</v>
      </c>
      <c r="T88" s="36">
        <v>3.073</v>
      </c>
      <c r="U88" s="286">
        <v>3.0880000000000001</v>
      </c>
    </row>
    <row r="89" spans="1:21" x14ac:dyDescent="0.25">
      <c r="A89" s="543">
        <v>34</v>
      </c>
      <c r="B89" s="285">
        <v>2.032</v>
      </c>
      <c r="C89" s="36">
        <v>2.3069999999999999</v>
      </c>
      <c r="D89" s="36">
        <v>2.4580000000000002</v>
      </c>
      <c r="E89" s="36">
        <v>2.5609999999999999</v>
      </c>
      <c r="F89" s="36">
        <v>2.6389999999999998</v>
      </c>
      <c r="G89" s="36">
        <v>2.7010000000000001</v>
      </c>
      <c r="H89" s="36">
        <v>2.7530000000000001</v>
      </c>
      <c r="I89" s="36">
        <v>2.7970000000000002</v>
      </c>
      <c r="J89" s="36">
        <v>2.835</v>
      </c>
      <c r="K89" s="36">
        <v>2.8690000000000002</v>
      </c>
      <c r="L89" s="36">
        <v>2.899</v>
      </c>
      <c r="M89" s="36">
        <v>2.9260000000000002</v>
      </c>
      <c r="N89" s="36">
        <v>2.9510000000000001</v>
      </c>
      <c r="O89" s="36">
        <v>2.9740000000000002</v>
      </c>
      <c r="P89" s="36">
        <v>2.996</v>
      </c>
      <c r="Q89" s="36">
        <v>3.0150000000000001</v>
      </c>
      <c r="R89" s="36">
        <v>3.0339999999999998</v>
      </c>
      <c r="S89" s="36">
        <v>3.0510000000000002</v>
      </c>
      <c r="T89" s="36">
        <v>3.0670000000000002</v>
      </c>
      <c r="U89" s="286">
        <v>3.0819999999999999</v>
      </c>
    </row>
    <row r="90" spans="1:21" x14ac:dyDescent="0.25">
      <c r="A90" s="543">
        <v>35</v>
      </c>
      <c r="B90" s="285">
        <v>2.0299999999999998</v>
      </c>
      <c r="C90" s="36">
        <v>2.3050000000000002</v>
      </c>
      <c r="D90" s="36">
        <v>2.4550000000000001</v>
      </c>
      <c r="E90" s="36">
        <v>2.5579999999999998</v>
      </c>
      <c r="F90" s="36">
        <v>2.6349999999999998</v>
      </c>
      <c r="G90" s="36">
        <v>2.6970000000000001</v>
      </c>
      <c r="H90" s="36">
        <v>2.7480000000000002</v>
      </c>
      <c r="I90" s="36">
        <v>2.7919999999999998</v>
      </c>
      <c r="J90" s="36">
        <v>2.83</v>
      </c>
      <c r="K90" s="36">
        <v>2.8639999999999999</v>
      </c>
      <c r="L90" s="36">
        <v>2.8940000000000001</v>
      </c>
      <c r="M90" s="36">
        <v>2.9220000000000002</v>
      </c>
      <c r="N90" s="36">
        <v>2.9470000000000001</v>
      </c>
      <c r="O90" s="36">
        <v>2.9689999999999999</v>
      </c>
      <c r="P90" s="36">
        <v>2.9910000000000001</v>
      </c>
      <c r="Q90" s="36">
        <v>3.01</v>
      </c>
      <c r="R90" s="36">
        <v>3.0289999999999999</v>
      </c>
      <c r="S90" s="36">
        <v>3.0459999999999998</v>
      </c>
      <c r="T90" s="36">
        <v>3.0619999999999998</v>
      </c>
      <c r="U90" s="286">
        <v>3.077</v>
      </c>
    </row>
    <row r="91" spans="1:21" x14ac:dyDescent="0.25">
      <c r="A91" s="543">
        <v>36</v>
      </c>
      <c r="B91" s="285">
        <v>2.028</v>
      </c>
      <c r="C91" s="36">
        <v>2.302</v>
      </c>
      <c r="D91" s="36">
        <v>2.452</v>
      </c>
      <c r="E91" s="36">
        <v>2.5550000000000002</v>
      </c>
      <c r="F91" s="36">
        <v>2.6320000000000001</v>
      </c>
      <c r="G91" s="36">
        <v>2.6930000000000001</v>
      </c>
      <c r="H91" s="36">
        <v>2.7450000000000001</v>
      </c>
      <c r="I91" s="36">
        <v>2.7879999999999998</v>
      </c>
      <c r="J91" s="36">
        <v>2.8260000000000001</v>
      </c>
      <c r="K91" s="36">
        <v>2.86</v>
      </c>
      <c r="L91" s="36">
        <v>2.89</v>
      </c>
      <c r="M91" s="36">
        <v>2.9169999999999998</v>
      </c>
      <c r="N91" s="36">
        <v>2.9420000000000002</v>
      </c>
      <c r="O91" s="36">
        <v>2.9649999999999999</v>
      </c>
      <c r="P91" s="36">
        <v>2.9860000000000002</v>
      </c>
      <c r="Q91" s="36">
        <v>3.0049999999999999</v>
      </c>
      <c r="R91" s="36">
        <v>3.024</v>
      </c>
      <c r="S91" s="36">
        <v>3.0409999999999999</v>
      </c>
      <c r="T91" s="36">
        <v>3.0569999999999999</v>
      </c>
      <c r="U91" s="286">
        <v>3.0720000000000001</v>
      </c>
    </row>
    <row r="92" spans="1:21" x14ac:dyDescent="0.25">
      <c r="A92" s="543">
        <v>37</v>
      </c>
      <c r="B92" s="285">
        <v>2.0259999999999998</v>
      </c>
      <c r="C92" s="36">
        <v>2.2989999999999999</v>
      </c>
      <c r="D92" s="36">
        <v>2.4489999999999998</v>
      </c>
      <c r="E92" s="36">
        <v>2.5510000000000002</v>
      </c>
      <c r="F92" s="36">
        <v>2.6280000000000001</v>
      </c>
      <c r="G92" s="36">
        <v>2.69</v>
      </c>
      <c r="H92" s="36">
        <v>2.7410000000000001</v>
      </c>
      <c r="I92" s="36">
        <v>2.7839999999999998</v>
      </c>
      <c r="J92" s="36">
        <v>2.8220000000000001</v>
      </c>
      <c r="K92" s="36">
        <v>2.8559999999999999</v>
      </c>
      <c r="L92" s="36">
        <v>2.8860000000000001</v>
      </c>
      <c r="M92" s="36">
        <v>2.9129999999999998</v>
      </c>
      <c r="N92" s="36">
        <v>2.9380000000000002</v>
      </c>
      <c r="O92" s="36">
        <v>2.96</v>
      </c>
      <c r="P92" s="36">
        <v>2.9809999999999999</v>
      </c>
      <c r="Q92" s="36">
        <v>3.0009999999999999</v>
      </c>
      <c r="R92" s="36">
        <v>3.0190000000000001</v>
      </c>
      <c r="S92" s="36">
        <v>3.036</v>
      </c>
      <c r="T92" s="36">
        <v>3.052</v>
      </c>
      <c r="U92" s="286">
        <v>3.0680000000000001</v>
      </c>
    </row>
    <row r="93" spans="1:21" x14ac:dyDescent="0.25">
      <c r="A93" s="543">
        <v>38</v>
      </c>
      <c r="B93" s="285">
        <v>2.024</v>
      </c>
      <c r="C93" s="36">
        <v>2.2970000000000002</v>
      </c>
      <c r="D93" s="36">
        <v>2.4470000000000001</v>
      </c>
      <c r="E93" s="36">
        <v>2.548</v>
      </c>
      <c r="F93" s="36">
        <v>2.625</v>
      </c>
      <c r="G93" s="36">
        <v>2.6859999999999999</v>
      </c>
      <c r="H93" s="36">
        <v>2.7370000000000001</v>
      </c>
      <c r="I93" s="36">
        <v>2.7810000000000001</v>
      </c>
      <c r="J93" s="36">
        <v>2.819</v>
      </c>
      <c r="K93" s="36">
        <v>2.8519999999999999</v>
      </c>
      <c r="L93" s="36">
        <v>2.8820000000000001</v>
      </c>
      <c r="M93" s="36">
        <v>2.9089999999999998</v>
      </c>
      <c r="N93" s="36">
        <v>2.9340000000000002</v>
      </c>
      <c r="O93" s="36">
        <v>2.956</v>
      </c>
      <c r="P93" s="36">
        <v>2.9769999999999999</v>
      </c>
      <c r="Q93" s="36">
        <v>2.9969999999999999</v>
      </c>
      <c r="R93" s="36">
        <v>3.0150000000000001</v>
      </c>
      <c r="S93" s="36">
        <v>3.032</v>
      </c>
      <c r="T93" s="36">
        <v>3.048</v>
      </c>
      <c r="U93" s="286">
        <v>3.0630000000000002</v>
      </c>
    </row>
    <row r="94" spans="1:21" x14ac:dyDescent="0.25">
      <c r="A94" s="543">
        <v>39</v>
      </c>
      <c r="B94" s="285">
        <v>2.0230000000000001</v>
      </c>
      <c r="C94" s="36">
        <v>2.2949999999999999</v>
      </c>
      <c r="D94" s="36">
        <v>2.444</v>
      </c>
      <c r="E94" s="36">
        <v>2.5459999999999998</v>
      </c>
      <c r="F94" s="36">
        <v>2.6219999999999999</v>
      </c>
      <c r="G94" s="36">
        <v>2.6829999999999998</v>
      </c>
      <c r="H94" s="36">
        <v>2.734</v>
      </c>
      <c r="I94" s="36">
        <v>2.7770000000000001</v>
      </c>
      <c r="J94" s="36">
        <v>2.8149999999999999</v>
      </c>
      <c r="K94" s="36">
        <v>2.8479999999999999</v>
      </c>
      <c r="L94" s="36">
        <v>2.8780000000000001</v>
      </c>
      <c r="M94" s="36">
        <v>2.9049999999999998</v>
      </c>
      <c r="N94" s="36">
        <v>2.93</v>
      </c>
      <c r="O94" s="36">
        <v>2.952</v>
      </c>
      <c r="P94" s="36">
        <v>2.9729999999999999</v>
      </c>
      <c r="Q94" s="36">
        <v>2.9929999999999999</v>
      </c>
      <c r="R94" s="36">
        <v>3.0110000000000001</v>
      </c>
      <c r="S94" s="36">
        <v>3.028</v>
      </c>
      <c r="T94" s="36">
        <v>3.044</v>
      </c>
      <c r="U94" s="286">
        <v>3.0590000000000002</v>
      </c>
    </row>
    <row r="95" spans="1:21" x14ac:dyDescent="0.25">
      <c r="A95" s="543">
        <v>40</v>
      </c>
      <c r="B95" s="285">
        <v>2.0209999999999999</v>
      </c>
      <c r="C95" s="36">
        <v>2.2930000000000001</v>
      </c>
      <c r="D95" s="36">
        <v>2.4409999999999998</v>
      </c>
      <c r="E95" s="36">
        <v>2.5430000000000001</v>
      </c>
      <c r="F95" s="36">
        <v>2.6190000000000002</v>
      </c>
      <c r="G95" s="36">
        <v>2.68</v>
      </c>
      <c r="H95" s="36">
        <v>2.7309999999999999</v>
      </c>
      <c r="I95" s="36">
        <v>2.774</v>
      </c>
      <c r="J95" s="36">
        <v>2.8119999999999998</v>
      </c>
      <c r="K95" s="36">
        <v>2.8450000000000002</v>
      </c>
      <c r="L95" s="36">
        <v>2.875</v>
      </c>
      <c r="M95" s="36">
        <v>2.9020000000000001</v>
      </c>
      <c r="N95" s="36">
        <v>2.9260000000000002</v>
      </c>
      <c r="O95" s="36">
        <v>2.9489999999999998</v>
      </c>
      <c r="P95" s="36">
        <v>2.97</v>
      </c>
      <c r="Q95" s="36">
        <v>2.9889999999999999</v>
      </c>
      <c r="R95" s="36">
        <v>3.0070000000000001</v>
      </c>
      <c r="S95" s="36">
        <v>3.024</v>
      </c>
      <c r="T95" s="36">
        <v>3.04</v>
      </c>
      <c r="U95" s="286">
        <v>3.0550000000000002</v>
      </c>
    </row>
    <row r="96" spans="1:21" x14ac:dyDescent="0.25">
      <c r="A96" s="543">
        <v>48</v>
      </c>
      <c r="B96" s="285">
        <v>2.0110000000000001</v>
      </c>
      <c r="C96" s="36">
        <v>2.2789999999999999</v>
      </c>
      <c r="D96" s="36">
        <v>2.4260000000000002</v>
      </c>
      <c r="E96" s="36">
        <v>2.5259999999999998</v>
      </c>
      <c r="F96" s="36">
        <v>2.601</v>
      </c>
      <c r="G96" s="36">
        <v>2.661</v>
      </c>
      <c r="H96" s="36">
        <v>2.7109999999999999</v>
      </c>
      <c r="I96" s="36">
        <v>2.7530000000000001</v>
      </c>
      <c r="J96" s="36">
        <v>2.79</v>
      </c>
      <c r="K96" s="36">
        <v>2.823</v>
      </c>
      <c r="L96" s="36">
        <v>2.8519999999999999</v>
      </c>
      <c r="M96" s="36">
        <v>2.879</v>
      </c>
      <c r="N96" s="36">
        <v>2.903</v>
      </c>
      <c r="O96" s="36">
        <v>2.9249999999999998</v>
      </c>
      <c r="P96" s="36">
        <v>2.9449999999999998</v>
      </c>
      <c r="Q96" s="36">
        <v>2.964</v>
      </c>
      <c r="R96" s="36">
        <v>2.9820000000000002</v>
      </c>
      <c r="S96" s="36">
        <v>2.9990000000000001</v>
      </c>
      <c r="T96" s="36">
        <v>3.0150000000000001</v>
      </c>
      <c r="U96" s="286">
        <v>3.0289999999999999</v>
      </c>
    </row>
    <row r="97" spans="1:21" x14ac:dyDescent="0.25">
      <c r="A97" s="543">
        <v>60</v>
      </c>
      <c r="B97" s="285">
        <v>2</v>
      </c>
      <c r="C97" s="36">
        <v>2.2650000000000001</v>
      </c>
      <c r="D97" s="36">
        <v>2.41</v>
      </c>
      <c r="E97" s="36">
        <v>2.508</v>
      </c>
      <c r="F97" s="36">
        <v>2.5819999999999999</v>
      </c>
      <c r="G97" s="36">
        <v>2.6419999999999999</v>
      </c>
      <c r="H97" s="36">
        <v>2.6909999999999998</v>
      </c>
      <c r="I97" s="36">
        <v>2.7330000000000001</v>
      </c>
      <c r="J97" s="36">
        <v>2.7690000000000001</v>
      </c>
      <c r="K97" s="36">
        <v>2.8010000000000002</v>
      </c>
      <c r="L97" s="36">
        <v>2.83</v>
      </c>
      <c r="M97" s="36">
        <v>2.8559999999999999</v>
      </c>
      <c r="N97" s="36">
        <v>2.88</v>
      </c>
      <c r="O97" s="36">
        <v>2.9009999999999998</v>
      </c>
      <c r="P97" s="36">
        <v>2.9220000000000002</v>
      </c>
      <c r="Q97" s="36">
        <v>2.94</v>
      </c>
      <c r="R97" s="36">
        <v>2.9580000000000002</v>
      </c>
      <c r="S97" s="36">
        <v>2.9740000000000002</v>
      </c>
      <c r="T97" s="36">
        <v>2.9889999999999999</v>
      </c>
      <c r="U97" s="286">
        <v>3.004</v>
      </c>
    </row>
    <row r="98" spans="1:21" x14ac:dyDescent="0.25">
      <c r="A98" s="543">
        <v>80</v>
      </c>
      <c r="B98" s="285">
        <v>1.99</v>
      </c>
      <c r="C98" s="36">
        <v>2.2519999999999998</v>
      </c>
      <c r="D98" s="36">
        <v>2.3940000000000001</v>
      </c>
      <c r="E98" s="36">
        <v>2.4910000000000001</v>
      </c>
      <c r="F98" s="36">
        <v>2.5640000000000001</v>
      </c>
      <c r="G98" s="36">
        <v>2.6230000000000002</v>
      </c>
      <c r="H98" s="36">
        <v>2.6709999999999998</v>
      </c>
      <c r="I98" s="36">
        <v>2.7120000000000002</v>
      </c>
      <c r="J98" s="36">
        <v>2.7480000000000002</v>
      </c>
      <c r="K98" s="36">
        <v>2.78</v>
      </c>
      <c r="L98" s="36">
        <v>2.8079999999999998</v>
      </c>
      <c r="M98" s="36">
        <v>2.8330000000000002</v>
      </c>
      <c r="N98" s="36">
        <v>2.8570000000000002</v>
      </c>
      <c r="O98" s="36">
        <v>2.8780000000000001</v>
      </c>
      <c r="P98" s="36">
        <v>2.8980000000000001</v>
      </c>
      <c r="Q98" s="36">
        <v>2.9159999999999999</v>
      </c>
      <c r="R98" s="36">
        <v>2.9329999999999998</v>
      </c>
      <c r="S98" s="36">
        <v>2.95</v>
      </c>
      <c r="T98" s="36">
        <v>2.9649999999999999</v>
      </c>
      <c r="U98" s="286">
        <v>2.9790000000000001</v>
      </c>
    </row>
    <row r="99" spans="1:21" x14ac:dyDescent="0.25">
      <c r="A99" s="543">
        <v>120</v>
      </c>
      <c r="B99" s="285">
        <v>1.98</v>
      </c>
      <c r="C99" s="36">
        <v>2.238</v>
      </c>
      <c r="D99" s="36">
        <v>2.379</v>
      </c>
      <c r="E99" s="36">
        <v>2.4750000000000001</v>
      </c>
      <c r="F99" s="36">
        <v>2.5470000000000002</v>
      </c>
      <c r="G99" s="36">
        <v>2.6040000000000001</v>
      </c>
      <c r="H99" s="36">
        <v>2.6509999999999998</v>
      </c>
      <c r="I99" s="36">
        <v>2.6920000000000002</v>
      </c>
      <c r="J99" s="36">
        <v>2.7269999999999999</v>
      </c>
      <c r="K99" s="36">
        <v>2.758</v>
      </c>
      <c r="L99" s="36">
        <v>2.786</v>
      </c>
      <c r="M99" s="36">
        <v>2.8109999999999999</v>
      </c>
      <c r="N99" s="36">
        <v>2.8340000000000001</v>
      </c>
      <c r="O99" s="36">
        <v>2.855</v>
      </c>
      <c r="P99" s="36">
        <v>2.875</v>
      </c>
      <c r="Q99" s="36">
        <v>2.8929999999999998</v>
      </c>
      <c r="R99" s="36">
        <v>2.91</v>
      </c>
      <c r="S99" s="36">
        <v>2.9249999999999998</v>
      </c>
      <c r="T99" s="36">
        <v>2.94</v>
      </c>
      <c r="U99" s="286">
        <v>2.9540000000000002</v>
      </c>
    </row>
    <row r="100" spans="1:21" x14ac:dyDescent="0.25">
      <c r="A100" s="543">
        <v>240</v>
      </c>
      <c r="B100" s="285">
        <v>1.97</v>
      </c>
      <c r="C100" s="36">
        <v>2.2250000000000001</v>
      </c>
      <c r="D100" s="36">
        <v>2.3639999999999999</v>
      </c>
      <c r="E100" s="36">
        <v>2.4580000000000002</v>
      </c>
      <c r="F100" s="36">
        <v>2.5289999999999999</v>
      </c>
      <c r="G100" s="36">
        <v>2.585</v>
      </c>
      <c r="H100" s="36">
        <v>2.6320000000000001</v>
      </c>
      <c r="I100" s="36">
        <v>2.6720000000000002</v>
      </c>
      <c r="J100" s="36">
        <v>2.7069999999999999</v>
      </c>
      <c r="K100" s="36">
        <v>2.7370000000000001</v>
      </c>
      <c r="L100" s="36">
        <v>2.7639999999999998</v>
      </c>
      <c r="M100" s="36">
        <v>2.7890000000000001</v>
      </c>
      <c r="N100" s="36">
        <v>2.8119999999999998</v>
      </c>
      <c r="O100" s="36">
        <v>2.8319999999999999</v>
      </c>
      <c r="P100" s="36">
        <v>2.8519999999999999</v>
      </c>
      <c r="Q100" s="36">
        <v>2.8690000000000002</v>
      </c>
      <c r="R100" s="36">
        <v>2.8860000000000001</v>
      </c>
      <c r="S100" s="36">
        <v>2.9009999999999998</v>
      </c>
      <c r="T100" s="36">
        <v>2.9159999999999999</v>
      </c>
      <c r="U100" s="286">
        <v>2.93</v>
      </c>
    </row>
    <row r="101" spans="1:21" x14ac:dyDescent="0.25">
      <c r="A101" s="544" t="s">
        <v>66</v>
      </c>
      <c r="B101" s="287">
        <v>1.96</v>
      </c>
      <c r="C101" s="483">
        <v>2.2120000000000002</v>
      </c>
      <c r="D101" s="483">
        <v>2.3490000000000002</v>
      </c>
      <c r="E101" s="483">
        <v>2.4420000000000002</v>
      </c>
      <c r="F101" s="483">
        <v>2.5110000000000001</v>
      </c>
      <c r="G101" s="483">
        <v>2.5670000000000002</v>
      </c>
      <c r="H101" s="483">
        <v>2.613</v>
      </c>
      <c r="I101" s="483">
        <v>2.6520000000000001</v>
      </c>
      <c r="J101" s="483">
        <v>2.6859999999999999</v>
      </c>
      <c r="K101" s="483">
        <v>2.7160000000000002</v>
      </c>
      <c r="L101" s="483">
        <v>2.7429999999999999</v>
      </c>
      <c r="M101" s="483">
        <v>2.7669999999999999</v>
      </c>
      <c r="N101" s="483">
        <v>2.79</v>
      </c>
      <c r="O101" s="483">
        <v>2.81</v>
      </c>
      <c r="P101" s="483">
        <v>2.8290000000000002</v>
      </c>
      <c r="Q101" s="483">
        <v>2.8460000000000001</v>
      </c>
      <c r="R101" s="483">
        <v>2.8620000000000001</v>
      </c>
      <c r="S101" s="483">
        <v>2.8780000000000001</v>
      </c>
      <c r="T101" s="483">
        <v>2.8919999999999999</v>
      </c>
      <c r="U101" s="288">
        <v>2.9049999999999998</v>
      </c>
    </row>
    <row r="103" spans="1:21" x14ac:dyDescent="0.25">
      <c r="A103" s="1" t="s">
        <v>70</v>
      </c>
      <c r="B103" s="545">
        <v>0.1</v>
      </c>
    </row>
    <row r="105" spans="1:21" x14ac:dyDescent="0.25">
      <c r="A105" s="12" t="s">
        <v>1245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8</v>
      </c>
      <c r="I105">
        <v>9</v>
      </c>
      <c r="J105">
        <v>10</v>
      </c>
      <c r="K105">
        <v>11</v>
      </c>
      <c r="L105">
        <v>12</v>
      </c>
      <c r="M105">
        <v>13</v>
      </c>
      <c r="N105">
        <v>14</v>
      </c>
      <c r="O105">
        <v>15</v>
      </c>
      <c r="P105">
        <v>16</v>
      </c>
      <c r="Q105">
        <v>17</v>
      </c>
      <c r="R105">
        <v>18</v>
      </c>
      <c r="S105">
        <v>19</v>
      </c>
      <c r="T105">
        <v>20</v>
      </c>
      <c r="U105">
        <v>21</v>
      </c>
    </row>
    <row r="106" spans="1:21" x14ac:dyDescent="0.25">
      <c r="A106" s="543">
        <v>1</v>
      </c>
      <c r="B106" s="541">
        <v>6.3140000000000001</v>
      </c>
      <c r="C106" s="481">
        <v>8.65</v>
      </c>
      <c r="D106" s="481">
        <v>9.9830000000000005</v>
      </c>
      <c r="E106" s="481">
        <v>10.891</v>
      </c>
      <c r="F106" s="481">
        <v>11.57</v>
      </c>
      <c r="G106" s="481">
        <v>12.108000000000001</v>
      </c>
      <c r="H106" s="481">
        <v>12.551</v>
      </c>
      <c r="I106" s="481">
        <v>12.926</v>
      </c>
      <c r="J106" s="481">
        <v>13.25</v>
      </c>
      <c r="K106" s="481">
        <v>13.535</v>
      </c>
      <c r="L106" s="481">
        <v>13.788</v>
      </c>
      <c r="M106" s="481">
        <v>14.016999999999999</v>
      </c>
      <c r="N106" s="481">
        <v>14.224</v>
      </c>
      <c r="O106" s="481">
        <v>14.414</v>
      </c>
      <c r="P106" s="481">
        <v>14.589</v>
      </c>
      <c r="Q106" s="481">
        <v>14.75</v>
      </c>
      <c r="R106" s="481">
        <v>14.901</v>
      </c>
      <c r="S106" s="481">
        <v>15.042</v>
      </c>
      <c r="T106" s="481">
        <v>15.173999999999999</v>
      </c>
      <c r="U106" s="542">
        <v>15.298</v>
      </c>
    </row>
    <row r="107" spans="1:21" x14ac:dyDescent="0.25">
      <c r="A107">
        <v>2</v>
      </c>
      <c r="B107" s="285">
        <v>2.92</v>
      </c>
      <c r="C107" s="36">
        <v>3.7210000000000001</v>
      </c>
      <c r="D107" s="36">
        <v>4.1820000000000004</v>
      </c>
      <c r="E107" s="36">
        <v>4.5</v>
      </c>
      <c r="F107" s="36">
        <v>4.74</v>
      </c>
      <c r="G107" s="36">
        <v>4.9320000000000004</v>
      </c>
      <c r="H107" s="36">
        <v>5.0910000000000002</v>
      </c>
      <c r="I107" s="36">
        <v>5.226</v>
      </c>
      <c r="J107" s="36">
        <v>5.3440000000000003</v>
      </c>
      <c r="K107" s="36">
        <v>5.4470000000000001</v>
      </c>
      <c r="L107" s="36">
        <v>5.54</v>
      </c>
      <c r="M107" s="36">
        <v>5.6230000000000002</v>
      </c>
      <c r="N107" s="36">
        <v>5.6989999999999998</v>
      </c>
      <c r="O107" s="36">
        <v>5.7679999999999998</v>
      </c>
      <c r="P107" s="36">
        <v>5.8330000000000002</v>
      </c>
      <c r="Q107" s="36">
        <v>5.8920000000000003</v>
      </c>
      <c r="R107" s="36">
        <v>5.9480000000000004</v>
      </c>
      <c r="S107" s="36">
        <v>6</v>
      </c>
      <c r="T107" s="36">
        <v>6.048</v>
      </c>
      <c r="U107" s="286">
        <v>6.0940000000000003</v>
      </c>
    </row>
    <row r="108" spans="1:21" x14ac:dyDescent="0.25">
      <c r="A108">
        <v>3</v>
      </c>
      <c r="B108" s="285">
        <v>2.3530000000000002</v>
      </c>
      <c r="C108" s="36">
        <v>2.9119999999999999</v>
      </c>
      <c r="D108" s="36">
        <v>3.2320000000000002</v>
      </c>
      <c r="E108" s="36">
        <v>3.4529999999999998</v>
      </c>
      <c r="F108" s="36">
        <v>3.621</v>
      </c>
      <c r="G108" s="36">
        <v>3.7549999999999999</v>
      </c>
      <c r="H108" s="36">
        <v>3.8660000000000001</v>
      </c>
      <c r="I108" s="36">
        <v>3.9609999999999999</v>
      </c>
      <c r="J108" s="36">
        <v>4.0439999999999996</v>
      </c>
      <c r="K108" s="36">
        <v>4.117</v>
      </c>
      <c r="L108" s="36">
        <v>4.1820000000000004</v>
      </c>
      <c r="M108" s="36">
        <v>4.242</v>
      </c>
      <c r="N108" s="36">
        <v>4.2949999999999999</v>
      </c>
      <c r="O108" s="36">
        <v>4.3449999999999998</v>
      </c>
      <c r="P108" s="36">
        <v>4.3899999999999997</v>
      </c>
      <c r="Q108" s="36">
        <v>4.4320000000000004</v>
      </c>
      <c r="R108" s="36">
        <v>4.4720000000000004</v>
      </c>
      <c r="S108" s="36">
        <v>4.5090000000000003</v>
      </c>
      <c r="T108" s="36">
        <v>4.5430000000000001</v>
      </c>
      <c r="U108" s="286">
        <v>4.5759999999999996</v>
      </c>
    </row>
    <row r="109" spans="1:21" x14ac:dyDescent="0.25">
      <c r="A109">
        <v>4</v>
      </c>
      <c r="B109" s="285">
        <v>2.1320000000000001</v>
      </c>
      <c r="C109" s="36">
        <v>2.5979999999999999</v>
      </c>
      <c r="D109" s="36">
        <v>2.863</v>
      </c>
      <c r="E109" s="36">
        <v>3.0459999999999998</v>
      </c>
      <c r="F109" s="36">
        <v>3.1850000000000001</v>
      </c>
      <c r="G109" s="36">
        <v>3.2959999999999998</v>
      </c>
      <c r="H109" s="36">
        <v>3.3889999999999998</v>
      </c>
      <c r="I109" s="36">
        <v>3.468</v>
      </c>
      <c r="J109" s="36">
        <v>3.536</v>
      </c>
      <c r="K109" s="36">
        <v>3.597</v>
      </c>
      <c r="L109" s="36">
        <v>3.6520000000000001</v>
      </c>
      <c r="M109" s="36">
        <v>3.7010000000000001</v>
      </c>
      <c r="N109" s="36">
        <v>3.746</v>
      </c>
      <c r="O109" s="36">
        <v>3.7869999999999999</v>
      </c>
      <c r="P109" s="36">
        <v>3.8250000000000002</v>
      </c>
      <c r="Q109" s="36">
        <v>3.86</v>
      </c>
      <c r="R109" s="36">
        <v>3.8929999999999998</v>
      </c>
      <c r="S109" s="36">
        <v>3.9239999999999999</v>
      </c>
      <c r="T109" s="36">
        <v>3.9529999999999998</v>
      </c>
      <c r="U109" s="286">
        <v>3.98</v>
      </c>
    </row>
    <row r="110" spans="1:21" x14ac:dyDescent="0.25">
      <c r="A110">
        <v>5</v>
      </c>
      <c r="B110" s="285">
        <v>2.0150000000000001</v>
      </c>
      <c r="C110" s="36">
        <v>2.4329999999999998</v>
      </c>
      <c r="D110" s="36">
        <v>2.669</v>
      </c>
      <c r="E110" s="36">
        <v>2.8319999999999999</v>
      </c>
      <c r="F110" s="36">
        <v>2.956</v>
      </c>
      <c r="G110" s="36">
        <v>3.0550000000000002</v>
      </c>
      <c r="H110" s="36">
        <v>3.137</v>
      </c>
      <c r="I110" s="36">
        <v>3.2069999999999999</v>
      </c>
      <c r="J110" s="36">
        <v>3.2679999999999998</v>
      </c>
      <c r="K110" s="36">
        <v>3.3220000000000001</v>
      </c>
      <c r="L110" s="36">
        <v>3.371</v>
      </c>
      <c r="M110" s="36">
        <v>3.415</v>
      </c>
      <c r="N110" s="36">
        <v>3.4550000000000001</v>
      </c>
      <c r="O110" s="36">
        <v>3.4910000000000001</v>
      </c>
      <c r="P110" s="36">
        <v>3.5249999999999999</v>
      </c>
      <c r="Q110" s="36">
        <v>3.5569999999999999</v>
      </c>
      <c r="R110" s="36">
        <v>3.5859999999999999</v>
      </c>
      <c r="S110" s="36">
        <v>3.6139999999999999</v>
      </c>
      <c r="T110" s="36">
        <v>3.64</v>
      </c>
      <c r="U110" s="286">
        <v>3.6640000000000001</v>
      </c>
    </row>
    <row r="111" spans="1:21" x14ac:dyDescent="0.25">
      <c r="A111">
        <v>6</v>
      </c>
      <c r="B111" s="285">
        <v>1.9430000000000001</v>
      </c>
      <c r="C111" s="36">
        <v>2.3319999999999999</v>
      </c>
      <c r="D111" s="36">
        <v>2.5510000000000002</v>
      </c>
      <c r="E111" s="36">
        <v>2.7010000000000001</v>
      </c>
      <c r="F111" s="36">
        <v>2.8149999999999999</v>
      </c>
      <c r="G111" s="36">
        <v>2.9060000000000001</v>
      </c>
      <c r="H111" s="36">
        <v>2.9820000000000002</v>
      </c>
      <c r="I111" s="36">
        <v>3.0470000000000002</v>
      </c>
      <c r="J111" s="36">
        <v>3.1030000000000002</v>
      </c>
      <c r="K111" s="36">
        <v>3.153</v>
      </c>
      <c r="L111" s="36">
        <v>3.198</v>
      </c>
      <c r="M111" s="36">
        <v>3.238</v>
      </c>
      <c r="N111" s="36">
        <v>3.2749999999999999</v>
      </c>
      <c r="O111" s="36">
        <v>3.3090000000000002</v>
      </c>
      <c r="P111" s="36">
        <v>3.34</v>
      </c>
      <c r="Q111" s="36">
        <v>3.3690000000000002</v>
      </c>
      <c r="R111" s="36">
        <v>3.3959999999999999</v>
      </c>
      <c r="S111" s="36">
        <v>3.4220000000000002</v>
      </c>
      <c r="T111" s="36">
        <v>3.4460000000000002</v>
      </c>
      <c r="U111" s="286">
        <v>3.468</v>
      </c>
    </row>
    <row r="112" spans="1:21" x14ac:dyDescent="0.25">
      <c r="A112">
        <v>7</v>
      </c>
      <c r="B112" s="285">
        <v>1.895</v>
      </c>
      <c r="C112" s="36">
        <v>2.2639999999999998</v>
      </c>
      <c r="D112" s="36">
        <v>2.4700000000000002</v>
      </c>
      <c r="E112" s="36">
        <v>2.6120000000000001</v>
      </c>
      <c r="F112" s="36">
        <v>2.72</v>
      </c>
      <c r="G112" s="36">
        <v>2.806</v>
      </c>
      <c r="H112" s="36">
        <v>2.8769999999999998</v>
      </c>
      <c r="I112" s="36">
        <v>2.9380000000000002</v>
      </c>
      <c r="J112" s="36">
        <v>2.9910000000000001</v>
      </c>
      <c r="K112" s="36">
        <v>3.0379999999999998</v>
      </c>
      <c r="L112" s="36">
        <v>3.08</v>
      </c>
      <c r="M112" s="36">
        <v>3.1190000000000002</v>
      </c>
      <c r="N112" s="36">
        <v>3.153</v>
      </c>
      <c r="O112" s="36">
        <v>3.1850000000000001</v>
      </c>
      <c r="P112" s="36">
        <v>3.2149999999999999</v>
      </c>
      <c r="Q112" s="36">
        <v>3.242</v>
      </c>
      <c r="R112" s="36">
        <v>3.2679999999999998</v>
      </c>
      <c r="S112" s="36">
        <v>3.2919999999999998</v>
      </c>
      <c r="T112" s="36">
        <v>3.3140000000000001</v>
      </c>
      <c r="U112" s="286">
        <v>3.3359999999999999</v>
      </c>
    </row>
    <row r="113" spans="1:21" x14ac:dyDescent="0.25">
      <c r="A113">
        <v>8</v>
      </c>
      <c r="B113" s="285">
        <v>1.86</v>
      </c>
      <c r="C113" s="36">
        <v>2.2149999999999999</v>
      </c>
      <c r="D113" s="36">
        <v>2.4129999999999998</v>
      </c>
      <c r="E113" s="36">
        <v>2.548</v>
      </c>
      <c r="F113" s="36">
        <v>2.6509999999999998</v>
      </c>
      <c r="G113" s="36">
        <v>2.7330000000000001</v>
      </c>
      <c r="H113" s="36">
        <v>2.802</v>
      </c>
      <c r="I113" s="36">
        <v>2.86</v>
      </c>
      <c r="J113" s="36">
        <v>2.911</v>
      </c>
      <c r="K113" s="36">
        <v>2.956</v>
      </c>
      <c r="L113" s="36">
        <v>2.996</v>
      </c>
      <c r="M113" s="36">
        <v>3.032</v>
      </c>
      <c r="N113" s="36">
        <v>3.0649999999999999</v>
      </c>
      <c r="O113" s="36">
        <v>3.0960000000000001</v>
      </c>
      <c r="P113" s="36">
        <v>3.1240000000000001</v>
      </c>
      <c r="Q113" s="36">
        <v>3.15</v>
      </c>
      <c r="R113" s="36">
        <v>3.1749999999999998</v>
      </c>
      <c r="S113" s="36">
        <v>3.198</v>
      </c>
      <c r="T113" s="36">
        <v>3.2189999999999999</v>
      </c>
      <c r="U113" s="286">
        <v>3.2389999999999999</v>
      </c>
    </row>
    <row r="114" spans="1:21" x14ac:dyDescent="0.25">
      <c r="A114">
        <v>9</v>
      </c>
      <c r="B114" s="285">
        <v>1.833</v>
      </c>
      <c r="C114" s="36">
        <v>2.1779999999999999</v>
      </c>
      <c r="D114" s="36">
        <v>2.3690000000000002</v>
      </c>
      <c r="E114" s="36">
        <v>2.5</v>
      </c>
      <c r="F114" s="36">
        <v>2.5990000000000002</v>
      </c>
      <c r="G114" s="36">
        <v>2.6789999999999998</v>
      </c>
      <c r="H114" s="36">
        <v>2.7450000000000001</v>
      </c>
      <c r="I114" s="36">
        <v>2.8010000000000002</v>
      </c>
      <c r="J114" s="36">
        <v>2.85</v>
      </c>
      <c r="K114" s="36">
        <v>2.8929999999999998</v>
      </c>
      <c r="L114" s="36">
        <v>2.9319999999999999</v>
      </c>
      <c r="M114" s="36">
        <v>2.9670000000000001</v>
      </c>
      <c r="N114" s="36">
        <v>2.9990000000000001</v>
      </c>
      <c r="O114" s="36">
        <v>3.028</v>
      </c>
      <c r="P114" s="36">
        <v>3.0550000000000002</v>
      </c>
      <c r="Q114" s="36">
        <v>3.081</v>
      </c>
      <c r="R114" s="36">
        <v>3.1040000000000001</v>
      </c>
      <c r="S114" s="36">
        <v>3.1259999999999999</v>
      </c>
      <c r="T114" s="36">
        <v>3.1469999999999998</v>
      </c>
      <c r="U114" s="286">
        <v>3.1669999999999998</v>
      </c>
    </row>
    <row r="115" spans="1:21" x14ac:dyDescent="0.25">
      <c r="A115">
        <v>10</v>
      </c>
      <c r="B115" s="285">
        <v>1.8120000000000001</v>
      </c>
      <c r="C115" s="36">
        <v>2.149</v>
      </c>
      <c r="D115" s="36">
        <v>2.335</v>
      </c>
      <c r="E115" s="36">
        <v>2.4630000000000001</v>
      </c>
      <c r="F115" s="36">
        <v>2.5590000000000002</v>
      </c>
      <c r="G115" s="36">
        <v>2.6360000000000001</v>
      </c>
      <c r="H115" s="36">
        <v>2.7</v>
      </c>
      <c r="I115" s="36">
        <v>2.7549999999999999</v>
      </c>
      <c r="J115" s="36">
        <v>2.802</v>
      </c>
      <c r="K115" s="36">
        <v>2.8439999999999999</v>
      </c>
      <c r="L115" s="36">
        <v>2.8820000000000001</v>
      </c>
      <c r="M115" s="36">
        <v>2.9159999999999999</v>
      </c>
      <c r="N115" s="36">
        <v>2.9470000000000001</v>
      </c>
      <c r="O115" s="36">
        <v>2.9750000000000001</v>
      </c>
      <c r="P115" s="36">
        <v>3.0019999999999998</v>
      </c>
      <c r="Q115" s="36">
        <v>3.0259999999999998</v>
      </c>
      <c r="R115" s="36">
        <v>3.0489999999999999</v>
      </c>
      <c r="S115" s="36">
        <v>3.07</v>
      </c>
      <c r="T115" s="36">
        <v>3.0910000000000002</v>
      </c>
      <c r="U115" s="286">
        <v>3.11</v>
      </c>
    </row>
    <row r="116" spans="1:21" x14ac:dyDescent="0.25">
      <c r="A116">
        <v>11</v>
      </c>
      <c r="B116" s="285">
        <v>1.796</v>
      </c>
      <c r="C116" s="36">
        <v>2.1259999999999999</v>
      </c>
      <c r="D116" s="36">
        <v>2.3079999999999998</v>
      </c>
      <c r="E116" s="36">
        <v>2.4329999999999998</v>
      </c>
      <c r="F116" s="36">
        <v>2.5270000000000001</v>
      </c>
      <c r="G116" s="36">
        <v>2.6019999999999999</v>
      </c>
      <c r="H116" s="36">
        <v>2.6640000000000001</v>
      </c>
      <c r="I116" s="36">
        <v>2.718</v>
      </c>
      <c r="J116" s="36">
        <v>2.7639999999999998</v>
      </c>
      <c r="K116" s="36">
        <v>2.8050000000000002</v>
      </c>
      <c r="L116" s="36">
        <v>2.8420000000000001</v>
      </c>
      <c r="M116" s="36">
        <v>2.875</v>
      </c>
      <c r="N116" s="36">
        <v>2.9049999999999998</v>
      </c>
      <c r="O116" s="36">
        <v>2.9329999999999998</v>
      </c>
      <c r="P116" s="36">
        <v>2.9590000000000001</v>
      </c>
      <c r="Q116" s="36">
        <v>2.9820000000000002</v>
      </c>
      <c r="R116" s="36">
        <v>3.0049999999999999</v>
      </c>
      <c r="S116" s="36">
        <v>3.0259999999999998</v>
      </c>
      <c r="T116" s="36">
        <v>3.0449999999999999</v>
      </c>
      <c r="U116" s="286">
        <v>3.0640000000000001</v>
      </c>
    </row>
    <row r="117" spans="1:21" x14ac:dyDescent="0.25">
      <c r="A117">
        <v>12</v>
      </c>
      <c r="B117" s="285">
        <v>1.782</v>
      </c>
      <c r="C117" s="36">
        <v>2.1070000000000002</v>
      </c>
      <c r="D117" s="36">
        <v>2.286</v>
      </c>
      <c r="E117" s="36">
        <v>2.4079999999999999</v>
      </c>
      <c r="F117" s="36">
        <v>2.5</v>
      </c>
      <c r="G117" s="36">
        <v>2.5739999999999998</v>
      </c>
      <c r="H117" s="36">
        <v>2.6349999999999998</v>
      </c>
      <c r="I117" s="36">
        <v>2.6869999999999998</v>
      </c>
      <c r="J117" s="36">
        <v>2.7330000000000001</v>
      </c>
      <c r="K117" s="36">
        <v>2.7730000000000001</v>
      </c>
      <c r="L117" s="36">
        <v>2.8090000000000002</v>
      </c>
      <c r="M117" s="36">
        <v>2.8410000000000002</v>
      </c>
      <c r="N117" s="36">
        <v>2.871</v>
      </c>
      <c r="O117" s="36">
        <v>2.8980000000000001</v>
      </c>
      <c r="P117" s="36">
        <v>2.923</v>
      </c>
      <c r="Q117" s="36">
        <v>2.9470000000000001</v>
      </c>
      <c r="R117" s="36">
        <v>2.968</v>
      </c>
      <c r="S117" s="36">
        <v>2.9889999999999999</v>
      </c>
      <c r="T117" s="36">
        <v>3.008</v>
      </c>
      <c r="U117" s="286">
        <v>3.0259999999999998</v>
      </c>
    </row>
    <row r="118" spans="1:21" x14ac:dyDescent="0.25">
      <c r="A118">
        <v>13</v>
      </c>
      <c r="B118" s="285">
        <v>1.7709999999999999</v>
      </c>
      <c r="C118" s="36">
        <v>2.0910000000000002</v>
      </c>
      <c r="D118" s="36">
        <v>2.2669999999999999</v>
      </c>
      <c r="E118" s="36">
        <v>2.387</v>
      </c>
      <c r="F118" s="36">
        <v>2.4780000000000002</v>
      </c>
      <c r="G118" s="36">
        <v>2.5499999999999998</v>
      </c>
      <c r="H118" s="36">
        <v>2.6110000000000002</v>
      </c>
      <c r="I118" s="36">
        <v>2.6619999999999999</v>
      </c>
      <c r="J118" s="36">
        <v>2.706</v>
      </c>
      <c r="K118" s="36">
        <v>2.746</v>
      </c>
      <c r="L118" s="36">
        <v>2.7810000000000001</v>
      </c>
      <c r="M118" s="36">
        <v>2.8130000000000002</v>
      </c>
      <c r="N118" s="36">
        <v>2.8420000000000001</v>
      </c>
      <c r="O118" s="36">
        <v>2.8690000000000002</v>
      </c>
      <c r="P118" s="36">
        <v>2.8940000000000001</v>
      </c>
      <c r="Q118" s="36">
        <v>2.9169999999999998</v>
      </c>
      <c r="R118" s="36">
        <v>2.9380000000000002</v>
      </c>
      <c r="S118" s="36">
        <v>2.9580000000000002</v>
      </c>
      <c r="T118" s="36">
        <v>2.9769999999999999</v>
      </c>
      <c r="U118" s="286">
        <v>2.9950000000000001</v>
      </c>
    </row>
    <row r="119" spans="1:21" x14ac:dyDescent="0.25">
      <c r="A119">
        <v>14</v>
      </c>
      <c r="B119" s="285">
        <v>1.7609999999999999</v>
      </c>
      <c r="C119" s="36">
        <v>2.0779999999999998</v>
      </c>
      <c r="D119" s="36">
        <v>2.2519999999999998</v>
      </c>
      <c r="E119" s="36">
        <v>2.37</v>
      </c>
      <c r="F119" s="36">
        <v>2.4590000000000001</v>
      </c>
      <c r="G119" s="36">
        <v>2.5310000000000001</v>
      </c>
      <c r="H119" s="36">
        <v>2.59</v>
      </c>
      <c r="I119" s="36">
        <v>2.64</v>
      </c>
      <c r="J119" s="36">
        <v>2.6840000000000002</v>
      </c>
      <c r="K119" s="36">
        <v>2.7229999999999999</v>
      </c>
      <c r="L119" s="36">
        <v>2.758</v>
      </c>
      <c r="M119" s="36">
        <v>2.7890000000000001</v>
      </c>
      <c r="N119" s="36">
        <v>2.8180000000000001</v>
      </c>
      <c r="O119" s="36">
        <v>2.8439999999999999</v>
      </c>
      <c r="P119" s="36">
        <v>2.8679999999999999</v>
      </c>
      <c r="Q119" s="36">
        <v>2.891</v>
      </c>
      <c r="R119" s="36">
        <v>2.9119999999999999</v>
      </c>
      <c r="S119" s="36">
        <v>2.9319999999999999</v>
      </c>
      <c r="T119" s="36">
        <v>2.9510000000000001</v>
      </c>
      <c r="U119" s="286">
        <v>2.968</v>
      </c>
    </row>
    <row r="120" spans="1:21" x14ac:dyDescent="0.25">
      <c r="A120">
        <v>15</v>
      </c>
      <c r="B120" s="285">
        <v>1.7529999999999999</v>
      </c>
      <c r="C120" s="36">
        <v>2.0659999999999998</v>
      </c>
      <c r="D120" s="36">
        <v>2.238</v>
      </c>
      <c r="E120" s="36">
        <v>2.355</v>
      </c>
      <c r="F120" s="36">
        <v>2.4430000000000001</v>
      </c>
      <c r="G120" s="36">
        <v>2.5139999999999998</v>
      </c>
      <c r="H120" s="36">
        <v>2.5720000000000001</v>
      </c>
      <c r="I120" s="36">
        <v>2.6219999999999999</v>
      </c>
      <c r="J120" s="36">
        <v>2.665</v>
      </c>
      <c r="K120" s="36">
        <v>2.7029999999999998</v>
      </c>
      <c r="L120" s="36">
        <v>2.738</v>
      </c>
      <c r="M120" s="36">
        <v>2.7690000000000001</v>
      </c>
      <c r="N120" s="36">
        <v>2.7970000000000002</v>
      </c>
      <c r="O120" s="36">
        <v>2.823</v>
      </c>
      <c r="P120" s="36">
        <v>2.847</v>
      </c>
      <c r="Q120" s="36">
        <v>2.8690000000000002</v>
      </c>
      <c r="R120" s="36">
        <v>2.89</v>
      </c>
      <c r="S120" s="36">
        <v>2.91</v>
      </c>
      <c r="T120" s="36">
        <v>2.9279999999999999</v>
      </c>
      <c r="U120" s="286">
        <v>2.9449999999999998</v>
      </c>
    </row>
    <row r="121" spans="1:21" x14ac:dyDescent="0.25">
      <c r="A121">
        <v>16</v>
      </c>
      <c r="B121" s="285">
        <v>1.746</v>
      </c>
      <c r="C121" s="36">
        <v>2.056</v>
      </c>
      <c r="D121" s="36">
        <v>2.226</v>
      </c>
      <c r="E121" s="36">
        <v>2.3420000000000001</v>
      </c>
      <c r="F121" s="36">
        <v>2.4289999999999998</v>
      </c>
      <c r="G121" s="36">
        <v>2.4990000000000001</v>
      </c>
      <c r="H121" s="36">
        <v>2.5569999999999999</v>
      </c>
      <c r="I121" s="36">
        <v>2.6059999999999999</v>
      </c>
      <c r="J121" s="36">
        <v>2.649</v>
      </c>
      <c r="K121" s="36">
        <v>2.6869999999999998</v>
      </c>
      <c r="L121" s="36">
        <v>2.72</v>
      </c>
      <c r="M121" s="36">
        <v>2.7509999999999999</v>
      </c>
      <c r="N121" s="36">
        <v>2.7789999999999999</v>
      </c>
      <c r="O121" s="36">
        <v>2.8050000000000002</v>
      </c>
      <c r="P121" s="36">
        <v>2.8279999999999998</v>
      </c>
      <c r="Q121" s="36">
        <v>2.85</v>
      </c>
      <c r="R121" s="36">
        <v>2.871</v>
      </c>
      <c r="S121" s="36">
        <v>2.89</v>
      </c>
      <c r="T121" s="36">
        <v>2.9079999999999999</v>
      </c>
      <c r="U121" s="286">
        <v>2.9249999999999998</v>
      </c>
    </row>
    <row r="122" spans="1:21" x14ac:dyDescent="0.25">
      <c r="A122">
        <v>17</v>
      </c>
      <c r="B122" s="285">
        <v>1.74</v>
      </c>
      <c r="C122" s="36">
        <v>2.048</v>
      </c>
      <c r="D122" s="36">
        <v>2.2160000000000002</v>
      </c>
      <c r="E122" s="36">
        <v>2.331</v>
      </c>
      <c r="F122" s="36">
        <v>2.4169999999999998</v>
      </c>
      <c r="G122" s="36">
        <v>2.4860000000000002</v>
      </c>
      <c r="H122" s="36">
        <v>2.5430000000000001</v>
      </c>
      <c r="I122" s="36">
        <v>2.5920000000000001</v>
      </c>
      <c r="J122" s="36">
        <v>2.6339999999999999</v>
      </c>
      <c r="K122" s="36">
        <v>2.6720000000000002</v>
      </c>
      <c r="L122" s="36">
        <v>2.7050000000000001</v>
      </c>
      <c r="M122" s="36">
        <v>2.7349999999999999</v>
      </c>
      <c r="N122" s="36">
        <v>2.7629999999999999</v>
      </c>
      <c r="O122" s="36">
        <v>2.7879999999999998</v>
      </c>
      <c r="P122" s="36">
        <v>2.8119999999999998</v>
      </c>
      <c r="Q122" s="36">
        <v>2.8340000000000001</v>
      </c>
      <c r="R122" s="36">
        <v>2.8540000000000001</v>
      </c>
      <c r="S122" s="36">
        <v>2.8730000000000002</v>
      </c>
      <c r="T122" s="36">
        <v>2.891</v>
      </c>
      <c r="U122" s="286">
        <v>2.9079999999999999</v>
      </c>
    </row>
    <row r="123" spans="1:21" x14ac:dyDescent="0.25">
      <c r="A123">
        <v>18</v>
      </c>
      <c r="B123" s="285">
        <v>1.734</v>
      </c>
      <c r="C123" s="36">
        <v>2.04</v>
      </c>
      <c r="D123" s="36">
        <v>2.2069999999999999</v>
      </c>
      <c r="E123" s="36">
        <v>2.3210000000000002</v>
      </c>
      <c r="F123" s="36">
        <v>2.4060000000000001</v>
      </c>
      <c r="G123" s="36">
        <v>2.4750000000000001</v>
      </c>
      <c r="H123" s="36">
        <v>2.5310000000000001</v>
      </c>
      <c r="I123" s="36">
        <v>2.5790000000000002</v>
      </c>
      <c r="J123" s="36">
        <v>2.621</v>
      </c>
      <c r="K123" s="36">
        <v>2.6589999999999998</v>
      </c>
      <c r="L123" s="36">
        <v>2.6920000000000002</v>
      </c>
      <c r="M123" s="36">
        <v>2.722</v>
      </c>
      <c r="N123" s="36">
        <v>2.7490000000000001</v>
      </c>
      <c r="O123" s="36">
        <v>2.774</v>
      </c>
      <c r="P123" s="36">
        <v>2.7970000000000002</v>
      </c>
      <c r="Q123" s="36">
        <v>2.819</v>
      </c>
      <c r="R123" s="36">
        <v>2.839</v>
      </c>
      <c r="S123" s="36">
        <v>2.8580000000000001</v>
      </c>
      <c r="T123" s="36">
        <v>2.8759999999999999</v>
      </c>
      <c r="U123" s="286">
        <v>2.8919999999999999</v>
      </c>
    </row>
    <row r="124" spans="1:21" x14ac:dyDescent="0.25">
      <c r="A124">
        <v>19</v>
      </c>
      <c r="B124" s="285">
        <v>1.7290000000000001</v>
      </c>
      <c r="C124" s="36">
        <v>2.0329999999999999</v>
      </c>
      <c r="D124" s="36">
        <v>2.1989999999999998</v>
      </c>
      <c r="E124" s="36">
        <v>2.3119999999999998</v>
      </c>
      <c r="F124" s="36">
        <v>2.3969999999999998</v>
      </c>
      <c r="G124" s="36">
        <v>2.464</v>
      </c>
      <c r="H124" s="36">
        <v>2.5209999999999999</v>
      </c>
      <c r="I124" s="36">
        <v>2.5680000000000001</v>
      </c>
      <c r="J124" s="36">
        <v>2.61</v>
      </c>
      <c r="K124" s="36">
        <v>2.6469999999999998</v>
      </c>
      <c r="L124" s="36">
        <v>2.68</v>
      </c>
      <c r="M124" s="36">
        <v>2.71</v>
      </c>
      <c r="N124" s="36">
        <v>2.7370000000000001</v>
      </c>
      <c r="O124" s="36">
        <v>2.762</v>
      </c>
      <c r="P124" s="36">
        <v>2.7850000000000001</v>
      </c>
      <c r="Q124" s="36">
        <v>2.806</v>
      </c>
      <c r="R124" s="36">
        <v>2.8260000000000001</v>
      </c>
      <c r="S124" s="36">
        <v>2.8450000000000002</v>
      </c>
      <c r="T124" s="36">
        <v>2.8620000000000001</v>
      </c>
      <c r="U124" s="286">
        <v>2.879</v>
      </c>
    </row>
    <row r="125" spans="1:21" x14ac:dyDescent="0.25">
      <c r="A125">
        <v>20</v>
      </c>
      <c r="B125" s="285">
        <v>1.7250000000000001</v>
      </c>
      <c r="C125" s="36">
        <v>2.0270000000000001</v>
      </c>
      <c r="D125" s="36">
        <v>2.1920000000000002</v>
      </c>
      <c r="E125" s="36">
        <v>2.3039999999999998</v>
      </c>
      <c r="F125" s="36">
        <v>2.3879999999999999</v>
      </c>
      <c r="G125" s="36">
        <v>2.4550000000000001</v>
      </c>
      <c r="H125" s="36">
        <v>2.5110000000000001</v>
      </c>
      <c r="I125" s="36">
        <v>2.5590000000000002</v>
      </c>
      <c r="J125" s="36">
        <v>2.6</v>
      </c>
      <c r="K125" s="36">
        <v>2.6360000000000001</v>
      </c>
      <c r="L125" s="36">
        <v>2.669</v>
      </c>
      <c r="M125" s="36">
        <v>2.6989999999999998</v>
      </c>
      <c r="N125" s="36">
        <v>2.726</v>
      </c>
      <c r="O125" s="36">
        <v>2.75</v>
      </c>
      <c r="P125" s="36">
        <v>2.7730000000000001</v>
      </c>
      <c r="Q125" s="36">
        <v>2.794</v>
      </c>
      <c r="R125" s="36">
        <v>2.8140000000000001</v>
      </c>
      <c r="S125" s="36">
        <v>2.8330000000000002</v>
      </c>
      <c r="T125" s="36">
        <v>2.85</v>
      </c>
      <c r="U125" s="286">
        <v>2.8660000000000001</v>
      </c>
    </row>
    <row r="126" spans="1:21" x14ac:dyDescent="0.25">
      <c r="A126">
        <v>21</v>
      </c>
      <c r="B126" s="285">
        <v>1.7210000000000001</v>
      </c>
      <c r="C126" s="36">
        <v>2.0209999999999999</v>
      </c>
      <c r="D126" s="36">
        <v>2.1850000000000001</v>
      </c>
      <c r="E126" s="36">
        <v>2.2970000000000002</v>
      </c>
      <c r="F126" s="36">
        <v>2.38</v>
      </c>
      <c r="G126" s="36">
        <v>2.4470000000000001</v>
      </c>
      <c r="H126" s="36">
        <v>2.5030000000000001</v>
      </c>
      <c r="I126" s="36">
        <v>2.5499999999999998</v>
      </c>
      <c r="J126" s="36">
        <v>2.5910000000000002</v>
      </c>
      <c r="K126" s="36">
        <v>2.6269999999999998</v>
      </c>
      <c r="L126" s="36">
        <v>2.6589999999999998</v>
      </c>
      <c r="M126" s="36">
        <v>2.6890000000000001</v>
      </c>
      <c r="N126" s="36">
        <v>2.7149999999999999</v>
      </c>
      <c r="O126" s="36">
        <v>2.74</v>
      </c>
      <c r="P126" s="36">
        <v>2.7629999999999999</v>
      </c>
      <c r="Q126" s="36">
        <v>2.7839999999999998</v>
      </c>
      <c r="R126" s="36">
        <v>2.8029999999999999</v>
      </c>
      <c r="S126" s="36">
        <v>2.8220000000000001</v>
      </c>
      <c r="T126" s="36">
        <v>2.839</v>
      </c>
      <c r="U126" s="286">
        <v>2.855</v>
      </c>
    </row>
    <row r="127" spans="1:21" x14ac:dyDescent="0.25">
      <c r="A127">
        <v>22</v>
      </c>
      <c r="B127" s="285">
        <v>1.7170000000000001</v>
      </c>
      <c r="C127" s="36">
        <v>2.016</v>
      </c>
      <c r="D127" s="36">
        <v>2.1789999999999998</v>
      </c>
      <c r="E127" s="36">
        <v>2.29</v>
      </c>
      <c r="F127" s="36">
        <v>2.3730000000000002</v>
      </c>
      <c r="G127" s="36">
        <v>2.44</v>
      </c>
      <c r="H127" s="36">
        <v>2.4950000000000001</v>
      </c>
      <c r="I127" s="36">
        <v>2.5419999999999998</v>
      </c>
      <c r="J127" s="36">
        <v>2.5830000000000002</v>
      </c>
      <c r="K127" s="36">
        <v>2.6190000000000002</v>
      </c>
      <c r="L127" s="36">
        <v>2.6509999999999998</v>
      </c>
      <c r="M127" s="36">
        <v>2.68</v>
      </c>
      <c r="N127" s="36">
        <v>2.706</v>
      </c>
      <c r="O127" s="36">
        <v>2.7309999999999999</v>
      </c>
      <c r="P127" s="36">
        <v>2.7530000000000001</v>
      </c>
      <c r="Q127" s="36">
        <v>2.774</v>
      </c>
      <c r="R127" s="36">
        <v>2.794</v>
      </c>
      <c r="S127" s="36">
        <v>2.8119999999999998</v>
      </c>
      <c r="T127" s="36">
        <v>2.8290000000000002</v>
      </c>
      <c r="U127" s="286">
        <v>2.8450000000000002</v>
      </c>
    </row>
    <row r="128" spans="1:21" x14ac:dyDescent="0.25">
      <c r="A128">
        <v>23</v>
      </c>
      <c r="B128" s="285">
        <v>1.714</v>
      </c>
      <c r="C128" s="36">
        <v>2.012</v>
      </c>
      <c r="D128" s="36">
        <v>2.1739999999999999</v>
      </c>
      <c r="E128" s="36">
        <v>2.2839999999999998</v>
      </c>
      <c r="F128" s="36">
        <v>2.367</v>
      </c>
      <c r="G128" s="36">
        <v>2.4329999999999998</v>
      </c>
      <c r="H128" s="36">
        <v>2.488</v>
      </c>
      <c r="I128" s="36">
        <v>2.5339999999999998</v>
      </c>
      <c r="J128" s="36">
        <v>2.5750000000000002</v>
      </c>
      <c r="K128" s="36">
        <v>2.6110000000000002</v>
      </c>
      <c r="L128" s="36">
        <v>2.6429999999999998</v>
      </c>
      <c r="M128" s="36">
        <v>2.6720000000000002</v>
      </c>
      <c r="N128" s="36">
        <v>2.698</v>
      </c>
      <c r="O128" s="36">
        <v>2.722</v>
      </c>
      <c r="P128" s="36">
        <v>2.7450000000000001</v>
      </c>
      <c r="Q128" s="36">
        <v>2.766</v>
      </c>
      <c r="R128" s="36">
        <v>2.7850000000000001</v>
      </c>
      <c r="S128" s="36">
        <v>2.8029999999999999</v>
      </c>
      <c r="T128" s="36">
        <v>2.82</v>
      </c>
      <c r="U128" s="286">
        <v>2.8359999999999999</v>
      </c>
    </row>
    <row r="129" spans="1:21" x14ac:dyDescent="0.25">
      <c r="A129">
        <v>24</v>
      </c>
      <c r="B129" s="285">
        <v>1.7110000000000001</v>
      </c>
      <c r="C129" s="36">
        <v>2.008</v>
      </c>
      <c r="D129" s="36">
        <v>2.169</v>
      </c>
      <c r="E129" s="36">
        <v>2.2789999999999999</v>
      </c>
      <c r="F129" s="36">
        <v>2.3610000000000002</v>
      </c>
      <c r="G129" s="36">
        <v>2.427</v>
      </c>
      <c r="H129" s="36">
        <v>2.4809999999999999</v>
      </c>
      <c r="I129" s="36">
        <v>2.528</v>
      </c>
      <c r="J129" s="36">
        <v>2.5680000000000001</v>
      </c>
      <c r="K129" s="36">
        <v>2.6040000000000001</v>
      </c>
      <c r="L129" s="36">
        <v>2.6360000000000001</v>
      </c>
      <c r="M129" s="36">
        <v>2.6640000000000001</v>
      </c>
      <c r="N129" s="36">
        <v>2.6909999999999998</v>
      </c>
      <c r="O129" s="36">
        <v>2.7149999999999999</v>
      </c>
      <c r="P129" s="36">
        <v>2.7370000000000001</v>
      </c>
      <c r="Q129" s="36">
        <v>2.758</v>
      </c>
      <c r="R129" s="36">
        <v>2.7770000000000001</v>
      </c>
      <c r="S129" s="36">
        <v>2.7949999999999999</v>
      </c>
      <c r="T129" s="36">
        <v>2.8119999999999998</v>
      </c>
      <c r="U129" s="286">
        <v>2.8279999999999998</v>
      </c>
    </row>
    <row r="130" spans="1:21" x14ac:dyDescent="0.25">
      <c r="A130">
        <v>25</v>
      </c>
      <c r="B130" s="285">
        <v>1.708</v>
      </c>
      <c r="C130" s="36">
        <v>2.004</v>
      </c>
      <c r="D130" s="36">
        <v>2.165</v>
      </c>
      <c r="E130" s="36">
        <v>2.274</v>
      </c>
      <c r="F130" s="36">
        <v>2.3559999999999999</v>
      </c>
      <c r="G130" s="36">
        <v>2.4209999999999998</v>
      </c>
      <c r="H130" s="36">
        <v>2.476</v>
      </c>
      <c r="I130" s="36">
        <v>2.5219999999999998</v>
      </c>
      <c r="J130" s="36">
        <v>2.5619999999999998</v>
      </c>
      <c r="K130" s="36">
        <v>2.597</v>
      </c>
      <c r="L130" s="36">
        <v>2.629</v>
      </c>
      <c r="M130" s="36">
        <v>2.6579999999999999</v>
      </c>
      <c r="N130" s="36">
        <v>2.6840000000000002</v>
      </c>
      <c r="O130" s="36">
        <v>2.7080000000000002</v>
      </c>
      <c r="P130" s="36">
        <v>2.73</v>
      </c>
      <c r="Q130" s="36">
        <v>2.75</v>
      </c>
      <c r="R130" s="36">
        <v>2.77</v>
      </c>
      <c r="S130" s="36">
        <v>2.7879999999999998</v>
      </c>
      <c r="T130" s="36">
        <v>2.8039999999999998</v>
      </c>
      <c r="U130" s="286">
        <v>2.82</v>
      </c>
    </row>
    <row r="131" spans="1:21" x14ac:dyDescent="0.25">
      <c r="A131">
        <v>26</v>
      </c>
      <c r="B131" s="285">
        <v>1.706</v>
      </c>
      <c r="C131" s="36">
        <v>2</v>
      </c>
      <c r="D131" s="36">
        <v>2.161</v>
      </c>
      <c r="E131" s="36">
        <v>2.2690000000000001</v>
      </c>
      <c r="F131" s="36">
        <v>2.351</v>
      </c>
      <c r="G131" s="36">
        <v>2.4159999999999999</v>
      </c>
      <c r="H131" s="36">
        <v>2.4700000000000002</v>
      </c>
      <c r="I131" s="36">
        <v>2.516</v>
      </c>
      <c r="J131" s="36">
        <v>2.556</v>
      </c>
      <c r="K131" s="36">
        <v>2.5910000000000002</v>
      </c>
      <c r="L131" s="36">
        <v>2.6230000000000002</v>
      </c>
      <c r="M131" s="36">
        <v>2.6509999999999998</v>
      </c>
      <c r="N131" s="36">
        <v>2.677</v>
      </c>
      <c r="O131" s="36">
        <v>2.7010000000000001</v>
      </c>
      <c r="P131" s="36">
        <v>2.7229999999999999</v>
      </c>
      <c r="Q131" s="36">
        <v>2.7440000000000002</v>
      </c>
      <c r="R131" s="36">
        <v>2.7629999999999999</v>
      </c>
      <c r="S131" s="36">
        <v>2.7810000000000001</v>
      </c>
      <c r="T131" s="36">
        <v>2.7970000000000002</v>
      </c>
      <c r="U131" s="286">
        <v>2.8130000000000002</v>
      </c>
    </row>
    <row r="132" spans="1:21" x14ac:dyDescent="0.25">
      <c r="A132">
        <v>27</v>
      </c>
      <c r="B132" s="285">
        <v>1.7030000000000001</v>
      </c>
      <c r="C132" s="36">
        <v>1.9970000000000001</v>
      </c>
      <c r="D132" s="36">
        <v>2.157</v>
      </c>
      <c r="E132" s="36">
        <v>2.2650000000000001</v>
      </c>
      <c r="F132" s="36">
        <v>2.347</v>
      </c>
      <c r="G132" s="36">
        <v>2.411</v>
      </c>
      <c r="H132" s="36">
        <v>2.4649999999999999</v>
      </c>
      <c r="I132" s="36">
        <v>2.5110000000000001</v>
      </c>
      <c r="J132" s="36">
        <v>2.5510000000000002</v>
      </c>
      <c r="K132" s="36">
        <v>2.5859999999999999</v>
      </c>
      <c r="L132" s="36">
        <v>2.617</v>
      </c>
      <c r="M132" s="36">
        <v>2.6459999999999999</v>
      </c>
      <c r="N132" s="36">
        <v>2.6709999999999998</v>
      </c>
      <c r="O132" s="36">
        <v>2.6949999999999998</v>
      </c>
      <c r="P132" s="36">
        <v>2.7170000000000001</v>
      </c>
      <c r="Q132" s="36">
        <v>2.738</v>
      </c>
      <c r="R132" s="36">
        <v>2.7570000000000001</v>
      </c>
      <c r="S132" s="36">
        <v>2.774</v>
      </c>
      <c r="T132" s="36">
        <v>2.7909999999999999</v>
      </c>
      <c r="U132" s="286">
        <v>2.8069999999999999</v>
      </c>
    </row>
    <row r="133" spans="1:21" x14ac:dyDescent="0.25">
      <c r="A133">
        <v>28</v>
      </c>
      <c r="B133" s="285">
        <v>1.7010000000000001</v>
      </c>
      <c r="C133" s="36">
        <v>1.994</v>
      </c>
      <c r="D133" s="36">
        <v>2.153</v>
      </c>
      <c r="E133" s="36">
        <v>2.2610000000000001</v>
      </c>
      <c r="F133" s="36">
        <v>2.3420000000000001</v>
      </c>
      <c r="G133" s="36">
        <v>2.407</v>
      </c>
      <c r="H133" s="36">
        <v>2.4609999999999999</v>
      </c>
      <c r="I133" s="36">
        <v>2.5059999999999998</v>
      </c>
      <c r="J133" s="36">
        <v>2.5459999999999998</v>
      </c>
      <c r="K133" s="36">
        <v>2.581</v>
      </c>
      <c r="L133" s="36">
        <v>2.6120000000000001</v>
      </c>
      <c r="M133" s="36">
        <v>2.64</v>
      </c>
      <c r="N133" s="36">
        <v>2.6659999999999999</v>
      </c>
      <c r="O133" s="36">
        <v>2.69</v>
      </c>
      <c r="P133" s="36">
        <v>2.7120000000000002</v>
      </c>
      <c r="Q133" s="36">
        <v>2.7320000000000002</v>
      </c>
      <c r="R133" s="36">
        <v>2.7509999999999999</v>
      </c>
      <c r="S133" s="36">
        <v>2.7679999999999998</v>
      </c>
      <c r="T133" s="36">
        <v>2.7850000000000001</v>
      </c>
      <c r="U133" s="286">
        <v>2.8010000000000002</v>
      </c>
    </row>
    <row r="134" spans="1:21" x14ac:dyDescent="0.25">
      <c r="A134">
        <v>29</v>
      </c>
      <c r="B134" s="285">
        <v>1.6990000000000001</v>
      </c>
      <c r="C134" s="36">
        <v>1.9910000000000001</v>
      </c>
      <c r="D134" s="36">
        <v>2.15</v>
      </c>
      <c r="E134" s="36">
        <v>2.258</v>
      </c>
      <c r="F134" s="36">
        <v>2.3380000000000001</v>
      </c>
      <c r="G134" s="36">
        <v>2.403</v>
      </c>
      <c r="H134" s="36">
        <v>2.456</v>
      </c>
      <c r="I134" s="36">
        <v>2.5019999999999998</v>
      </c>
      <c r="J134" s="36">
        <v>2.5409999999999999</v>
      </c>
      <c r="K134" s="36">
        <v>2.5760000000000001</v>
      </c>
      <c r="L134" s="36">
        <v>2.6070000000000002</v>
      </c>
      <c r="M134" s="36">
        <v>2.6349999999999998</v>
      </c>
      <c r="N134" s="36">
        <v>2.661</v>
      </c>
      <c r="O134" s="36">
        <v>2.6850000000000001</v>
      </c>
      <c r="P134" s="36">
        <v>2.706</v>
      </c>
      <c r="Q134" s="36">
        <v>2.7269999999999999</v>
      </c>
      <c r="R134" s="36">
        <v>2.7450000000000001</v>
      </c>
      <c r="S134" s="36">
        <v>2.7629999999999999</v>
      </c>
      <c r="T134" s="36">
        <v>2.78</v>
      </c>
      <c r="U134" s="286">
        <v>2.7949999999999999</v>
      </c>
    </row>
    <row r="135" spans="1:21" x14ac:dyDescent="0.25">
      <c r="A135">
        <v>30</v>
      </c>
      <c r="B135" s="285">
        <v>1.6970000000000001</v>
      </c>
      <c r="C135" s="36">
        <v>1.9890000000000001</v>
      </c>
      <c r="D135" s="36">
        <v>2.1469999999999998</v>
      </c>
      <c r="E135" s="36">
        <v>2.254</v>
      </c>
      <c r="F135" s="36">
        <v>2.335</v>
      </c>
      <c r="G135" s="36">
        <v>2.399</v>
      </c>
      <c r="H135" s="36">
        <v>2.452</v>
      </c>
      <c r="I135" s="36">
        <v>2.4969999999999999</v>
      </c>
      <c r="J135" s="36">
        <v>2.5369999999999999</v>
      </c>
      <c r="K135" s="36">
        <v>2.5720000000000001</v>
      </c>
      <c r="L135" s="36">
        <v>2.6030000000000002</v>
      </c>
      <c r="M135" s="36">
        <v>2.6309999999999998</v>
      </c>
      <c r="N135" s="36">
        <v>2.6560000000000001</v>
      </c>
      <c r="O135" s="36">
        <v>2.68</v>
      </c>
      <c r="P135" s="36">
        <v>2.7010000000000001</v>
      </c>
      <c r="Q135" s="36">
        <v>2.722</v>
      </c>
      <c r="R135" s="36">
        <v>2.74</v>
      </c>
      <c r="S135" s="36">
        <v>2.758</v>
      </c>
      <c r="T135" s="36">
        <v>2.7749999999999999</v>
      </c>
      <c r="U135" s="286">
        <v>2.79</v>
      </c>
    </row>
    <row r="136" spans="1:21" x14ac:dyDescent="0.25">
      <c r="A136">
        <v>31</v>
      </c>
      <c r="B136" s="285">
        <v>1.696</v>
      </c>
      <c r="C136" s="36">
        <v>1.986</v>
      </c>
      <c r="D136" s="36">
        <v>2.1440000000000001</v>
      </c>
      <c r="E136" s="36">
        <v>2.2509999999999999</v>
      </c>
      <c r="F136" s="36">
        <v>2.331</v>
      </c>
      <c r="G136" s="36">
        <v>2.395</v>
      </c>
      <c r="H136" s="36">
        <v>2.448</v>
      </c>
      <c r="I136" s="36">
        <v>2.4940000000000002</v>
      </c>
      <c r="J136" s="36">
        <v>2.5329999999999999</v>
      </c>
      <c r="K136" s="36">
        <v>2.5670000000000002</v>
      </c>
      <c r="L136" s="36">
        <v>2.5979999999999999</v>
      </c>
      <c r="M136" s="36">
        <v>2.6259999999999999</v>
      </c>
      <c r="N136" s="36">
        <v>2.6520000000000001</v>
      </c>
      <c r="O136" s="36">
        <v>2.6749999999999998</v>
      </c>
      <c r="P136" s="36">
        <v>2.6970000000000001</v>
      </c>
      <c r="Q136" s="36">
        <v>2.7170000000000001</v>
      </c>
      <c r="R136" s="36">
        <v>2.7360000000000002</v>
      </c>
      <c r="S136" s="36">
        <v>2.7530000000000001</v>
      </c>
      <c r="T136" s="36">
        <v>2.77</v>
      </c>
      <c r="U136" s="286">
        <v>2.7850000000000001</v>
      </c>
    </row>
    <row r="137" spans="1:21" x14ac:dyDescent="0.25">
      <c r="A137">
        <v>32</v>
      </c>
      <c r="B137" s="285">
        <v>1.694</v>
      </c>
      <c r="C137" s="36">
        <v>1.984</v>
      </c>
      <c r="D137" s="36">
        <v>2.1419999999999999</v>
      </c>
      <c r="E137" s="36">
        <v>2.2480000000000002</v>
      </c>
      <c r="F137" s="36">
        <v>2.3279999999999998</v>
      </c>
      <c r="G137" s="36">
        <v>2.3919999999999999</v>
      </c>
      <c r="H137" s="36">
        <v>2.4449999999999998</v>
      </c>
      <c r="I137" s="36">
        <v>2.4900000000000002</v>
      </c>
      <c r="J137" s="36">
        <v>2.5289999999999999</v>
      </c>
      <c r="K137" s="36">
        <v>2.5640000000000001</v>
      </c>
      <c r="L137" s="36">
        <v>2.5939999999999999</v>
      </c>
      <c r="M137" s="36">
        <v>2.6219999999999999</v>
      </c>
      <c r="N137" s="36">
        <v>2.6480000000000001</v>
      </c>
      <c r="O137" s="36">
        <v>2.6709999999999998</v>
      </c>
      <c r="P137" s="36">
        <v>2.6930000000000001</v>
      </c>
      <c r="Q137" s="36">
        <v>2.7130000000000001</v>
      </c>
      <c r="R137" s="36">
        <v>2.7309999999999999</v>
      </c>
      <c r="S137" s="36">
        <v>2.7490000000000001</v>
      </c>
      <c r="T137" s="36">
        <v>2.7650000000000001</v>
      </c>
      <c r="U137" s="286">
        <v>2.7810000000000001</v>
      </c>
    </row>
    <row r="138" spans="1:21" x14ac:dyDescent="0.25">
      <c r="A138">
        <v>33</v>
      </c>
      <c r="B138" s="285">
        <v>1.6919999999999999</v>
      </c>
      <c r="C138" s="36">
        <v>1.982</v>
      </c>
      <c r="D138" s="36">
        <v>2.1389999999999998</v>
      </c>
      <c r="E138" s="36">
        <v>2.2450000000000001</v>
      </c>
      <c r="F138" s="36">
        <v>2.3250000000000002</v>
      </c>
      <c r="G138" s="36">
        <v>2.3889999999999998</v>
      </c>
      <c r="H138" s="36">
        <v>2.4420000000000002</v>
      </c>
      <c r="I138" s="36">
        <v>2.4870000000000001</v>
      </c>
      <c r="J138" s="36">
        <v>2.5259999999999998</v>
      </c>
      <c r="K138" s="36">
        <v>2.56</v>
      </c>
      <c r="L138" s="36">
        <v>2.5910000000000002</v>
      </c>
      <c r="M138" s="36">
        <v>2.6190000000000002</v>
      </c>
      <c r="N138" s="36">
        <v>2.6440000000000001</v>
      </c>
      <c r="O138" s="36">
        <v>2.6669999999999998</v>
      </c>
      <c r="P138" s="36">
        <v>2.6890000000000001</v>
      </c>
      <c r="Q138" s="36">
        <v>2.7090000000000001</v>
      </c>
      <c r="R138" s="36">
        <v>2.7269999999999999</v>
      </c>
      <c r="S138" s="36">
        <v>2.7450000000000001</v>
      </c>
      <c r="T138" s="36">
        <v>2.7610000000000001</v>
      </c>
      <c r="U138" s="286">
        <v>2.7770000000000001</v>
      </c>
    </row>
    <row r="139" spans="1:21" x14ac:dyDescent="0.25">
      <c r="A139">
        <v>34</v>
      </c>
      <c r="B139" s="285">
        <v>1.6910000000000001</v>
      </c>
      <c r="C139" s="36">
        <v>1.98</v>
      </c>
      <c r="D139" s="36">
        <v>2.137</v>
      </c>
      <c r="E139" s="36">
        <v>2.2429999999999999</v>
      </c>
      <c r="F139" s="36">
        <v>2.323</v>
      </c>
      <c r="G139" s="36">
        <v>2.3860000000000001</v>
      </c>
      <c r="H139" s="36">
        <v>2.4390000000000001</v>
      </c>
      <c r="I139" s="36">
        <v>2.4830000000000001</v>
      </c>
      <c r="J139" s="36">
        <v>2.5219999999999998</v>
      </c>
      <c r="K139" s="36">
        <v>2.5569999999999999</v>
      </c>
      <c r="L139" s="36">
        <v>2.5870000000000002</v>
      </c>
      <c r="M139" s="36">
        <v>2.6150000000000002</v>
      </c>
      <c r="N139" s="36">
        <v>2.64</v>
      </c>
      <c r="O139" s="36">
        <v>2.6640000000000001</v>
      </c>
      <c r="P139" s="36">
        <v>2.6850000000000001</v>
      </c>
      <c r="Q139" s="36">
        <v>2.7050000000000001</v>
      </c>
      <c r="R139" s="36">
        <v>2.7229999999999999</v>
      </c>
      <c r="S139" s="36">
        <v>2.7410000000000001</v>
      </c>
      <c r="T139" s="36">
        <v>2.7570000000000001</v>
      </c>
      <c r="U139" s="286">
        <v>2.7730000000000001</v>
      </c>
    </row>
    <row r="140" spans="1:21" x14ac:dyDescent="0.25">
      <c r="A140">
        <v>35</v>
      </c>
      <c r="B140" s="285">
        <v>1.69</v>
      </c>
      <c r="C140" s="36">
        <v>1.978</v>
      </c>
      <c r="D140" s="36">
        <v>2.1349999999999998</v>
      </c>
      <c r="E140" s="36">
        <v>2.2400000000000002</v>
      </c>
      <c r="F140" s="36">
        <v>2.3199999999999998</v>
      </c>
      <c r="G140" s="36">
        <v>2.383</v>
      </c>
      <c r="H140" s="36">
        <v>2.4359999999999999</v>
      </c>
      <c r="I140" s="36">
        <v>2.48</v>
      </c>
      <c r="J140" s="36">
        <v>2.5190000000000001</v>
      </c>
      <c r="K140" s="36">
        <v>2.5529999999999999</v>
      </c>
      <c r="L140" s="36">
        <v>2.5840000000000001</v>
      </c>
      <c r="M140" s="36">
        <v>2.6120000000000001</v>
      </c>
      <c r="N140" s="36">
        <v>2.637</v>
      </c>
      <c r="O140" s="36">
        <v>2.66</v>
      </c>
      <c r="P140" s="36">
        <v>2.681</v>
      </c>
      <c r="Q140" s="36">
        <v>2.7010000000000001</v>
      </c>
      <c r="R140" s="36">
        <v>2.72</v>
      </c>
      <c r="S140" s="36">
        <v>2.7370000000000001</v>
      </c>
      <c r="T140" s="36">
        <v>2.7530000000000001</v>
      </c>
      <c r="U140" s="286">
        <v>2.7690000000000001</v>
      </c>
    </row>
    <row r="141" spans="1:21" x14ac:dyDescent="0.25">
      <c r="A141">
        <v>36</v>
      </c>
      <c r="B141" s="285">
        <v>1.6879999999999999</v>
      </c>
      <c r="C141" s="36">
        <v>1.976</v>
      </c>
      <c r="D141" s="36">
        <v>2.1320000000000001</v>
      </c>
      <c r="E141" s="36">
        <v>2.238</v>
      </c>
      <c r="F141" s="36">
        <v>2.3180000000000001</v>
      </c>
      <c r="G141" s="36">
        <v>2.3809999999999998</v>
      </c>
      <c r="H141" s="36">
        <v>2.4329999999999998</v>
      </c>
      <c r="I141" s="36">
        <v>2.4780000000000002</v>
      </c>
      <c r="J141" s="36">
        <v>2.516</v>
      </c>
      <c r="K141" s="36">
        <v>2.5499999999999998</v>
      </c>
      <c r="L141" s="36">
        <v>2.581</v>
      </c>
      <c r="M141" s="36">
        <v>2.609</v>
      </c>
      <c r="N141" s="36">
        <v>2.6339999999999999</v>
      </c>
      <c r="O141" s="36">
        <v>2.657</v>
      </c>
      <c r="P141" s="36">
        <v>2.6779999999999999</v>
      </c>
      <c r="Q141" s="36">
        <v>2.698</v>
      </c>
      <c r="R141" s="36">
        <v>2.7160000000000002</v>
      </c>
      <c r="S141" s="36">
        <v>2.734</v>
      </c>
      <c r="T141" s="36">
        <v>2.75</v>
      </c>
      <c r="U141" s="286">
        <v>2.7650000000000001</v>
      </c>
    </row>
    <row r="142" spans="1:21" x14ac:dyDescent="0.25">
      <c r="A142">
        <v>37</v>
      </c>
      <c r="B142" s="285">
        <v>1.6870000000000001</v>
      </c>
      <c r="C142" s="36">
        <v>1.9750000000000001</v>
      </c>
      <c r="D142" s="36">
        <v>2.13</v>
      </c>
      <c r="E142" s="36">
        <v>2.2360000000000002</v>
      </c>
      <c r="F142" s="36">
        <v>2.3149999999999999</v>
      </c>
      <c r="G142" s="36">
        <v>2.3780000000000001</v>
      </c>
      <c r="H142" s="36">
        <v>2.4300000000000002</v>
      </c>
      <c r="I142" s="36">
        <v>2.4750000000000001</v>
      </c>
      <c r="J142" s="36">
        <v>2.5139999999999998</v>
      </c>
      <c r="K142" s="36">
        <v>2.548</v>
      </c>
      <c r="L142" s="36">
        <v>2.5779999999999998</v>
      </c>
      <c r="M142" s="36">
        <v>2.6059999999999999</v>
      </c>
      <c r="N142" s="36">
        <v>2.6309999999999998</v>
      </c>
      <c r="O142" s="36">
        <v>2.6539999999999999</v>
      </c>
      <c r="P142" s="36">
        <v>2.6749999999999998</v>
      </c>
      <c r="Q142" s="36">
        <v>2.6949999999999998</v>
      </c>
      <c r="R142" s="36">
        <v>2.7130000000000001</v>
      </c>
      <c r="S142" s="36">
        <v>2.73</v>
      </c>
      <c r="T142" s="36">
        <v>2.7469999999999999</v>
      </c>
      <c r="U142" s="286">
        <v>2.762</v>
      </c>
    </row>
    <row r="143" spans="1:21" x14ac:dyDescent="0.25">
      <c r="A143">
        <v>38</v>
      </c>
      <c r="B143" s="285">
        <v>1.6859999999999999</v>
      </c>
      <c r="C143" s="36">
        <v>1.9730000000000001</v>
      </c>
      <c r="D143" s="36">
        <v>2.129</v>
      </c>
      <c r="E143" s="36">
        <v>2.234</v>
      </c>
      <c r="F143" s="36">
        <v>2.3130000000000002</v>
      </c>
      <c r="G143" s="36">
        <v>2.3759999999999999</v>
      </c>
      <c r="H143" s="36">
        <v>2.4279999999999999</v>
      </c>
      <c r="I143" s="36">
        <v>2.472</v>
      </c>
      <c r="J143" s="36">
        <v>2.5110000000000001</v>
      </c>
      <c r="K143" s="36">
        <v>2.5449999999999999</v>
      </c>
      <c r="L143" s="36">
        <v>2.5750000000000002</v>
      </c>
      <c r="M143" s="36">
        <v>2.6030000000000002</v>
      </c>
      <c r="N143" s="36">
        <v>2.6280000000000001</v>
      </c>
      <c r="O143" s="36">
        <v>2.6509999999999998</v>
      </c>
      <c r="P143" s="36">
        <v>2.6720000000000002</v>
      </c>
      <c r="Q143" s="36">
        <v>2.6920000000000002</v>
      </c>
      <c r="R143" s="36">
        <v>2.71</v>
      </c>
      <c r="S143" s="36">
        <v>2.7269999999999999</v>
      </c>
      <c r="T143" s="36">
        <v>2.7429999999999999</v>
      </c>
      <c r="U143" s="286">
        <v>2.7589999999999999</v>
      </c>
    </row>
    <row r="144" spans="1:21" x14ac:dyDescent="0.25">
      <c r="A144">
        <v>39</v>
      </c>
      <c r="B144" s="285">
        <v>1.6850000000000001</v>
      </c>
      <c r="C144" s="36">
        <v>1.972</v>
      </c>
      <c r="D144" s="36">
        <v>2.1269999999999998</v>
      </c>
      <c r="E144" s="36">
        <v>2.2320000000000002</v>
      </c>
      <c r="F144" s="36">
        <v>2.3109999999999999</v>
      </c>
      <c r="G144" s="36">
        <v>2.3740000000000001</v>
      </c>
      <c r="H144" s="36">
        <v>2.4260000000000002</v>
      </c>
      <c r="I144" s="36">
        <v>2.4700000000000002</v>
      </c>
      <c r="J144" s="36">
        <v>2.508</v>
      </c>
      <c r="K144" s="36">
        <v>2.5419999999999998</v>
      </c>
      <c r="L144" s="36">
        <v>2.573</v>
      </c>
      <c r="M144" s="36">
        <v>2.6</v>
      </c>
      <c r="N144" s="36">
        <v>2.625</v>
      </c>
      <c r="O144" s="36">
        <v>2.6480000000000001</v>
      </c>
      <c r="P144" s="36">
        <v>2.669</v>
      </c>
      <c r="Q144" s="36">
        <v>2.6890000000000001</v>
      </c>
      <c r="R144" s="36">
        <v>2.7069999999999999</v>
      </c>
      <c r="S144" s="36">
        <v>2.7240000000000002</v>
      </c>
      <c r="T144" s="36">
        <v>2.74</v>
      </c>
      <c r="U144" s="286">
        <v>2.7559999999999998</v>
      </c>
    </row>
    <row r="145" spans="1:21" x14ac:dyDescent="0.25">
      <c r="A145">
        <v>40</v>
      </c>
      <c r="B145" s="285">
        <v>1.6839999999999999</v>
      </c>
      <c r="C145" s="36">
        <v>1.97</v>
      </c>
      <c r="D145" s="36">
        <v>2.125</v>
      </c>
      <c r="E145" s="36">
        <v>2.23</v>
      </c>
      <c r="F145" s="36">
        <v>2.3090000000000002</v>
      </c>
      <c r="G145" s="36">
        <v>2.3719999999999999</v>
      </c>
      <c r="H145" s="36">
        <v>2.4239999999999999</v>
      </c>
      <c r="I145" s="36">
        <v>2.468</v>
      </c>
      <c r="J145" s="36">
        <v>2.5059999999999998</v>
      </c>
      <c r="K145" s="36">
        <v>2.54</v>
      </c>
      <c r="L145" s="36">
        <v>2.57</v>
      </c>
      <c r="M145" s="36">
        <v>2.5979999999999999</v>
      </c>
      <c r="N145" s="36">
        <v>2.6230000000000002</v>
      </c>
      <c r="O145" s="36">
        <v>2.645</v>
      </c>
      <c r="P145" s="36">
        <v>2.6669999999999998</v>
      </c>
      <c r="Q145" s="36">
        <v>2.6859999999999999</v>
      </c>
      <c r="R145" s="36">
        <v>2.7040000000000002</v>
      </c>
      <c r="S145" s="36">
        <v>2.722</v>
      </c>
      <c r="T145" s="36">
        <v>2.738</v>
      </c>
      <c r="U145" s="286">
        <v>2.7530000000000001</v>
      </c>
    </row>
    <row r="146" spans="1:21" x14ac:dyDescent="0.25">
      <c r="A146">
        <v>48</v>
      </c>
      <c r="B146" s="285">
        <v>1.677</v>
      </c>
      <c r="C146" s="36">
        <v>1.9610000000000001</v>
      </c>
      <c r="D146" s="36">
        <v>2.1139999999999999</v>
      </c>
      <c r="E146" s="36">
        <v>2.218</v>
      </c>
      <c r="F146" s="36">
        <v>2.2959999999999998</v>
      </c>
      <c r="G146" s="36">
        <v>2.3580000000000001</v>
      </c>
      <c r="H146" s="36">
        <v>2.4089999999999998</v>
      </c>
      <c r="I146" s="36">
        <v>2.4529999999999998</v>
      </c>
      <c r="J146" s="36">
        <v>2.4910000000000001</v>
      </c>
      <c r="K146" s="36">
        <v>2.524</v>
      </c>
      <c r="L146" s="36">
        <v>2.5539999999999998</v>
      </c>
      <c r="M146" s="36">
        <v>2.581</v>
      </c>
      <c r="N146" s="36">
        <v>2.6059999999999999</v>
      </c>
      <c r="O146" s="36">
        <v>2.6280000000000001</v>
      </c>
      <c r="P146" s="36">
        <v>2.649</v>
      </c>
      <c r="Q146" s="36">
        <v>2.669</v>
      </c>
      <c r="R146" s="36">
        <v>2.6869999999999998</v>
      </c>
      <c r="S146" s="36">
        <v>2.7040000000000002</v>
      </c>
      <c r="T146" s="36">
        <v>2.7189999999999999</v>
      </c>
      <c r="U146" s="286">
        <v>2.734</v>
      </c>
    </row>
    <row r="147" spans="1:21" x14ac:dyDescent="0.25">
      <c r="A147">
        <v>60</v>
      </c>
      <c r="B147" s="285">
        <v>1.671</v>
      </c>
      <c r="C147" s="36">
        <v>1.952</v>
      </c>
      <c r="D147" s="36">
        <v>2.1040000000000001</v>
      </c>
      <c r="E147" s="36">
        <v>2.206</v>
      </c>
      <c r="F147" s="36">
        <v>2.2829999999999999</v>
      </c>
      <c r="G147" s="36">
        <v>2.3450000000000002</v>
      </c>
      <c r="H147" s="36">
        <v>2.395</v>
      </c>
      <c r="I147" s="36">
        <v>2.4380000000000002</v>
      </c>
      <c r="J147" s="36">
        <v>2.476</v>
      </c>
      <c r="K147" s="36">
        <v>2.5089999999999999</v>
      </c>
      <c r="L147" s="36">
        <v>2.5379999999999998</v>
      </c>
      <c r="M147" s="36">
        <v>2.5649999999999999</v>
      </c>
      <c r="N147" s="36">
        <v>2.589</v>
      </c>
      <c r="O147" s="36">
        <v>2.6120000000000001</v>
      </c>
      <c r="P147" s="36">
        <v>2.6320000000000001</v>
      </c>
      <c r="Q147" s="36">
        <v>2.6509999999999998</v>
      </c>
      <c r="R147" s="36">
        <v>2.669</v>
      </c>
      <c r="S147" s="36">
        <v>2.6859999999999999</v>
      </c>
      <c r="T147" s="36">
        <v>2.7010000000000001</v>
      </c>
      <c r="U147" s="286">
        <v>2.7160000000000002</v>
      </c>
    </row>
    <row r="148" spans="1:21" x14ac:dyDescent="0.25">
      <c r="A148">
        <v>80</v>
      </c>
      <c r="B148" s="285">
        <v>1.6639999999999999</v>
      </c>
      <c r="C148" s="36">
        <v>1.9430000000000001</v>
      </c>
      <c r="D148" s="36">
        <v>2.093</v>
      </c>
      <c r="E148" s="36">
        <v>2.1949999999999998</v>
      </c>
      <c r="F148" s="36">
        <v>2.2709999999999999</v>
      </c>
      <c r="G148" s="36">
        <v>2.331</v>
      </c>
      <c r="H148" s="36">
        <v>2.3809999999999998</v>
      </c>
      <c r="I148" s="36">
        <v>2.4239999999999999</v>
      </c>
      <c r="J148" s="36">
        <v>2.4609999999999999</v>
      </c>
      <c r="K148" s="36">
        <v>2.4940000000000002</v>
      </c>
      <c r="L148" s="36">
        <v>2.5230000000000001</v>
      </c>
      <c r="M148" s="36">
        <v>2.5489999999999999</v>
      </c>
      <c r="N148" s="36">
        <v>2.573</v>
      </c>
      <c r="O148" s="36">
        <v>2.5950000000000002</v>
      </c>
      <c r="P148" s="36">
        <v>2.6150000000000002</v>
      </c>
      <c r="Q148" s="36">
        <v>2.6339999999999999</v>
      </c>
      <c r="R148" s="36">
        <v>2.6520000000000001</v>
      </c>
      <c r="S148" s="36">
        <v>2.6680000000000001</v>
      </c>
      <c r="T148" s="36">
        <v>2.6840000000000002</v>
      </c>
      <c r="U148" s="286">
        <v>2.698</v>
      </c>
    </row>
    <row r="149" spans="1:21" x14ac:dyDescent="0.25">
      <c r="A149" s="543">
        <v>120</v>
      </c>
      <c r="B149" s="285">
        <v>1.6579999999999999</v>
      </c>
      <c r="C149" s="36">
        <v>1.9339999999999999</v>
      </c>
      <c r="D149" s="36">
        <v>2.0830000000000002</v>
      </c>
      <c r="E149" s="36">
        <v>2.1829999999999998</v>
      </c>
      <c r="F149" s="36">
        <v>2.258</v>
      </c>
      <c r="G149" s="36">
        <v>2.3180000000000001</v>
      </c>
      <c r="H149" s="36">
        <v>2.3679999999999999</v>
      </c>
      <c r="I149" s="36">
        <v>2.41</v>
      </c>
      <c r="J149" s="36">
        <v>2.4460000000000002</v>
      </c>
      <c r="K149" s="36">
        <v>2.4780000000000002</v>
      </c>
      <c r="L149" s="36">
        <v>2.5070000000000001</v>
      </c>
      <c r="M149" s="36">
        <v>2.5329999999999999</v>
      </c>
      <c r="N149" s="36">
        <v>2.5569999999999999</v>
      </c>
      <c r="O149" s="36">
        <v>2.5779999999999998</v>
      </c>
      <c r="P149" s="36">
        <v>2.5979999999999999</v>
      </c>
      <c r="Q149" s="36">
        <v>2.617</v>
      </c>
      <c r="R149" s="36">
        <v>2.6339999999999999</v>
      </c>
      <c r="S149" s="36">
        <v>2.6509999999999998</v>
      </c>
      <c r="T149" s="36">
        <v>2.6659999999999999</v>
      </c>
      <c r="U149" s="286">
        <v>2.68</v>
      </c>
    </row>
    <row r="150" spans="1:21" x14ac:dyDescent="0.25">
      <c r="A150" s="543">
        <v>240</v>
      </c>
      <c r="B150" s="285">
        <v>1.651</v>
      </c>
      <c r="C150" s="36">
        <v>1.925</v>
      </c>
      <c r="D150" s="36">
        <v>2.0720000000000001</v>
      </c>
      <c r="E150" s="36">
        <v>2.1720000000000002</v>
      </c>
      <c r="F150" s="36">
        <v>2.246</v>
      </c>
      <c r="G150" s="36">
        <v>2.3050000000000002</v>
      </c>
      <c r="H150" s="36">
        <v>2.3540000000000001</v>
      </c>
      <c r="I150" s="36">
        <v>2.395</v>
      </c>
      <c r="J150" s="36">
        <v>2.4319999999999999</v>
      </c>
      <c r="K150" s="36">
        <v>2.4630000000000001</v>
      </c>
      <c r="L150" s="36">
        <v>2.492</v>
      </c>
      <c r="M150" s="36">
        <v>2.5169999999999999</v>
      </c>
      <c r="N150" s="36">
        <v>2.5409999999999999</v>
      </c>
      <c r="O150" s="36">
        <v>2.5619999999999998</v>
      </c>
      <c r="P150" s="36">
        <v>2.5819999999999999</v>
      </c>
      <c r="Q150" s="36">
        <v>2.6</v>
      </c>
      <c r="R150" s="36">
        <v>2.617</v>
      </c>
      <c r="S150" s="36">
        <v>2.633</v>
      </c>
      <c r="T150" s="36">
        <v>2.6480000000000001</v>
      </c>
      <c r="U150" s="286">
        <v>2.6629999999999998</v>
      </c>
    </row>
    <row r="151" spans="1:21" x14ac:dyDescent="0.25">
      <c r="A151" s="544" t="s">
        <v>66</v>
      </c>
      <c r="B151" s="287">
        <v>1.645</v>
      </c>
      <c r="C151" s="483">
        <v>1.9159999999999999</v>
      </c>
      <c r="D151" s="483">
        <v>2.0619999999999998</v>
      </c>
      <c r="E151" s="483">
        <v>2.16</v>
      </c>
      <c r="F151" s="483">
        <v>2.234</v>
      </c>
      <c r="G151" s="483">
        <v>2.2919999999999998</v>
      </c>
      <c r="H151" s="483">
        <v>2.34</v>
      </c>
      <c r="I151" s="483">
        <v>2.3809999999999998</v>
      </c>
      <c r="J151" s="483">
        <v>2.4169999999999998</v>
      </c>
      <c r="K151" s="483">
        <v>2.448</v>
      </c>
      <c r="L151" s="483">
        <v>2.476</v>
      </c>
      <c r="M151" s="483">
        <v>2.5019999999999998</v>
      </c>
      <c r="N151" s="483">
        <v>2.5249999999999999</v>
      </c>
      <c r="O151" s="483">
        <v>2.5459999999999998</v>
      </c>
      <c r="P151" s="483">
        <v>2.5649999999999999</v>
      </c>
      <c r="Q151" s="483">
        <v>2.5830000000000002</v>
      </c>
      <c r="R151" s="483">
        <v>2.6</v>
      </c>
      <c r="S151" s="483">
        <v>2.6160000000000001</v>
      </c>
      <c r="T151" s="483">
        <v>2.6309999999999998</v>
      </c>
      <c r="U151" s="288">
        <v>2.645</v>
      </c>
    </row>
    <row r="153" spans="1:21" x14ac:dyDescent="0.25">
      <c r="A153" t="s">
        <v>1246</v>
      </c>
    </row>
    <row r="154" spans="1:21" x14ac:dyDescent="0.25">
      <c r="A154" t="s">
        <v>1247</v>
      </c>
    </row>
  </sheetData>
  <pageMargins left="0.7" right="0.7" top="0.75" bottom="0.75" header="0.3" footer="0.3"/>
  <pageSetup paperSize="9"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AO56"/>
  <sheetViews>
    <sheetView zoomScaleNormal="100" workbookViewId="0"/>
  </sheetViews>
  <sheetFormatPr defaultColWidth="9.140625" defaultRowHeight="15" x14ac:dyDescent="0.25"/>
  <cols>
    <col min="1" max="1" width="5.7109375" style="22" customWidth="1"/>
    <col min="2" max="41" width="5.7109375" style="35" customWidth="1"/>
    <col min="42" max="16384" width="9.140625" style="35"/>
  </cols>
  <sheetData>
    <row r="1" spans="1:41" x14ac:dyDescent="0.25">
      <c r="A1" s="509" t="s">
        <v>1195</v>
      </c>
    </row>
    <row r="3" spans="1:41" x14ac:dyDescent="0.25">
      <c r="A3" s="509" t="s">
        <v>1199</v>
      </c>
    </row>
    <row r="5" spans="1:41" s="22" customFormat="1" x14ac:dyDescent="0.25">
      <c r="A5" s="510" t="s">
        <v>1197</v>
      </c>
      <c r="B5" s="790">
        <v>1</v>
      </c>
      <c r="C5" s="790"/>
      <c r="D5" s="790">
        <v>2</v>
      </c>
      <c r="E5" s="790"/>
      <c r="F5" s="790">
        <v>3</v>
      </c>
      <c r="G5" s="790"/>
      <c r="H5" s="790">
        <v>4</v>
      </c>
      <c r="I5" s="790"/>
      <c r="J5" s="790">
        <v>5</v>
      </c>
      <c r="K5" s="790"/>
      <c r="L5" s="790">
        <v>6</v>
      </c>
      <c r="M5" s="790"/>
      <c r="N5" s="790">
        <v>7</v>
      </c>
      <c r="O5" s="790"/>
      <c r="P5" s="790">
        <v>8</v>
      </c>
      <c r="Q5" s="790"/>
      <c r="R5" s="790">
        <v>9</v>
      </c>
      <c r="S5" s="790"/>
      <c r="T5" s="790">
        <v>10</v>
      </c>
      <c r="U5" s="790"/>
      <c r="V5" s="790">
        <v>11</v>
      </c>
      <c r="W5" s="790"/>
      <c r="X5" s="790">
        <v>12</v>
      </c>
      <c r="Y5" s="790"/>
      <c r="Z5" s="790">
        <v>13</v>
      </c>
      <c r="AA5" s="790"/>
      <c r="AB5" s="790">
        <v>14</v>
      </c>
      <c r="AC5" s="790"/>
      <c r="AD5" s="790">
        <v>15</v>
      </c>
      <c r="AE5" s="790"/>
      <c r="AF5" s="790">
        <v>16</v>
      </c>
      <c r="AG5" s="790"/>
      <c r="AH5" s="790">
        <v>17</v>
      </c>
      <c r="AI5" s="790"/>
      <c r="AJ5" s="790">
        <v>18</v>
      </c>
      <c r="AK5" s="790"/>
      <c r="AL5" s="790">
        <v>19</v>
      </c>
      <c r="AM5" s="790"/>
      <c r="AN5" s="790">
        <v>20</v>
      </c>
      <c r="AO5" s="790"/>
    </row>
    <row r="6" spans="1:41" x14ac:dyDescent="0.25">
      <c r="A6" s="511">
        <v>6</v>
      </c>
      <c r="B6" s="484">
        <v>0.39</v>
      </c>
      <c r="C6" s="481">
        <v>1.1419999999999999</v>
      </c>
      <c r="D6" s="484"/>
      <c r="E6" s="482"/>
      <c r="F6" s="481"/>
      <c r="G6" s="481"/>
      <c r="H6" s="484"/>
      <c r="I6" s="482"/>
      <c r="J6" s="481"/>
      <c r="K6" s="481"/>
      <c r="L6" s="484"/>
      <c r="M6" s="482"/>
      <c r="N6" s="481"/>
      <c r="O6" s="481"/>
      <c r="P6" s="484"/>
      <c r="Q6" s="481"/>
      <c r="R6" s="484"/>
      <c r="S6" s="482"/>
      <c r="T6" s="481"/>
      <c r="U6" s="481"/>
      <c r="V6" s="559"/>
      <c r="W6" s="561"/>
      <c r="X6" s="559"/>
      <c r="Y6" s="561"/>
      <c r="Z6" s="559"/>
      <c r="AA6" s="561"/>
      <c r="AB6" s="559"/>
      <c r="AC6" s="561"/>
      <c r="AD6" s="559"/>
      <c r="AE6" s="561"/>
      <c r="AF6" s="559"/>
      <c r="AG6" s="560"/>
      <c r="AH6" s="561"/>
      <c r="AI6" s="560"/>
      <c r="AJ6" s="561"/>
      <c r="AK6" s="560"/>
      <c r="AL6" s="561"/>
      <c r="AM6" s="560"/>
      <c r="AN6" s="561"/>
      <c r="AO6" s="560"/>
    </row>
    <row r="7" spans="1:41" x14ac:dyDescent="0.25">
      <c r="A7" s="260">
        <v>7</v>
      </c>
      <c r="B7" s="285">
        <v>0.435</v>
      </c>
      <c r="C7" s="36">
        <v>1.036</v>
      </c>
      <c r="D7" s="285">
        <v>0.29399999999999998</v>
      </c>
      <c r="E7" s="286">
        <v>1.6759999999999999</v>
      </c>
      <c r="F7" s="36"/>
      <c r="G7" s="36"/>
      <c r="H7" s="285"/>
      <c r="I7" s="286"/>
      <c r="J7" s="36"/>
      <c r="K7" s="36"/>
      <c r="L7" s="285"/>
      <c r="M7" s="286"/>
      <c r="N7" s="36"/>
      <c r="O7" s="36"/>
      <c r="P7" s="285"/>
      <c r="Q7" s="36"/>
      <c r="R7" s="285"/>
      <c r="S7" s="286"/>
      <c r="T7" s="36"/>
      <c r="U7" s="36"/>
      <c r="V7" s="285"/>
      <c r="W7" s="36"/>
      <c r="X7" s="285"/>
      <c r="Y7" s="36"/>
      <c r="Z7" s="285"/>
      <c r="AA7" s="36"/>
      <c r="AB7" s="285"/>
      <c r="AC7" s="36"/>
      <c r="AD7" s="285"/>
      <c r="AE7" s="36"/>
      <c r="AF7" s="285"/>
      <c r="AG7" s="286"/>
      <c r="AH7" s="36"/>
      <c r="AI7" s="286"/>
      <c r="AJ7" s="36"/>
      <c r="AK7" s="286"/>
      <c r="AL7" s="36"/>
      <c r="AM7" s="286"/>
      <c r="AN7" s="36"/>
      <c r="AO7" s="286"/>
    </row>
    <row r="8" spans="1:41" x14ac:dyDescent="0.25">
      <c r="A8" s="260">
        <v>8</v>
      </c>
      <c r="B8" s="285">
        <v>0.497</v>
      </c>
      <c r="C8" s="36">
        <v>1.0029999999999999</v>
      </c>
      <c r="D8" s="285">
        <v>0.34499999999999997</v>
      </c>
      <c r="E8" s="286">
        <v>1.4890000000000001</v>
      </c>
      <c r="F8" s="36">
        <v>0.22900000000000001</v>
      </c>
      <c r="G8" s="36">
        <v>2.1019999999999999</v>
      </c>
      <c r="H8" s="285"/>
      <c r="I8" s="286"/>
      <c r="J8" s="36"/>
      <c r="K8" s="36"/>
      <c r="L8" s="285"/>
      <c r="M8" s="286"/>
      <c r="N8" s="36"/>
      <c r="O8" s="36"/>
      <c r="P8" s="285"/>
      <c r="Q8" s="36"/>
      <c r="R8" s="285"/>
      <c r="S8" s="286"/>
      <c r="T8" s="36"/>
      <c r="U8" s="36"/>
      <c r="V8" s="285"/>
      <c r="W8" s="36"/>
      <c r="X8" s="285"/>
      <c r="Y8" s="36"/>
      <c r="Z8" s="285"/>
      <c r="AA8" s="36"/>
      <c r="AB8" s="285"/>
      <c r="AC8" s="36"/>
      <c r="AD8" s="285"/>
      <c r="AE8" s="36"/>
      <c r="AF8" s="285"/>
      <c r="AG8" s="286"/>
      <c r="AH8" s="36"/>
      <c r="AI8" s="286"/>
      <c r="AJ8" s="36"/>
      <c r="AK8" s="286"/>
      <c r="AL8" s="36"/>
      <c r="AM8" s="286"/>
      <c r="AN8" s="36"/>
      <c r="AO8" s="286"/>
    </row>
    <row r="9" spans="1:41" x14ac:dyDescent="0.25">
      <c r="A9" s="260">
        <v>9</v>
      </c>
      <c r="B9" s="285">
        <v>0.55400000000000005</v>
      </c>
      <c r="C9" s="36">
        <v>0.998</v>
      </c>
      <c r="D9" s="285">
        <v>0.40799999999999997</v>
      </c>
      <c r="E9" s="286">
        <v>1.389</v>
      </c>
      <c r="F9" s="36">
        <v>0.27900000000000003</v>
      </c>
      <c r="G9" s="36">
        <v>1.875</v>
      </c>
      <c r="H9" s="285">
        <v>0.183</v>
      </c>
      <c r="I9" s="286">
        <v>2.4329999999999998</v>
      </c>
      <c r="J9" s="36"/>
      <c r="K9" s="36"/>
      <c r="L9" s="285"/>
      <c r="M9" s="286"/>
      <c r="N9" s="36"/>
      <c r="O9" s="36"/>
      <c r="P9" s="285"/>
      <c r="Q9" s="36"/>
      <c r="R9" s="285"/>
      <c r="S9" s="286"/>
      <c r="T9" s="36"/>
      <c r="U9" s="36"/>
      <c r="V9" s="285"/>
      <c r="W9" s="36"/>
      <c r="X9" s="285"/>
      <c r="Y9" s="36"/>
      <c r="Z9" s="285"/>
      <c r="AA9" s="36"/>
      <c r="AB9" s="285"/>
      <c r="AC9" s="36"/>
      <c r="AD9" s="285"/>
      <c r="AE9" s="36"/>
      <c r="AF9" s="285"/>
      <c r="AG9" s="286"/>
      <c r="AH9" s="36"/>
      <c r="AI9" s="286"/>
      <c r="AJ9" s="36"/>
      <c r="AK9" s="286"/>
      <c r="AL9" s="36"/>
      <c r="AM9" s="286"/>
      <c r="AN9" s="36"/>
      <c r="AO9" s="286"/>
    </row>
    <row r="10" spans="1:41" x14ac:dyDescent="0.25">
      <c r="A10" s="260">
        <v>10</v>
      </c>
      <c r="B10" s="285">
        <v>0.60399999999999998</v>
      </c>
      <c r="C10" s="36">
        <v>1.0009999999999999</v>
      </c>
      <c r="D10" s="285">
        <v>0.46600000000000003</v>
      </c>
      <c r="E10" s="286">
        <v>1.333</v>
      </c>
      <c r="F10" s="36">
        <v>0.34</v>
      </c>
      <c r="G10" s="36">
        <v>1.7330000000000001</v>
      </c>
      <c r="H10" s="285">
        <v>0.23</v>
      </c>
      <c r="I10" s="286">
        <v>2.1930000000000001</v>
      </c>
      <c r="J10" s="36">
        <v>0.15</v>
      </c>
      <c r="K10" s="36">
        <v>2.69</v>
      </c>
      <c r="L10" s="285"/>
      <c r="M10" s="286"/>
      <c r="N10" s="36"/>
      <c r="O10" s="36"/>
      <c r="P10" s="285"/>
      <c r="Q10" s="36"/>
      <c r="R10" s="285"/>
      <c r="S10" s="286"/>
      <c r="T10" s="36"/>
      <c r="U10" s="36"/>
      <c r="V10" s="285"/>
      <c r="W10" s="36"/>
      <c r="X10" s="285"/>
      <c r="Y10" s="36"/>
      <c r="Z10" s="285"/>
      <c r="AA10" s="36"/>
      <c r="AB10" s="285"/>
      <c r="AC10" s="36"/>
      <c r="AD10" s="285"/>
      <c r="AE10" s="36"/>
      <c r="AF10" s="285"/>
      <c r="AG10" s="286"/>
      <c r="AH10" s="36"/>
      <c r="AI10" s="286"/>
      <c r="AJ10" s="36"/>
      <c r="AK10" s="286"/>
      <c r="AL10" s="36"/>
      <c r="AM10" s="286"/>
      <c r="AN10" s="36"/>
      <c r="AO10" s="286"/>
    </row>
    <row r="11" spans="1:41" x14ac:dyDescent="0.25">
      <c r="A11" s="260">
        <v>11</v>
      </c>
      <c r="B11" s="285">
        <v>0.65300000000000002</v>
      </c>
      <c r="C11" s="36">
        <v>1.01</v>
      </c>
      <c r="D11" s="285">
        <v>0.51900000000000002</v>
      </c>
      <c r="E11" s="286">
        <v>1.2969999999999999</v>
      </c>
      <c r="F11" s="36">
        <v>0.39600000000000002</v>
      </c>
      <c r="G11" s="36">
        <v>1.64</v>
      </c>
      <c r="H11" s="285">
        <v>0.28599999999999998</v>
      </c>
      <c r="I11" s="286">
        <v>2.0299999999999998</v>
      </c>
      <c r="J11" s="36">
        <v>0.193</v>
      </c>
      <c r="K11" s="36">
        <v>2.4529999999999998</v>
      </c>
      <c r="L11" s="285">
        <v>0.124</v>
      </c>
      <c r="M11" s="286">
        <v>2.8919999999999999</v>
      </c>
      <c r="N11" s="36"/>
      <c r="O11" s="36"/>
      <c r="P11" s="285"/>
      <c r="Q11" s="36"/>
      <c r="R11" s="285"/>
      <c r="S11" s="286"/>
      <c r="T11" s="36"/>
      <c r="U11" s="36"/>
      <c r="V11" s="285"/>
      <c r="W11" s="36"/>
      <c r="X11" s="285"/>
      <c r="Y11" s="36"/>
      <c r="Z11" s="285"/>
      <c r="AA11" s="36"/>
      <c r="AB11" s="285"/>
      <c r="AC11" s="36"/>
      <c r="AD11" s="285"/>
      <c r="AE11" s="36"/>
      <c r="AF11" s="285"/>
      <c r="AG11" s="286"/>
      <c r="AH11" s="36"/>
      <c r="AI11" s="286"/>
      <c r="AJ11" s="36"/>
      <c r="AK11" s="286"/>
      <c r="AL11" s="36"/>
      <c r="AM11" s="286"/>
      <c r="AN11" s="36"/>
      <c r="AO11" s="286"/>
    </row>
    <row r="12" spans="1:41" x14ac:dyDescent="0.25">
      <c r="A12" s="260">
        <v>12</v>
      </c>
      <c r="B12" s="285">
        <v>0.69699999999999995</v>
      </c>
      <c r="C12" s="36">
        <v>1.0229999999999999</v>
      </c>
      <c r="D12" s="285">
        <v>0.56899999999999995</v>
      </c>
      <c r="E12" s="286">
        <v>1.274</v>
      </c>
      <c r="F12" s="36">
        <v>0.44900000000000001</v>
      </c>
      <c r="G12" s="36">
        <v>1.575</v>
      </c>
      <c r="H12" s="285">
        <v>0.33900000000000002</v>
      </c>
      <c r="I12" s="286">
        <v>1.913</v>
      </c>
      <c r="J12" s="36">
        <v>0.24399999999999999</v>
      </c>
      <c r="K12" s="36">
        <v>2.2799999999999998</v>
      </c>
      <c r="L12" s="285">
        <v>0.16400000000000001</v>
      </c>
      <c r="M12" s="286">
        <v>2.665</v>
      </c>
      <c r="N12" s="36">
        <v>0.105</v>
      </c>
      <c r="O12" s="36">
        <v>3.0529999999999999</v>
      </c>
      <c r="P12" s="285"/>
      <c r="Q12" s="36"/>
      <c r="R12" s="285"/>
      <c r="S12" s="286"/>
      <c r="T12" s="36"/>
      <c r="U12" s="36"/>
      <c r="V12" s="285"/>
      <c r="W12" s="36"/>
      <c r="X12" s="285"/>
      <c r="Y12" s="36"/>
      <c r="Z12" s="285"/>
      <c r="AA12" s="36"/>
      <c r="AB12" s="285"/>
      <c r="AC12" s="36"/>
      <c r="AD12" s="285"/>
      <c r="AE12" s="36"/>
      <c r="AF12" s="285"/>
      <c r="AG12" s="286"/>
      <c r="AH12" s="36"/>
      <c r="AI12" s="286"/>
      <c r="AJ12" s="36"/>
      <c r="AK12" s="286"/>
      <c r="AL12" s="36"/>
      <c r="AM12" s="286"/>
      <c r="AN12" s="36"/>
      <c r="AO12" s="286"/>
    </row>
    <row r="13" spans="1:41" x14ac:dyDescent="0.25">
      <c r="A13" s="260">
        <v>13</v>
      </c>
      <c r="B13" s="285">
        <v>0.73799999999999999</v>
      </c>
      <c r="C13" s="36">
        <v>1.038</v>
      </c>
      <c r="D13" s="285">
        <v>0.61599999999999999</v>
      </c>
      <c r="E13" s="286">
        <v>1.2609999999999999</v>
      </c>
      <c r="F13" s="36">
        <v>0.499</v>
      </c>
      <c r="G13" s="36">
        <v>1.526</v>
      </c>
      <c r="H13" s="285">
        <v>0.39100000000000001</v>
      </c>
      <c r="I13" s="286">
        <v>1.8260000000000001</v>
      </c>
      <c r="J13" s="36">
        <v>0.29399999999999998</v>
      </c>
      <c r="K13" s="36">
        <v>2.15</v>
      </c>
      <c r="L13" s="285">
        <v>0.21099999999999999</v>
      </c>
      <c r="M13" s="286">
        <v>2.4900000000000002</v>
      </c>
      <c r="N13" s="36">
        <v>0.14000000000000001</v>
      </c>
      <c r="O13" s="36">
        <v>2.8380000000000001</v>
      </c>
      <c r="P13" s="285">
        <v>0.09</v>
      </c>
      <c r="Q13" s="36">
        <v>3.1819999999999999</v>
      </c>
      <c r="R13" s="285"/>
      <c r="S13" s="286"/>
      <c r="T13" s="36"/>
      <c r="U13" s="36"/>
      <c r="V13" s="285"/>
      <c r="W13" s="36"/>
      <c r="X13" s="285"/>
      <c r="Y13" s="36"/>
      <c r="Z13" s="285"/>
      <c r="AA13" s="36"/>
      <c r="AB13" s="285"/>
      <c r="AC13" s="36"/>
      <c r="AD13" s="285"/>
      <c r="AE13" s="36"/>
      <c r="AF13" s="285"/>
      <c r="AG13" s="286"/>
      <c r="AH13" s="36"/>
      <c r="AI13" s="286"/>
      <c r="AJ13" s="36"/>
      <c r="AK13" s="286"/>
      <c r="AL13" s="36"/>
      <c r="AM13" s="286"/>
      <c r="AN13" s="36"/>
      <c r="AO13" s="286"/>
    </row>
    <row r="14" spans="1:41" x14ac:dyDescent="0.25">
      <c r="A14" s="260">
        <v>14</v>
      </c>
      <c r="B14" s="285">
        <v>0.77600000000000002</v>
      </c>
      <c r="C14" s="36">
        <v>1.054</v>
      </c>
      <c r="D14" s="285">
        <v>0.66</v>
      </c>
      <c r="E14" s="286">
        <v>1.254</v>
      </c>
      <c r="F14" s="36">
        <v>0.54700000000000004</v>
      </c>
      <c r="G14" s="36">
        <v>1.49</v>
      </c>
      <c r="H14" s="285">
        <v>0.441</v>
      </c>
      <c r="I14" s="286">
        <v>1.7569999999999999</v>
      </c>
      <c r="J14" s="36">
        <v>0.34300000000000003</v>
      </c>
      <c r="K14" s="36">
        <v>2.0489999999999999</v>
      </c>
      <c r="L14" s="285">
        <v>0.25700000000000001</v>
      </c>
      <c r="M14" s="286">
        <v>2.3540000000000001</v>
      </c>
      <c r="N14" s="36">
        <v>0.183</v>
      </c>
      <c r="O14" s="36">
        <v>2.6669999999999998</v>
      </c>
      <c r="P14" s="285">
        <v>0.122</v>
      </c>
      <c r="Q14" s="36">
        <v>2.9809999999999999</v>
      </c>
      <c r="R14" s="285">
        <v>7.8E-2</v>
      </c>
      <c r="S14" s="286">
        <v>3.2869999999999999</v>
      </c>
      <c r="T14" s="36"/>
      <c r="U14" s="36"/>
      <c r="V14" s="285"/>
      <c r="W14" s="36"/>
      <c r="X14" s="285"/>
      <c r="Y14" s="36"/>
      <c r="Z14" s="285"/>
      <c r="AA14" s="36"/>
      <c r="AB14" s="285"/>
      <c r="AC14" s="36"/>
      <c r="AD14" s="285"/>
      <c r="AE14" s="36"/>
      <c r="AF14" s="285"/>
      <c r="AG14" s="286"/>
      <c r="AH14" s="36"/>
      <c r="AI14" s="286"/>
      <c r="AJ14" s="36"/>
      <c r="AK14" s="286"/>
      <c r="AL14" s="36"/>
      <c r="AM14" s="286"/>
      <c r="AN14" s="36"/>
      <c r="AO14" s="286"/>
    </row>
    <row r="15" spans="1:41" x14ac:dyDescent="0.25">
      <c r="A15" s="260">
        <v>15</v>
      </c>
      <c r="B15" s="285">
        <v>0.81100000000000005</v>
      </c>
      <c r="C15" s="36">
        <v>1.07</v>
      </c>
      <c r="D15" s="285">
        <v>0.7</v>
      </c>
      <c r="E15" s="286">
        <v>1.252</v>
      </c>
      <c r="F15" s="36">
        <v>0.59099999999999997</v>
      </c>
      <c r="G15" s="36">
        <v>1.4650000000000001</v>
      </c>
      <c r="H15" s="285">
        <v>0.48699999999999999</v>
      </c>
      <c r="I15" s="286">
        <v>1.7050000000000001</v>
      </c>
      <c r="J15" s="36">
        <v>0.39</v>
      </c>
      <c r="K15" s="36">
        <v>1.9670000000000001</v>
      </c>
      <c r="L15" s="285">
        <v>0.30299999999999999</v>
      </c>
      <c r="M15" s="286">
        <v>2.2440000000000002</v>
      </c>
      <c r="N15" s="36">
        <v>0.22600000000000001</v>
      </c>
      <c r="O15" s="36">
        <v>2.5299999999999998</v>
      </c>
      <c r="P15" s="285">
        <v>0.161</v>
      </c>
      <c r="Q15" s="36">
        <v>2.8170000000000002</v>
      </c>
      <c r="R15" s="285">
        <v>0.107</v>
      </c>
      <c r="S15" s="286">
        <v>3.101</v>
      </c>
      <c r="T15" s="36">
        <v>6.8000000000000005E-2</v>
      </c>
      <c r="U15" s="36">
        <v>3.3740000000000001</v>
      </c>
      <c r="V15" s="285"/>
      <c r="W15" s="36"/>
      <c r="X15" s="285"/>
      <c r="Y15" s="36"/>
      <c r="Z15" s="285"/>
      <c r="AA15" s="36"/>
      <c r="AB15" s="285"/>
      <c r="AC15" s="36"/>
      <c r="AD15" s="285"/>
      <c r="AE15" s="36"/>
      <c r="AF15" s="285"/>
      <c r="AG15" s="286"/>
      <c r="AH15" s="36"/>
      <c r="AI15" s="286"/>
      <c r="AJ15" s="36"/>
      <c r="AK15" s="286"/>
      <c r="AL15" s="36"/>
      <c r="AM15" s="286"/>
      <c r="AN15" s="36"/>
      <c r="AO15" s="286"/>
    </row>
    <row r="16" spans="1:41" x14ac:dyDescent="0.25">
      <c r="A16" s="260">
        <v>16</v>
      </c>
      <c r="B16" s="285">
        <v>0.84399999999999997</v>
      </c>
      <c r="C16" s="36">
        <v>1.0860000000000001</v>
      </c>
      <c r="D16" s="285">
        <v>0.73799999999999999</v>
      </c>
      <c r="E16" s="286">
        <v>1.2529999999999999</v>
      </c>
      <c r="F16" s="36">
        <v>0.63300000000000001</v>
      </c>
      <c r="G16" s="36">
        <v>1.4470000000000001</v>
      </c>
      <c r="H16" s="285">
        <v>0.53200000000000003</v>
      </c>
      <c r="I16" s="286">
        <v>1.6639999999999999</v>
      </c>
      <c r="J16" s="36">
        <v>0.437</v>
      </c>
      <c r="K16" s="36">
        <v>1.901</v>
      </c>
      <c r="L16" s="285">
        <v>0.34899999999999998</v>
      </c>
      <c r="M16" s="286">
        <v>2.153</v>
      </c>
      <c r="N16" s="36">
        <v>0.26900000000000002</v>
      </c>
      <c r="O16" s="36">
        <v>2.4159999999999999</v>
      </c>
      <c r="P16" s="285">
        <v>0.2</v>
      </c>
      <c r="Q16" s="36">
        <v>2.681</v>
      </c>
      <c r="R16" s="285">
        <v>0.14199999999999999</v>
      </c>
      <c r="S16" s="286">
        <v>2.944</v>
      </c>
      <c r="T16" s="36">
        <v>9.4E-2</v>
      </c>
      <c r="U16" s="36">
        <v>3.2010000000000001</v>
      </c>
      <c r="V16" s="285">
        <v>0.06</v>
      </c>
      <c r="W16" s="36">
        <v>3.4460000000000002</v>
      </c>
      <c r="X16" s="285"/>
      <c r="Y16" s="36"/>
      <c r="Z16" s="285"/>
      <c r="AA16" s="36"/>
      <c r="AB16" s="285"/>
      <c r="AC16" s="36"/>
      <c r="AD16" s="285"/>
      <c r="AE16" s="36"/>
      <c r="AF16" s="285"/>
      <c r="AG16" s="286"/>
      <c r="AH16" s="36"/>
      <c r="AI16" s="286"/>
      <c r="AJ16" s="36"/>
      <c r="AK16" s="286"/>
      <c r="AL16" s="36"/>
      <c r="AM16" s="286"/>
      <c r="AN16" s="36"/>
      <c r="AO16" s="286"/>
    </row>
    <row r="17" spans="1:41" x14ac:dyDescent="0.25">
      <c r="A17" s="260">
        <v>17</v>
      </c>
      <c r="B17" s="285">
        <v>0.873</v>
      </c>
      <c r="C17" s="36">
        <v>1.1020000000000001</v>
      </c>
      <c r="D17" s="285">
        <v>0.77300000000000002</v>
      </c>
      <c r="E17" s="286">
        <v>1.2549999999999999</v>
      </c>
      <c r="F17" s="36">
        <v>0.67200000000000004</v>
      </c>
      <c r="G17" s="36">
        <v>1.4319999999999999</v>
      </c>
      <c r="H17" s="285">
        <v>0.57399999999999995</v>
      </c>
      <c r="I17" s="286">
        <v>1.631</v>
      </c>
      <c r="J17" s="36">
        <v>0.48099999999999998</v>
      </c>
      <c r="K17" s="36">
        <v>1.847</v>
      </c>
      <c r="L17" s="285">
        <v>0.39300000000000002</v>
      </c>
      <c r="M17" s="286">
        <v>2.0779999999999998</v>
      </c>
      <c r="N17" s="36">
        <v>0.313</v>
      </c>
      <c r="O17" s="36">
        <v>2.319</v>
      </c>
      <c r="P17" s="285">
        <v>0.24099999999999999</v>
      </c>
      <c r="Q17" s="36">
        <v>2.5659999999999998</v>
      </c>
      <c r="R17" s="285">
        <v>0.17899999999999999</v>
      </c>
      <c r="S17" s="286">
        <v>2.8109999999999999</v>
      </c>
      <c r="T17" s="36">
        <v>0.127</v>
      </c>
      <c r="U17" s="36">
        <v>3.0529999999999999</v>
      </c>
      <c r="V17" s="285">
        <v>8.4000000000000005E-2</v>
      </c>
      <c r="W17" s="36">
        <v>3.286</v>
      </c>
      <c r="X17" s="285">
        <v>5.2999999999999999E-2</v>
      </c>
      <c r="Y17" s="36">
        <v>3.5059999999999998</v>
      </c>
      <c r="Z17" s="285"/>
      <c r="AA17" s="36"/>
      <c r="AB17" s="285"/>
      <c r="AC17" s="36"/>
      <c r="AD17" s="285"/>
      <c r="AE17" s="36"/>
      <c r="AF17" s="285"/>
      <c r="AG17" s="286"/>
      <c r="AH17" s="36"/>
      <c r="AI17" s="286"/>
      <c r="AJ17" s="36"/>
      <c r="AK17" s="286"/>
      <c r="AL17" s="36"/>
      <c r="AM17" s="286"/>
      <c r="AN17" s="36"/>
      <c r="AO17" s="286"/>
    </row>
    <row r="18" spans="1:41" x14ac:dyDescent="0.25">
      <c r="A18" s="260">
        <v>18</v>
      </c>
      <c r="B18" s="285">
        <v>0.90200000000000002</v>
      </c>
      <c r="C18" s="36">
        <v>1.1180000000000001</v>
      </c>
      <c r="D18" s="285">
        <v>0.80500000000000005</v>
      </c>
      <c r="E18" s="286">
        <v>1.2589999999999999</v>
      </c>
      <c r="F18" s="36">
        <v>0.70799999999999996</v>
      </c>
      <c r="G18" s="36">
        <v>1.4219999999999999</v>
      </c>
      <c r="H18" s="285">
        <v>0.61399999999999999</v>
      </c>
      <c r="I18" s="286">
        <v>1.6040000000000001</v>
      </c>
      <c r="J18" s="36">
        <v>0.52200000000000002</v>
      </c>
      <c r="K18" s="36">
        <v>1.8029999999999999</v>
      </c>
      <c r="L18" s="285">
        <v>0.435</v>
      </c>
      <c r="M18" s="286">
        <v>2.0150000000000001</v>
      </c>
      <c r="N18" s="36">
        <v>0.35499999999999998</v>
      </c>
      <c r="O18" s="36">
        <v>2.238</v>
      </c>
      <c r="P18" s="285">
        <v>0.28199999999999997</v>
      </c>
      <c r="Q18" s="36">
        <v>2.4670000000000001</v>
      </c>
      <c r="R18" s="285">
        <v>0.216</v>
      </c>
      <c r="S18" s="286">
        <v>2.6970000000000001</v>
      </c>
      <c r="T18" s="36">
        <v>0.16</v>
      </c>
      <c r="U18" s="36">
        <v>2.9249999999999998</v>
      </c>
      <c r="V18" s="285">
        <v>0.113</v>
      </c>
      <c r="W18" s="36">
        <v>3.1459999999999999</v>
      </c>
      <c r="X18" s="285">
        <v>7.4999999999999997E-2</v>
      </c>
      <c r="Y18" s="36">
        <v>3.3580000000000001</v>
      </c>
      <c r="Z18" s="285">
        <v>4.7E-2</v>
      </c>
      <c r="AA18" s="36">
        <v>3.5569999999999999</v>
      </c>
      <c r="AB18" s="285"/>
      <c r="AC18" s="36"/>
      <c r="AD18" s="285"/>
      <c r="AE18" s="36"/>
      <c r="AF18" s="285"/>
      <c r="AG18" s="286"/>
      <c r="AH18" s="36"/>
      <c r="AI18" s="286"/>
      <c r="AJ18" s="36"/>
      <c r="AK18" s="286"/>
      <c r="AL18" s="36"/>
      <c r="AM18" s="286"/>
      <c r="AN18" s="36"/>
      <c r="AO18" s="286"/>
    </row>
    <row r="19" spans="1:41" x14ac:dyDescent="0.25">
      <c r="A19" s="260">
        <v>19</v>
      </c>
      <c r="B19" s="285">
        <v>0.92800000000000005</v>
      </c>
      <c r="C19" s="36">
        <v>1.133</v>
      </c>
      <c r="D19" s="285">
        <v>0.83499999999999996</v>
      </c>
      <c r="E19" s="286">
        <v>1.264</v>
      </c>
      <c r="F19" s="36">
        <v>0.74199999999999999</v>
      </c>
      <c r="G19" s="36">
        <v>1.4159999999999999</v>
      </c>
      <c r="H19" s="285">
        <v>0.65</v>
      </c>
      <c r="I19" s="286">
        <v>1.583</v>
      </c>
      <c r="J19" s="36">
        <v>0.56100000000000005</v>
      </c>
      <c r="K19" s="36">
        <v>1.7669999999999999</v>
      </c>
      <c r="L19" s="285">
        <v>0.47599999999999998</v>
      </c>
      <c r="M19" s="286">
        <v>1.9630000000000001</v>
      </c>
      <c r="N19" s="36">
        <v>0.39600000000000002</v>
      </c>
      <c r="O19" s="36">
        <v>2.169</v>
      </c>
      <c r="P19" s="285">
        <v>0.32200000000000001</v>
      </c>
      <c r="Q19" s="36">
        <v>2.3809999999999998</v>
      </c>
      <c r="R19" s="285">
        <v>0.255</v>
      </c>
      <c r="S19" s="286">
        <v>2.597</v>
      </c>
      <c r="T19" s="36">
        <v>0.19600000000000001</v>
      </c>
      <c r="U19" s="36">
        <v>2.8130000000000002</v>
      </c>
      <c r="V19" s="285">
        <v>0.14499999999999999</v>
      </c>
      <c r="W19" s="36">
        <v>3.0230000000000001</v>
      </c>
      <c r="X19" s="285">
        <v>0.10199999999999999</v>
      </c>
      <c r="Y19" s="36">
        <v>3.2269999999999999</v>
      </c>
      <c r="Z19" s="285">
        <v>6.7000000000000004E-2</v>
      </c>
      <c r="AA19" s="36">
        <v>3.42</v>
      </c>
      <c r="AB19" s="285">
        <v>4.2999999999999997E-2</v>
      </c>
      <c r="AC19" s="36">
        <v>3.601</v>
      </c>
      <c r="AD19" s="285"/>
      <c r="AE19" s="36"/>
      <c r="AF19" s="285"/>
      <c r="AG19" s="286"/>
      <c r="AH19" s="36"/>
      <c r="AI19" s="286"/>
      <c r="AJ19" s="36"/>
      <c r="AK19" s="286"/>
      <c r="AL19" s="36"/>
      <c r="AM19" s="286"/>
      <c r="AN19" s="36"/>
      <c r="AO19" s="286"/>
    </row>
    <row r="20" spans="1:41" x14ac:dyDescent="0.25">
      <c r="A20" s="260">
        <v>20</v>
      </c>
      <c r="B20" s="285">
        <v>0.95199999999999996</v>
      </c>
      <c r="C20" s="36">
        <v>1.147</v>
      </c>
      <c r="D20" s="285">
        <v>0.86199999999999999</v>
      </c>
      <c r="E20" s="286">
        <v>1.27</v>
      </c>
      <c r="F20" s="36">
        <v>0.77400000000000002</v>
      </c>
      <c r="G20" s="36">
        <v>1.41</v>
      </c>
      <c r="H20" s="285">
        <v>0.68400000000000005</v>
      </c>
      <c r="I20" s="286">
        <v>1.5669999999999999</v>
      </c>
      <c r="J20" s="36">
        <v>0.59799999999999998</v>
      </c>
      <c r="K20" s="36">
        <v>1.736</v>
      </c>
      <c r="L20" s="285">
        <v>0.51500000000000001</v>
      </c>
      <c r="M20" s="286">
        <v>1.9179999999999999</v>
      </c>
      <c r="N20" s="36">
        <v>0.436</v>
      </c>
      <c r="O20" s="36">
        <v>2.11</v>
      </c>
      <c r="P20" s="285">
        <v>0.36199999999999999</v>
      </c>
      <c r="Q20" s="36">
        <v>2.3079999999999998</v>
      </c>
      <c r="R20" s="285">
        <v>0.29399999999999998</v>
      </c>
      <c r="S20" s="286">
        <v>2.5099999999999998</v>
      </c>
      <c r="T20" s="36">
        <v>0.23200000000000001</v>
      </c>
      <c r="U20" s="36">
        <v>2.1739999999999999</v>
      </c>
      <c r="V20" s="285">
        <v>0.17799999999999999</v>
      </c>
      <c r="W20" s="36">
        <v>2.9140000000000001</v>
      </c>
      <c r="X20" s="285">
        <v>0.13100000000000001</v>
      </c>
      <c r="Y20" s="36">
        <v>3.109</v>
      </c>
      <c r="Z20" s="285">
        <v>9.1999999999999998E-2</v>
      </c>
      <c r="AA20" s="36">
        <v>3.2970000000000002</v>
      </c>
      <c r="AB20" s="285">
        <v>6.0999999999999999E-2</v>
      </c>
      <c r="AC20" s="36">
        <v>3.4740000000000002</v>
      </c>
      <c r="AD20" s="285">
        <v>3.7999999999999999E-2</v>
      </c>
      <c r="AE20" s="36">
        <v>3.6389999999999998</v>
      </c>
      <c r="AF20" s="285"/>
      <c r="AG20" s="286"/>
      <c r="AH20" s="36"/>
      <c r="AI20" s="286"/>
      <c r="AJ20" s="36"/>
      <c r="AK20" s="286"/>
      <c r="AL20" s="36"/>
      <c r="AM20" s="286"/>
      <c r="AN20" s="36"/>
      <c r="AO20" s="286"/>
    </row>
    <row r="21" spans="1:41" x14ac:dyDescent="0.25">
      <c r="A21" s="260">
        <v>21</v>
      </c>
      <c r="B21" s="285">
        <v>0.97499999999999998</v>
      </c>
      <c r="C21" s="36">
        <v>1.161</v>
      </c>
      <c r="D21" s="285">
        <v>0.88900000000000001</v>
      </c>
      <c r="E21" s="286">
        <v>1.276</v>
      </c>
      <c r="F21" s="36">
        <v>0.80300000000000005</v>
      </c>
      <c r="G21" s="36">
        <v>1.4079999999999999</v>
      </c>
      <c r="H21" s="285">
        <v>0.71799999999999997</v>
      </c>
      <c r="I21" s="286">
        <v>1.554</v>
      </c>
      <c r="J21" s="36">
        <v>0.63400000000000001</v>
      </c>
      <c r="K21" s="36">
        <v>1.712</v>
      </c>
      <c r="L21" s="285">
        <v>0.55200000000000005</v>
      </c>
      <c r="M21" s="286">
        <v>1.881</v>
      </c>
      <c r="N21" s="36">
        <v>0.47399999999999998</v>
      </c>
      <c r="O21" s="36">
        <v>2.0590000000000002</v>
      </c>
      <c r="P21" s="285">
        <v>0.4</v>
      </c>
      <c r="Q21" s="36">
        <v>2.2440000000000002</v>
      </c>
      <c r="R21" s="285">
        <v>0.33100000000000002</v>
      </c>
      <c r="S21" s="286">
        <v>2.4340000000000002</v>
      </c>
      <c r="T21" s="36">
        <v>0.26800000000000002</v>
      </c>
      <c r="U21" s="36">
        <v>2.625</v>
      </c>
      <c r="V21" s="285">
        <v>0.21199999999999999</v>
      </c>
      <c r="W21" s="36">
        <v>2.8170000000000002</v>
      </c>
      <c r="X21" s="285">
        <v>0.16200000000000001</v>
      </c>
      <c r="Y21" s="36">
        <v>3.004</v>
      </c>
      <c r="Z21" s="285">
        <v>0.11899999999999999</v>
      </c>
      <c r="AA21" s="36">
        <v>3.1850000000000001</v>
      </c>
      <c r="AB21" s="285">
        <v>8.4000000000000005E-2</v>
      </c>
      <c r="AC21" s="36">
        <v>3.3580000000000001</v>
      </c>
      <c r="AD21" s="285">
        <v>5.5E-2</v>
      </c>
      <c r="AE21" s="36">
        <v>3.5209999999999999</v>
      </c>
      <c r="AF21" s="285">
        <v>3.5000000000000003E-2</v>
      </c>
      <c r="AG21" s="286">
        <v>3.6709999999999998</v>
      </c>
      <c r="AH21" s="36"/>
      <c r="AI21" s="286"/>
      <c r="AJ21" s="36"/>
      <c r="AK21" s="286"/>
      <c r="AL21" s="36"/>
      <c r="AM21" s="286"/>
      <c r="AN21" s="36"/>
      <c r="AO21" s="286"/>
    </row>
    <row r="22" spans="1:41" x14ac:dyDescent="0.25">
      <c r="A22" s="260">
        <v>22</v>
      </c>
      <c r="B22" s="285">
        <v>0.997</v>
      </c>
      <c r="C22" s="36">
        <v>1.1739999999999999</v>
      </c>
      <c r="D22" s="285">
        <v>0.91500000000000004</v>
      </c>
      <c r="E22" s="286">
        <v>1.284</v>
      </c>
      <c r="F22" s="36">
        <v>0.83199999999999996</v>
      </c>
      <c r="G22" s="36">
        <v>1.407</v>
      </c>
      <c r="H22" s="285">
        <v>0.748</v>
      </c>
      <c r="I22" s="286">
        <v>1.5429999999999999</v>
      </c>
      <c r="J22" s="36">
        <v>0.66600000000000004</v>
      </c>
      <c r="K22" s="36">
        <v>1.6910000000000001</v>
      </c>
      <c r="L22" s="285">
        <v>0.58699999999999997</v>
      </c>
      <c r="M22" s="286">
        <v>1.849</v>
      </c>
      <c r="N22" s="36">
        <v>0.51</v>
      </c>
      <c r="O22" s="36">
        <v>2.0150000000000001</v>
      </c>
      <c r="P22" s="285">
        <v>0.437</v>
      </c>
      <c r="Q22" s="36">
        <v>2.1880000000000002</v>
      </c>
      <c r="R22" s="285">
        <v>0.36799999999999999</v>
      </c>
      <c r="S22" s="286">
        <v>2.367</v>
      </c>
      <c r="T22" s="36">
        <v>0.30399999999999999</v>
      </c>
      <c r="U22" s="36">
        <v>2.548</v>
      </c>
      <c r="V22" s="285">
        <v>0.246</v>
      </c>
      <c r="W22" s="36">
        <v>2.7290000000000001</v>
      </c>
      <c r="X22" s="285">
        <v>0.19400000000000001</v>
      </c>
      <c r="Y22" s="36">
        <v>2.9089999999999998</v>
      </c>
      <c r="Z22" s="285">
        <v>0.14799999999999999</v>
      </c>
      <c r="AA22" s="36">
        <v>3.0840000000000001</v>
      </c>
      <c r="AB22" s="285">
        <v>0.109</v>
      </c>
      <c r="AC22" s="36">
        <v>3.2519999999999998</v>
      </c>
      <c r="AD22" s="285">
        <v>7.6999999999999999E-2</v>
      </c>
      <c r="AE22" s="36">
        <v>3.4119999999999999</v>
      </c>
      <c r="AF22" s="285">
        <v>0.05</v>
      </c>
      <c r="AG22" s="286">
        <v>3.5619999999999998</v>
      </c>
      <c r="AH22" s="36">
        <v>3.2000000000000001E-2</v>
      </c>
      <c r="AI22" s="286">
        <v>3.7</v>
      </c>
      <c r="AJ22" s="36"/>
      <c r="AK22" s="286"/>
      <c r="AL22" s="36"/>
      <c r="AM22" s="286"/>
      <c r="AN22" s="36"/>
      <c r="AO22" s="286"/>
    </row>
    <row r="23" spans="1:41" x14ac:dyDescent="0.25">
      <c r="A23" s="260">
        <v>23</v>
      </c>
      <c r="B23" s="285">
        <v>1.0169999999999999</v>
      </c>
      <c r="C23" s="36">
        <v>1.1859999999999999</v>
      </c>
      <c r="D23" s="285">
        <v>0.93799999999999994</v>
      </c>
      <c r="E23" s="286">
        <v>1.29</v>
      </c>
      <c r="F23" s="36">
        <v>0.85799999999999998</v>
      </c>
      <c r="G23" s="36">
        <v>1.407</v>
      </c>
      <c r="H23" s="285">
        <v>0.77700000000000002</v>
      </c>
      <c r="I23" s="286">
        <v>1.5349999999999999</v>
      </c>
      <c r="J23" s="36">
        <v>0.69899999999999995</v>
      </c>
      <c r="K23" s="36">
        <v>1.6739999999999999</v>
      </c>
      <c r="L23" s="285">
        <v>0.62</v>
      </c>
      <c r="M23" s="286">
        <v>1.821</v>
      </c>
      <c r="N23" s="36">
        <v>0.54500000000000004</v>
      </c>
      <c r="O23" s="36">
        <v>1.9770000000000001</v>
      </c>
      <c r="P23" s="285">
        <v>0.47299999999999998</v>
      </c>
      <c r="Q23" s="36">
        <v>2.14</v>
      </c>
      <c r="R23" s="285">
        <v>0.40400000000000003</v>
      </c>
      <c r="S23" s="286">
        <v>2.3079999999999998</v>
      </c>
      <c r="T23" s="36">
        <v>0.34</v>
      </c>
      <c r="U23" s="36">
        <v>2.4790000000000001</v>
      </c>
      <c r="V23" s="285">
        <v>0.28100000000000003</v>
      </c>
      <c r="W23" s="36">
        <v>2.6509999999999998</v>
      </c>
      <c r="X23" s="285">
        <v>0.22700000000000001</v>
      </c>
      <c r="Y23" s="36">
        <v>2.8220000000000001</v>
      </c>
      <c r="Z23" s="285">
        <v>0.17799999999999999</v>
      </c>
      <c r="AA23" s="36">
        <v>2.9910000000000001</v>
      </c>
      <c r="AB23" s="285">
        <v>0.13600000000000001</v>
      </c>
      <c r="AC23" s="36">
        <v>3.1549999999999998</v>
      </c>
      <c r="AD23" s="285">
        <v>0.1</v>
      </c>
      <c r="AE23" s="36">
        <v>3.3109999999999999</v>
      </c>
      <c r="AF23" s="285">
        <v>7.0000000000000007E-2</v>
      </c>
      <c r="AG23" s="286">
        <v>3.4590000000000001</v>
      </c>
      <c r="AH23" s="36">
        <v>4.5999999999999999E-2</v>
      </c>
      <c r="AI23" s="286">
        <v>3.597</v>
      </c>
      <c r="AJ23" s="36">
        <v>2.9000000000000001E-2</v>
      </c>
      <c r="AK23" s="286">
        <v>3.7250000000000001</v>
      </c>
      <c r="AL23" s="36"/>
      <c r="AM23" s="286"/>
      <c r="AN23" s="36"/>
      <c r="AO23" s="286"/>
    </row>
    <row r="24" spans="1:41" x14ac:dyDescent="0.25">
      <c r="A24" s="260">
        <v>24</v>
      </c>
      <c r="B24" s="285">
        <v>1.0369999999999999</v>
      </c>
      <c r="C24" s="36">
        <v>1.1990000000000001</v>
      </c>
      <c r="D24" s="285">
        <v>0.95899999999999996</v>
      </c>
      <c r="E24" s="286">
        <v>1.298</v>
      </c>
      <c r="F24" s="36">
        <v>0.88100000000000001</v>
      </c>
      <c r="G24" s="36">
        <v>1.407</v>
      </c>
      <c r="H24" s="285">
        <v>0.80500000000000005</v>
      </c>
      <c r="I24" s="286">
        <v>1.5269999999999999</v>
      </c>
      <c r="J24" s="36">
        <v>0.72799999999999998</v>
      </c>
      <c r="K24" s="36">
        <v>1.659</v>
      </c>
      <c r="L24" s="285">
        <v>0.65200000000000002</v>
      </c>
      <c r="M24" s="286">
        <v>1.7969999999999999</v>
      </c>
      <c r="N24" s="36">
        <v>0.57799999999999996</v>
      </c>
      <c r="O24" s="36">
        <v>1.944</v>
      </c>
      <c r="P24" s="285">
        <v>0.50700000000000001</v>
      </c>
      <c r="Q24" s="36">
        <v>2.097</v>
      </c>
      <c r="R24" s="285">
        <v>0.439</v>
      </c>
      <c r="S24" s="286">
        <v>2.2549999999999999</v>
      </c>
      <c r="T24" s="36">
        <v>0.375</v>
      </c>
      <c r="U24" s="36">
        <v>2.4169999999999998</v>
      </c>
      <c r="V24" s="285">
        <v>0.315</v>
      </c>
      <c r="W24" s="36">
        <v>2.58</v>
      </c>
      <c r="X24" s="285">
        <v>0.26</v>
      </c>
      <c r="Y24" s="36">
        <v>2.7440000000000002</v>
      </c>
      <c r="Z24" s="285">
        <v>0.20899999999999999</v>
      </c>
      <c r="AA24" s="36">
        <v>2.9060000000000001</v>
      </c>
      <c r="AB24" s="285">
        <v>0.16500000000000001</v>
      </c>
      <c r="AC24" s="36">
        <v>3.0649999999999999</v>
      </c>
      <c r="AD24" s="285">
        <v>0.125</v>
      </c>
      <c r="AE24" s="36">
        <v>3.218</v>
      </c>
      <c r="AF24" s="285">
        <v>9.1999999999999998E-2</v>
      </c>
      <c r="AG24" s="286">
        <v>3.363</v>
      </c>
      <c r="AH24" s="36">
        <v>6.5000000000000002E-2</v>
      </c>
      <c r="AI24" s="286">
        <v>3.5009999999999999</v>
      </c>
      <c r="AJ24" s="36">
        <v>4.2999999999999997E-2</v>
      </c>
      <c r="AK24" s="286">
        <v>3.629</v>
      </c>
      <c r="AL24" s="36">
        <v>2.7E-2</v>
      </c>
      <c r="AM24" s="286">
        <v>3.7469999999999999</v>
      </c>
      <c r="AN24" s="36"/>
      <c r="AO24" s="286"/>
    </row>
    <row r="25" spans="1:41" x14ac:dyDescent="0.25">
      <c r="A25" s="260">
        <v>25</v>
      </c>
      <c r="B25" s="285">
        <v>1.0549999999999999</v>
      </c>
      <c r="C25" s="36">
        <v>1.21</v>
      </c>
      <c r="D25" s="285">
        <v>0.98099999999999998</v>
      </c>
      <c r="E25" s="286">
        <v>1.3049999999999999</v>
      </c>
      <c r="F25" s="36">
        <v>0.90600000000000003</v>
      </c>
      <c r="G25" s="36">
        <v>1.4079999999999999</v>
      </c>
      <c r="H25" s="285">
        <v>0.83199999999999996</v>
      </c>
      <c r="I25" s="286">
        <v>1.5209999999999999</v>
      </c>
      <c r="J25" s="36">
        <v>0.75600000000000001</v>
      </c>
      <c r="K25" s="36">
        <v>1.645</v>
      </c>
      <c r="L25" s="285">
        <v>0.68200000000000005</v>
      </c>
      <c r="M25" s="286">
        <v>1.776</v>
      </c>
      <c r="N25" s="36">
        <v>0.61</v>
      </c>
      <c r="O25" s="36">
        <v>1.915</v>
      </c>
      <c r="P25" s="285">
        <v>0.54</v>
      </c>
      <c r="Q25" s="36">
        <v>2.0590000000000002</v>
      </c>
      <c r="R25" s="285">
        <v>0.47299999999999998</v>
      </c>
      <c r="S25" s="286">
        <v>2.2090000000000001</v>
      </c>
      <c r="T25" s="36">
        <v>0.40899999999999997</v>
      </c>
      <c r="U25" s="36">
        <v>2.3620000000000001</v>
      </c>
      <c r="V25" s="285">
        <v>0.34799999999999998</v>
      </c>
      <c r="W25" s="36">
        <v>2.5169999999999999</v>
      </c>
      <c r="X25" s="285">
        <v>0.29199999999999998</v>
      </c>
      <c r="Y25" s="36">
        <v>2.6739999999999999</v>
      </c>
      <c r="Z25" s="285">
        <v>0.24</v>
      </c>
      <c r="AA25" s="36">
        <v>2.8290000000000002</v>
      </c>
      <c r="AB25" s="285">
        <v>0.19400000000000001</v>
      </c>
      <c r="AC25" s="36">
        <v>2.9820000000000002</v>
      </c>
      <c r="AD25" s="285">
        <v>0.152</v>
      </c>
      <c r="AE25" s="36">
        <v>3.1309999999999998</v>
      </c>
      <c r="AF25" s="285">
        <v>0.11600000000000001</v>
      </c>
      <c r="AG25" s="286">
        <v>3.274</v>
      </c>
      <c r="AH25" s="36">
        <v>8.5000000000000006E-2</v>
      </c>
      <c r="AI25" s="286">
        <v>3.41</v>
      </c>
      <c r="AJ25" s="36">
        <v>0.06</v>
      </c>
      <c r="AK25" s="286">
        <v>3.5379999999999998</v>
      </c>
      <c r="AL25" s="36">
        <v>3.9E-2</v>
      </c>
      <c r="AM25" s="286">
        <v>3.657</v>
      </c>
      <c r="AN25" s="36">
        <v>2.5000000000000001E-2</v>
      </c>
      <c r="AO25" s="286">
        <v>3.766</v>
      </c>
    </row>
    <row r="26" spans="1:41" x14ac:dyDescent="0.25">
      <c r="A26" s="260">
        <v>26</v>
      </c>
      <c r="B26" s="285">
        <v>1.0720000000000001</v>
      </c>
      <c r="C26" s="36">
        <v>1.222</v>
      </c>
      <c r="D26" s="285">
        <v>1</v>
      </c>
      <c r="E26" s="286">
        <v>1.3109999999999999</v>
      </c>
      <c r="F26" s="36">
        <v>0.92800000000000005</v>
      </c>
      <c r="G26" s="36">
        <v>1.41</v>
      </c>
      <c r="H26" s="285">
        <v>0.85499999999999998</v>
      </c>
      <c r="I26" s="286">
        <v>1.5169999999999999</v>
      </c>
      <c r="J26" s="36">
        <v>0.78200000000000003</v>
      </c>
      <c r="K26" s="36">
        <v>1.635</v>
      </c>
      <c r="L26" s="285">
        <v>0.71099999999999997</v>
      </c>
      <c r="M26" s="286">
        <v>1.7589999999999999</v>
      </c>
      <c r="N26" s="36">
        <v>0.64</v>
      </c>
      <c r="O26" s="36">
        <v>1.889</v>
      </c>
      <c r="P26" s="285">
        <v>0.57199999999999995</v>
      </c>
      <c r="Q26" s="36">
        <v>2.0259999999999998</v>
      </c>
      <c r="R26" s="285">
        <v>0.505</v>
      </c>
      <c r="S26" s="286">
        <v>2.1680000000000001</v>
      </c>
      <c r="T26" s="36">
        <v>0.441</v>
      </c>
      <c r="U26" s="36">
        <v>2.3130000000000002</v>
      </c>
      <c r="V26" s="285">
        <v>0.38100000000000001</v>
      </c>
      <c r="W26" s="36">
        <v>2.46</v>
      </c>
      <c r="X26" s="285">
        <v>0.32400000000000001</v>
      </c>
      <c r="Y26" s="36">
        <v>2.61</v>
      </c>
      <c r="Z26" s="285">
        <v>0.27200000000000002</v>
      </c>
      <c r="AA26" s="36">
        <v>2.758</v>
      </c>
      <c r="AB26" s="285">
        <v>0.224</v>
      </c>
      <c r="AC26" s="36">
        <v>2.9060000000000001</v>
      </c>
      <c r="AD26" s="285">
        <v>0.18</v>
      </c>
      <c r="AE26" s="36">
        <v>3.05</v>
      </c>
      <c r="AF26" s="285">
        <v>0.14099999999999999</v>
      </c>
      <c r="AG26" s="286">
        <v>3.1909999999999998</v>
      </c>
      <c r="AH26" s="36">
        <v>0.107</v>
      </c>
      <c r="AI26" s="286">
        <v>3.3250000000000002</v>
      </c>
      <c r="AJ26" s="36">
        <v>7.9000000000000001E-2</v>
      </c>
      <c r="AK26" s="286">
        <v>3.452</v>
      </c>
      <c r="AL26" s="36">
        <v>5.5E-2</v>
      </c>
      <c r="AM26" s="286">
        <v>3.5720000000000001</v>
      </c>
      <c r="AN26" s="36">
        <v>3.5999999999999997E-2</v>
      </c>
      <c r="AO26" s="286">
        <v>3.6819999999999999</v>
      </c>
    </row>
    <row r="27" spans="1:41" x14ac:dyDescent="0.25">
      <c r="A27" s="260">
        <v>27</v>
      </c>
      <c r="B27" s="285">
        <v>1.0880000000000001</v>
      </c>
      <c r="C27" s="36">
        <v>1.232</v>
      </c>
      <c r="D27" s="285">
        <v>1.0189999999999999</v>
      </c>
      <c r="E27" s="286">
        <v>1.3180000000000001</v>
      </c>
      <c r="F27" s="36">
        <v>0.94799999999999995</v>
      </c>
      <c r="G27" s="36">
        <v>1.413</v>
      </c>
      <c r="H27" s="285">
        <v>0.878</v>
      </c>
      <c r="I27" s="286">
        <v>1.514</v>
      </c>
      <c r="J27" s="36">
        <v>0.80800000000000005</v>
      </c>
      <c r="K27" s="36">
        <v>1.625</v>
      </c>
      <c r="L27" s="285">
        <v>0.73799999999999999</v>
      </c>
      <c r="M27" s="286">
        <v>1.7430000000000001</v>
      </c>
      <c r="N27" s="36">
        <v>0.66900000000000004</v>
      </c>
      <c r="O27" s="36">
        <v>1.867</v>
      </c>
      <c r="P27" s="285">
        <v>0.60199999999999998</v>
      </c>
      <c r="Q27" s="36">
        <v>1.9970000000000001</v>
      </c>
      <c r="R27" s="285">
        <v>0.53600000000000003</v>
      </c>
      <c r="S27" s="286">
        <v>2.1309999999999998</v>
      </c>
      <c r="T27" s="36">
        <v>0.47299999999999998</v>
      </c>
      <c r="U27" s="36">
        <v>2.2690000000000001</v>
      </c>
      <c r="V27" s="285">
        <v>0.41299999999999998</v>
      </c>
      <c r="W27" s="36">
        <v>2.4089999999999998</v>
      </c>
      <c r="X27" s="285">
        <v>0.35599999999999998</v>
      </c>
      <c r="Y27" s="36">
        <v>2.552</v>
      </c>
      <c r="Z27" s="285">
        <v>0.30299999999999999</v>
      </c>
      <c r="AA27" s="36">
        <v>2.694</v>
      </c>
      <c r="AB27" s="285">
        <v>0.253</v>
      </c>
      <c r="AC27" s="36">
        <v>2.8359999999999999</v>
      </c>
      <c r="AD27" s="285">
        <v>0.20799999999999999</v>
      </c>
      <c r="AE27" s="36">
        <v>2.976</v>
      </c>
      <c r="AF27" s="285">
        <v>0.16700000000000001</v>
      </c>
      <c r="AG27" s="286">
        <v>3.113</v>
      </c>
      <c r="AH27" s="36">
        <v>0.13100000000000001</v>
      </c>
      <c r="AI27" s="286">
        <v>3.2450000000000001</v>
      </c>
      <c r="AJ27" s="36">
        <v>0.1</v>
      </c>
      <c r="AK27" s="286">
        <v>3.371</v>
      </c>
      <c r="AL27" s="36">
        <v>7.2999999999999995E-2</v>
      </c>
      <c r="AM27" s="286">
        <v>3.49</v>
      </c>
      <c r="AN27" s="36">
        <v>5.0999999999999997E-2</v>
      </c>
      <c r="AO27" s="286">
        <v>3.6019999999999999</v>
      </c>
    </row>
    <row r="28" spans="1:41" x14ac:dyDescent="0.25">
      <c r="A28" s="260">
        <v>28</v>
      </c>
      <c r="B28" s="285">
        <v>1.1040000000000001</v>
      </c>
      <c r="C28" s="36">
        <v>1.244</v>
      </c>
      <c r="D28" s="285">
        <v>1.036</v>
      </c>
      <c r="E28" s="286">
        <v>1.325</v>
      </c>
      <c r="F28" s="36">
        <v>0.96899999999999997</v>
      </c>
      <c r="G28" s="36">
        <v>1.4139999999999999</v>
      </c>
      <c r="H28" s="285">
        <v>0.90100000000000002</v>
      </c>
      <c r="I28" s="286">
        <v>1.512</v>
      </c>
      <c r="J28" s="36">
        <v>0.83199999999999996</v>
      </c>
      <c r="K28" s="36">
        <v>1.6180000000000001</v>
      </c>
      <c r="L28" s="285">
        <v>0.76400000000000001</v>
      </c>
      <c r="M28" s="286">
        <v>1.7290000000000001</v>
      </c>
      <c r="N28" s="36">
        <v>0.69599999999999995</v>
      </c>
      <c r="O28" s="36">
        <v>1.847</v>
      </c>
      <c r="P28" s="285">
        <v>0.63</v>
      </c>
      <c r="Q28" s="36">
        <v>1.97</v>
      </c>
      <c r="R28" s="285">
        <v>0.56599999999999995</v>
      </c>
      <c r="S28" s="286">
        <v>2.0979999999999999</v>
      </c>
      <c r="T28" s="36">
        <v>0.504</v>
      </c>
      <c r="U28" s="36">
        <v>2.2290000000000001</v>
      </c>
      <c r="V28" s="285">
        <v>0.44400000000000001</v>
      </c>
      <c r="W28" s="36">
        <v>2.363</v>
      </c>
      <c r="X28" s="285">
        <v>0.38700000000000001</v>
      </c>
      <c r="Y28" s="36">
        <v>2.4990000000000001</v>
      </c>
      <c r="Z28" s="285">
        <v>0.33300000000000002</v>
      </c>
      <c r="AA28" s="36">
        <v>2.6349999999999998</v>
      </c>
      <c r="AB28" s="285">
        <v>0.28299999999999997</v>
      </c>
      <c r="AC28" s="36">
        <v>2.7719999999999998</v>
      </c>
      <c r="AD28" s="285">
        <v>0.23699999999999999</v>
      </c>
      <c r="AE28" s="36">
        <v>2.907</v>
      </c>
      <c r="AF28" s="285">
        <v>0.19400000000000001</v>
      </c>
      <c r="AG28" s="286">
        <v>3.04</v>
      </c>
      <c r="AH28" s="36">
        <v>0.156</v>
      </c>
      <c r="AI28" s="286">
        <v>3.169</v>
      </c>
      <c r="AJ28" s="36">
        <v>0.122</v>
      </c>
      <c r="AK28" s="286">
        <v>3.294</v>
      </c>
      <c r="AL28" s="36">
        <v>9.2999999999999999E-2</v>
      </c>
      <c r="AM28" s="286">
        <v>3.4119999999999999</v>
      </c>
      <c r="AN28" s="36">
        <v>6.8000000000000005E-2</v>
      </c>
      <c r="AO28" s="286">
        <v>3.524</v>
      </c>
    </row>
    <row r="29" spans="1:41" x14ac:dyDescent="0.25">
      <c r="A29" s="260">
        <v>29</v>
      </c>
      <c r="B29" s="285">
        <v>1.119</v>
      </c>
      <c r="C29" s="36">
        <v>1.254</v>
      </c>
      <c r="D29" s="285">
        <v>1.0529999999999999</v>
      </c>
      <c r="E29" s="286">
        <v>1.3320000000000001</v>
      </c>
      <c r="F29" s="36">
        <v>0.98799999999999999</v>
      </c>
      <c r="G29" s="36">
        <v>1.4179999999999999</v>
      </c>
      <c r="H29" s="285">
        <v>0.92100000000000004</v>
      </c>
      <c r="I29" s="286">
        <v>1.5109999999999999</v>
      </c>
      <c r="J29" s="36">
        <v>0.85499999999999998</v>
      </c>
      <c r="K29" s="36">
        <v>1.611</v>
      </c>
      <c r="L29" s="285">
        <v>0.78800000000000003</v>
      </c>
      <c r="M29" s="286">
        <v>1.718</v>
      </c>
      <c r="N29" s="36">
        <v>0.72299999999999998</v>
      </c>
      <c r="O29" s="36">
        <v>1.83</v>
      </c>
      <c r="P29" s="285">
        <v>0.65800000000000003</v>
      </c>
      <c r="Q29" s="36">
        <v>1.9470000000000001</v>
      </c>
      <c r="R29" s="285">
        <v>0.59499999999999997</v>
      </c>
      <c r="S29" s="286">
        <v>2.0680000000000001</v>
      </c>
      <c r="T29" s="36">
        <v>0.53300000000000003</v>
      </c>
      <c r="U29" s="36">
        <v>2.1930000000000001</v>
      </c>
      <c r="V29" s="285">
        <v>0.47399999999999998</v>
      </c>
      <c r="W29" s="36">
        <v>2.3210000000000002</v>
      </c>
      <c r="X29" s="285">
        <v>0.41699999999999998</v>
      </c>
      <c r="Y29" s="36">
        <v>2.4510000000000001</v>
      </c>
      <c r="Z29" s="285">
        <v>0.36299999999999999</v>
      </c>
      <c r="AA29" s="36">
        <v>2.5819999999999999</v>
      </c>
      <c r="AB29" s="285">
        <v>0.313</v>
      </c>
      <c r="AC29" s="36">
        <v>2.7130000000000001</v>
      </c>
      <c r="AD29" s="285">
        <v>0.26600000000000001</v>
      </c>
      <c r="AE29" s="36">
        <v>2.843</v>
      </c>
      <c r="AF29" s="285">
        <v>0.222</v>
      </c>
      <c r="AG29" s="286">
        <v>2.972</v>
      </c>
      <c r="AH29" s="36">
        <v>0.182</v>
      </c>
      <c r="AI29" s="286">
        <v>3.0979999999999999</v>
      </c>
      <c r="AJ29" s="36">
        <v>0.14599999999999999</v>
      </c>
      <c r="AK29" s="286">
        <v>3.22</v>
      </c>
      <c r="AL29" s="36">
        <v>0.114</v>
      </c>
      <c r="AM29" s="286">
        <v>3.3380000000000001</v>
      </c>
      <c r="AN29" s="36">
        <v>8.6999999999999994E-2</v>
      </c>
      <c r="AO29" s="286">
        <v>3.45</v>
      </c>
    </row>
    <row r="30" spans="1:41" x14ac:dyDescent="0.25">
      <c r="A30" s="260">
        <v>30</v>
      </c>
      <c r="B30" s="285">
        <v>1.1339999999999999</v>
      </c>
      <c r="C30" s="36">
        <v>1.264</v>
      </c>
      <c r="D30" s="285">
        <v>1.07</v>
      </c>
      <c r="E30" s="286">
        <v>1.339</v>
      </c>
      <c r="F30" s="36">
        <v>1.006</v>
      </c>
      <c r="G30" s="36">
        <v>1.421</v>
      </c>
      <c r="H30" s="285">
        <v>0.94099999999999995</v>
      </c>
      <c r="I30" s="286">
        <v>1.51</v>
      </c>
      <c r="J30" s="36">
        <v>0.877</v>
      </c>
      <c r="K30" s="36">
        <v>1.6060000000000001</v>
      </c>
      <c r="L30" s="285">
        <v>0.81200000000000006</v>
      </c>
      <c r="M30" s="286">
        <v>1.7070000000000001</v>
      </c>
      <c r="N30" s="36">
        <v>0.748</v>
      </c>
      <c r="O30" s="36">
        <v>1.8140000000000001</v>
      </c>
      <c r="P30" s="285">
        <v>0.68400000000000005</v>
      </c>
      <c r="Q30" s="36">
        <v>1.925</v>
      </c>
      <c r="R30" s="285">
        <v>0.622</v>
      </c>
      <c r="S30" s="286">
        <v>2.0409999999999999</v>
      </c>
      <c r="T30" s="36">
        <v>0.56200000000000006</v>
      </c>
      <c r="U30" s="36">
        <v>2.16</v>
      </c>
      <c r="V30" s="285">
        <v>0.503</v>
      </c>
      <c r="W30" s="36">
        <v>2.2829999999999999</v>
      </c>
      <c r="X30" s="285">
        <v>0.44700000000000001</v>
      </c>
      <c r="Y30" s="36">
        <v>2.407</v>
      </c>
      <c r="Z30" s="285">
        <v>0.39300000000000002</v>
      </c>
      <c r="AA30" s="36">
        <v>2.5329999999999999</v>
      </c>
      <c r="AB30" s="285">
        <v>0.34200000000000003</v>
      </c>
      <c r="AC30" s="36">
        <v>2.6589999999999998</v>
      </c>
      <c r="AD30" s="285">
        <v>0.29399999999999998</v>
      </c>
      <c r="AE30" s="36">
        <v>2.7850000000000001</v>
      </c>
      <c r="AF30" s="285">
        <v>0.249</v>
      </c>
      <c r="AG30" s="286">
        <v>2.9089999999999998</v>
      </c>
      <c r="AH30" s="36">
        <v>0.20799999999999999</v>
      </c>
      <c r="AI30" s="286">
        <v>3.032</v>
      </c>
      <c r="AJ30" s="36">
        <v>0.17100000000000001</v>
      </c>
      <c r="AK30" s="286">
        <v>3.1520000000000001</v>
      </c>
      <c r="AL30" s="36">
        <v>0.13700000000000001</v>
      </c>
      <c r="AM30" s="286">
        <v>3.2669999999999999</v>
      </c>
      <c r="AN30" s="36">
        <v>0.107</v>
      </c>
      <c r="AO30" s="286">
        <v>3.379</v>
      </c>
    </row>
    <row r="31" spans="1:41" x14ac:dyDescent="0.25">
      <c r="A31" s="260">
        <v>31</v>
      </c>
      <c r="B31" s="285">
        <v>1.147</v>
      </c>
      <c r="C31" s="36">
        <v>1.274</v>
      </c>
      <c r="D31" s="285">
        <v>1.085</v>
      </c>
      <c r="E31" s="286">
        <v>1.345</v>
      </c>
      <c r="F31" s="36">
        <v>1.022</v>
      </c>
      <c r="G31" s="36">
        <v>1.425</v>
      </c>
      <c r="H31" s="285">
        <v>0.96</v>
      </c>
      <c r="I31" s="286">
        <v>1.5089999999999999</v>
      </c>
      <c r="J31" s="36">
        <v>0.89700000000000002</v>
      </c>
      <c r="K31" s="36">
        <v>1.601</v>
      </c>
      <c r="L31" s="285">
        <v>0.83399999999999996</v>
      </c>
      <c r="M31" s="286">
        <v>1.698</v>
      </c>
      <c r="N31" s="36">
        <v>0.77200000000000002</v>
      </c>
      <c r="O31" s="36">
        <v>1.8</v>
      </c>
      <c r="P31" s="285">
        <v>0.71</v>
      </c>
      <c r="Q31" s="36">
        <v>1.9059999999999999</v>
      </c>
      <c r="R31" s="285">
        <v>0.64900000000000002</v>
      </c>
      <c r="S31" s="286">
        <v>2.0169999999999999</v>
      </c>
      <c r="T31" s="36">
        <v>0.58899999999999997</v>
      </c>
      <c r="U31" s="36">
        <v>2.1309999999999998</v>
      </c>
      <c r="V31" s="285">
        <v>0.53100000000000003</v>
      </c>
      <c r="W31" s="36">
        <v>2.2480000000000002</v>
      </c>
      <c r="X31" s="285">
        <v>0.47499999999999998</v>
      </c>
      <c r="Y31" s="36">
        <v>2.367</v>
      </c>
      <c r="Z31" s="285">
        <v>0.42199999999999999</v>
      </c>
      <c r="AA31" s="36">
        <v>2.4870000000000001</v>
      </c>
      <c r="AB31" s="285">
        <v>0.371</v>
      </c>
      <c r="AC31" s="36">
        <v>2.609</v>
      </c>
      <c r="AD31" s="285">
        <v>0.32200000000000001</v>
      </c>
      <c r="AE31" s="36">
        <v>2.73</v>
      </c>
      <c r="AF31" s="285">
        <v>0.27700000000000002</v>
      </c>
      <c r="AG31" s="286">
        <v>2.851</v>
      </c>
      <c r="AH31" s="36">
        <v>0.23400000000000001</v>
      </c>
      <c r="AI31" s="286">
        <v>2.97</v>
      </c>
      <c r="AJ31" s="36">
        <v>0.193</v>
      </c>
      <c r="AK31" s="286">
        <v>3.0870000000000002</v>
      </c>
      <c r="AL31" s="36">
        <v>0.16</v>
      </c>
      <c r="AM31" s="286">
        <v>3.2010000000000001</v>
      </c>
      <c r="AN31" s="36">
        <v>0.128</v>
      </c>
      <c r="AO31" s="286">
        <v>3.3109999999999999</v>
      </c>
    </row>
    <row r="32" spans="1:41" x14ac:dyDescent="0.25">
      <c r="A32" s="260">
        <v>32</v>
      </c>
      <c r="B32" s="285">
        <v>1.1599999999999999</v>
      </c>
      <c r="C32" s="36">
        <v>1.2829999999999999</v>
      </c>
      <c r="D32" s="285">
        <v>1.1000000000000001</v>
      </c>
      <c r="E32" s="286">
        <v>1.351</v>
      </c>
      <c r="F32" s="36">
        <v>1.0389999999999999</v>
      </c>
      <c r="G32" s="36">
        <v>1.4279999999999999</v>
      </c>
      <c r="H32" s="285">
        <v>0.97799999999999998</v>
      </c>
      <c r="I32" s="286">
        <v>1.5089999999999999</v>
      </c>
      <c r="J32" s="36">
        <v>0.91700000000000004</v>
      </c>
      <c r="K32" s="36">
        <v>1.597</v>
      </c>
      <c r="L32" s="285">
        <v>0.85599999999999998</v>
      </c>
      <c r="M32" s="286">
        <v>1.69</v>
      </c>
      <c r="N32" s="36">
        <v>0.79400000000000004</v>
      </c>
      <c r="O32" s="36">
        <v>1.788</v>
      </c>
      <c r="P32" s="285">
        <v>0.73399999999999999</v>
      </c>
      <c r="Q32" s="36">
        <v>1.889</v>
      </c>
      <c r="R32" s="285">
        <v>0.67400000000000004</v>
      </c>
      <c r="S32" s="286">
        <v>1.9950000000000001</v>
      </c>
      <c r="T32" s="36">
        <v>0.61499999999999999</v>
      </c>
      <c r="U32" s="36">
        <v>2.1040000000000001</v>
      </c>
      <c r="V32" s="285">
        <v>0.55800000000000005</v>
      </c>
      <c r="W32" s="36">
        <v>2.2160000000000002</v>
      </c>
      <c r="X32" s="285">
        <v>0.503</v>
      </c>
      <c r="Y32" s="36">
        <v>2.33</v>
      </c>
      <c r="Z32" s="285">
        <v>0.45</v>
      </c>
      <c r="AA32" s="36">
        <v>2.4460000000000002</v>
      </c>
      <c r="AB32" s="285">
        <v>0.39900000000000002</v>
      </c>
      <c r="AC32" s="36">
        <v>2.5630000000000002</v>
      </c>
      <c r="AD32" s="285">
        <v>0.35</v>
      </c>
      <c r="AE32" s="36">
        <v>2.68</v>
      </c>
      <c r="AF32" s="285">
        <v>0.30399999999999999</v>
      </c>
      <c r="AG32" s="286">
        <v>2.7970000000000002</v>
      </c>
      <c r="AH32" s="36">
        <v>0.26100000000000001</v>
      </c>
      <c r="AI32" s="286">
        <v>2.9119999999999999</v>
      </c>
      <c r="AJ32" s="36">
        <v>0.221</v>
      </c>
      <c r="AK32" s="286">
        <v>3.0259999999999998</v>
      </c>
      <c r="AL32" s="36">
        <v>0.184</v>
      </c>
      <c r="AM32" s="286">
        <v>3.137</v>
      </c>
      <c r="AN32" s="36">
        <v>0.151</v>
      </c>
      <c r="AO32" s="286">
        <v>3.246</v>
      </c>
    </row>
    <row r="33" spans="1:41" x14ac:dyDescent="0.25">
      <c r="A33" s="260">
        <v>33</v>
      </c>
      <c r="B33" s="285">
        <v>1.171</v>
      </c>
      <c r="C33" s="36">
        <v>1.2909999999999999</v>
      </c>
      <c r="D33" s="285">
        <v>1.1140000000000001</v>
      </c>
      <c r="E33" s="286">
        <v>1.3580000000000001</v>
      </c>
      <c r="F33" s="36">
        <v>1.0549999999999999</v>
      </c>
      <c r="G33" s="36">
        <v>1.4319999999999999</v>
      </c>
      <c r="H33" s="285">
        <v>0.995</v>
      </c>
      <c r="I33" s="286">
        <v>1.51</v>
      </c>
      <c r="J33" s="36">
        <v>0.93500000000000005</v>
      </c>
      <c r="K33" s="36">
        <v>1.5940000000000001</v>
      </c>
      <c r="L33" s="285">
        <v>0.876</v>
      </c>
      <c r="M33" s="286">
        <v>1.6830000000000001</v>
      </c>
      <c r="N33" s="36">
        <v>0.81599999999999995</v>
      </c>
      <c r="O33" s="36">
        <v>1.776</v>
      </c>
      <c r="P33" s="285">
        <v>0.75700000000000001</v>
      </c>
      <c r="Q33" s="36">
        <v>1.8740000000000001</v>
      </c>
      <c r="R33" s="285">
        <v>0.69799999999999995</v>
      </c>
      <c r="S33" s="286">
        <v>1.9750000000000001</v>
      </c>
      <c r="T33" s="36">
        <v>0.64100000000000001</v>
      </c>
      <c r="U33" s="36">
        <v>2.08</v>
      </c>
      <c r="V33" s="285">
        <v>0.58499999999999996</v>
      </c>
      <c r="W33" s="36">
        <v>2.1869999999999998</v>
      </c>
      <c r="X33" s="285">
        <v>0.53</v>
      </c>
      <c r="Y33" s="36">
        <v>2.2959999999999998</v>
      </c>
      <c r="Z33" s="285">
        <v>0.47699999999999998</v>
      </c>
      <c r="AA33" s="36">
        <v>2.4079999999999999</v>
      </c>
      <c r="AB33" s="285">
        <v>0.42599999999999999</v>
      </c>
      <c r="AC33" s="36">
        <v>2.52</v>
      </c>
      <c r="AD33" s="285">
        <v>0.377</v>
      </c>
      <c r="AE33" s="36">
        <v>2.633</v>
      </c>
      <c r="AF33" s="285">
        <v>0.33100000000000002</v>
      </c>
      <c r="AG33" s="286">
        <v>2.746</v>
      </c>
      <c r="AH33" s="36">
        <v>0.28699999999999998</v>
      </c>
      <c r="AI33" s="286">
        <v>2.8580000000000001</v>
      </c>
      <c r="AJ33" s="36">
        <v>0.246</v>
      </c>
      <c r="AK33" s="286">
        <v>2.9689999999999999</v>
      </c>
      <c r="AL33" s="36">
        <v>0.20899999999999999</v>
      </c>
      <c r="AM33" s="286">
        <v>3.0779999999999998</v>
      </c>
      <c r="AN33" s="36">
        <v>0.17399999999999999</v>
      </c>
      <c r="AO33" s="286">
        <v>3.1840000000000002</v>
      </c>
    </row>
    <row r="34" spans="1:41" x14ac:dyDescent="0.25">
      <c r="A34" s="260">
        <v>34</v>
      </c>
      <c r="B34" s="285">
        <v>1.1839999999999999</v>
      </c>
      <c r="C34" s="36">
        <v>1.298</v>
      </c>
      <c r="D34" s="285">
        <v>1.1279999999999999</v>
      </c>
      <c r="E34" s="286">
        <v>1.3640000000000001</v>
      </c>
      <c r="F34" s="36">
        <v>1.07</v>
      </c>
      <c r="G34" s="36">
        <v>1.4359999999999999</v>
      </c>
      <c r="H34" s="285">
        <v>1.012</v>
      </c>
      <c r="I34" s="286">
        <v>1.5109999999999999</v>
      </c>
      <c r="J34" s="36">
        <v>0.95399999999999996</v>
      </c>
      <c r="K34" s="36">
        <v>1.591</v>
      </c>
      <c r="L34" s="285">
        <v>0.89600000000000002</v>
      </c>
      <c r="M34" s="286">
        <v>1.677</v>
      </c>
      <c r="N34" s="36">
        <v>0.83699999999999997</v>
      </c>
      <c r="O34" s="36">
        <v>1.766</v>
      </c>
      <c r="P34" s="285">
        <v>0.77900000000000003</v>
      </c>
      <c r="Q34" s="36">
        <v>1.86</v>
      </c>
      <c r="R34" s="285">
        <v>0.72199999999999998</v>
      </c>
      <c r="S34" s="286">
        <v>1.9570000000000001</v>
      </c>
      <c r="T34" s="36">
        <v>0.66500000000000004</v>
      </c>
      <c r="U34" s="36">
        <v>2.0569999999999999</v>
      </c>
      <c r="V34" s="285">
        <v>0.61</v>
      </c>
      <c r="W34" s="36">
        <v>2.16</v>
      </c>
      <c r="X34" s="285">
        <v>0.55600000000000005</v>
      </c>
      <c r="Y34" s="36">
        <v>2.266</v>
      </c>
      <c r="Z34" s="285">
        <v>0.503</v>
      </c>
      <c r="AA34" s="36">
        <v>2.3730000000000002</v>
      </c>
      <c r="AB34" s="285">
        <v>0.45200000000000001</v>
      </c>
      <c r="AC34" s="36">
        <v>2.4809999999999999</v>
      </c>
      <c r="AD34" s="285">
        <v>0.40400000000000003</v>
      </c>
      <c r="AE34" s="36">
        <v>2.59</v>
      </c>
      <c r="AF34" s="285">
        <v>0.35699999999999998</v>
      </c>
      <c r="AG34" s="286">
        <v>2.6989999999999998</v>
      </c>
      <c r="AH34" s="36">
        <v>0.313</v>
      </c>
      <c r="AI34" s="286">
        <v>2.8079999999999998</v>
      </c>
      <c r="AJ34" s="36">
        <v>0.27200000000000002</v>
      </c>
      <c r="AK34" s="286">
        <v>2.915</v>
      </c>
      <c r="AL34" s="36">
        <v>0.23300000000000001</v>
      </c>
      <c r="AM34" s="286">
        <v>3.0219999999999998</v>
      </c>
      <c r="AN34" s="36">
        <v>0.19700000000000001</v>
      </c>
      <c r="AO34" s="286">
        <v>3.1259999999999999</v>
      </c>
    </row>
    <row r="35" spans="1:41" x14ac:dyDescent="0.25">
      <c r="A35" s="260">
        <v>35</v>
      </c>
      <c r="B35" s="285">
        <v>1.1950000000000001</v>
      </c>
      <c r="C35" s="36">
        <v>1.3069999999999999</v>
      </c>
      <c r="D35" s="285">
        <v>1.141</v>
      </c>
      <c r="E35" s="286">
        <v>1.37</v>
      </c>
      <c r="F35" s="36">
        <v>1.085</v>
      </c>
      <c r="G35" s="36">
        <v>1.4390000000000001</v>
      </c>
      <c r="H35" s="285">
        <v>1.028</v>
      </c>
      <c r="I35" s="286">
        <v>1.512</v>
      </c>
      <c r="J35" s="36">
        <v>0.97099999999999997</v>
      </c>
      <c r="K35" s="36">
        <v>1.589</v>
      </c>
      <c r="L35" s="285">
        <v>0.91400000000000003</v>
      </c>
      <c r="M35" s="286">
        <v>1.671</v>
      </c>
      <c r="N35" s="36">
        <v>0.85699999999999998</v>
      </c>
      <c r="O35" s="36">
        <v>1.7569999999999999</v>
      </c>
      <c r="P35" s="285">
        <v>0.8</v>
      </c>
      <c r="Q35" s="36">
        <v>1.847</v>
      </c>
      <c r="R35" s="285">
        <v>0.74399999999999999</v>
      </c>
      <c r="S35" s="286">
        <v>1.94</v>
      </c>
      <c r="T35" s="36">
        <v>0.68899999999999995</v>
      </c>
      <c r="U35" s="36">
        <v>2.0369999999999999</v>
      </c>
      <c r="V35" s="285">
        <v>0.63400000000000001</v>
      </c>
      <c r="W35" s="36">
        <v>2.1360000000000001</v>
      </c>
      <c r="X35" s="285">
        <v>0.58099999999999996</v>
      </c>
      <c r="Y35" s="36">
        <v>2.2370000000000001</v>
      </c>
      <c r="Z35" s="285">
        <v>0.52900000000000003</v>
      </c>
      <c r="AA35" s="36">
        <v>2.34</v>
      </c>
      <c r="AB35" s="285">
        <v>0.47799999999999998</v>
      </c>
      <c r="AC35" s="36">
        <v>2.444</v>
      </c>
      <c r="AD35" s="285">
        <v>0.43</v>
      </c>
      <c r="AE35" s="36">
        <v>2.5499999999999998</v>
      </c>
      <c r="AF35" s="285">
        <v>0.38300000000000001</v>
      </c>
      <c r="AG35" s="286">
        <v>2.6549999999999998</v>
      </c>
      <c r="AH35" s="36">
        <v>0.33900000000000002</v>
      </c>
      <c r="AI35" s="286">
        <v>2.7610000000000001</v>
      </c>
      <c r="AJ35" s="36">
        <v>0.29699999999999999</v>
      </c>
      <c r="AK35" s="286">
        <v>2.8650000000000002</v>
      </c>
      <c r="AL35" s="36">
        <v>0.25700000000000001</v>
      </c>
      <c r="AM35" s="286">
        <v>2.9689999999999999</v>
      </c>
      <c r="AN35" s="36">
        <v>0.221</v>
      </c>
      <c r="AO35" s="286">
        <v>3.0710000000000002</v>
      </c>
    </row>
    <row r="36" spans="1:41" x14ac:dyDescent="0.25">
      <c r="A36" s="260">
        <v>36</v>
      </c>
      <c r="B36" s="285">
        <v>1.2050000000000001</v>
      </c>
      <c r="C36" s="36">
        <v>1.3149999999999999</v>
      </c>
      <c r="D36" s="285">
        <v>1.153</v>
      </c>
      <c r="E36" s="286">
        <v>1.3759999999999999</v>
      </c>
      <c r="F36" s="36">
        <v>1.0980000000000001</v>
      </c>
      <c r="G36" s="36">
        <v>1.4419999999999999</v>
      </c>
      <c r="H36" s="285">
        <v>1.0429999999999999</v>
      </c>
      <c r="I36" s="286">
        <v>1.5129999999999999</v>
      </c>
      <c r="J36" s="36">
        <v>0.98699999999999999</v>
      </c>
      <c r="K36" s="36">
        <v>1.587</v>
      </c>
      <c r="L36" s="285">
        <v>0.93200000000000005</v>
      </c>
      <c r="M36" s="286">
        <v>1.6659999999999999</v>
      </c>
      <c r="N36" s="36">
        <v>0.877</v>
      </c>
      <c r="O36" s="36">
        <v>1.7490000000000001</v>
      </c>
      <c r="P36" s="285">
        <v>0.82099999999999995</v>
      </c>
      <c r="Q36" s="36">
        <v>1.8360000000000001</v>
      </c>
      <c r="R36" s="285">
        <v>0.76600000000000001</v>
      </c>
      <c r="S36" s="286">
        <v>1.925</v>
      </c>
      <c r="T36" s="36">
        <v>0.71099999999999997</v>
      </c>
      <c r="U36" s="36">
        <v>2.0179999999999998</v>
      </c>
      <c r="V36" s="285">
        <v>0.65800000000000003</v>
      </c>
      <c r="W36" s="36">
        <v>2.113</v>
      </c>
      <c r="X36" s="285">
        <v>0.60499999999999998</v>
      </c>
      <c r="Y36" s="36">
        <v>2.21</v>
      </c>
      <c r="Z36" s="285">
        <v>0.55400000000000005</v>
      </c>
      <c r="AA36" s="36">
        <v>2.31</v>
      </c>
      <c r="AB36" s="285">
        <v>0.504</v>
      </c>
      <c r="AC36" s="36">
        <v>2.41</v>
      </c>
      <c r="AD36" s="285">
        <v>0.45500000000000002</v>
      </c>
      <c r="AE36" s="36">
        <v>2.512</v>
      </c>
      <c r="AF36" s="285">
        <v>0.40899999999999997</v>
      </c>
      <c r="AG36" s="286">
        <v>2.6139999999999999</v>
      </c>
      <c r="AH36" s="36">
        <v>0.36399999999999999</v>
      </c>
      <c r="AI36" s="286">
        <v>2.7170000000000001</v>
      </c>
      <c r="AJ36" s="36">
        <v>0.32200000000000001</v>
      </c>
      <c r="AK36" s="286">
        <v>2.8180000000000001</v>
      </c>
      <c r="AL36" s="36">
        <v>0.28199999999999997</v>
      </c>
      <c r="AM36" s="286">
        <v>2.919</v>
      </c>
      <c r="AN36" s="36">
        <v>0.24399999999999999</v>
      </c>
      <c r="AO36" s="286">
        <v>3.0190000000000001</v>
      </c>
    </row>
    <row r="37" spans="1:41" x14ac:dyDescent="0.25">
      <c r="A37" s="260">
        <v>37</v>
      </c>
      <c r="B37" s="285">
        <v>1.2170000000000001</v>
      </c>
      <c r="C37" s="36">
        <v>1.3220000000000001</v>
      </c>
      <c r="D37" s="285">
        <v>1.1639999999999999</v>
      </c>
      <c r="E37" s="286">
        <v>1.383</v>
      </c>
      <c r="F37" s="36">
        <v>1.1120000000000001</v>
      </c>
      <c r="G37" s="36">
        <v>1.446</v>
      </c>
      <c r="H37" s="285">
        <v>1.0580000000000001</v>
      </c>
      <c r="I37" s="286">
        <v>1.514</v>
      </c>
      <c r="J37" s="36">
        <v>1.004</v>
      </c>
      <c r="K37" s="36">
        <v>1.585</v>
      </c>
      <c r="L37" s="285">
        <v>0.95</v>
      </c>
      <c r="M37" s="286">
        <v>1.6619999999999999</v>
      </c>
      <c r="N37" s="36">
        <v>0.89500000000000002</v>
      </c>
      <c r="O37" s="36">
        <v>1.742</v>
      </c>
      <c r="P37" s="285">
        <v>0.84099999999999997</v>
      </c>
      <c r="Q37" s="36">
        <v>1.825</v>
      </c>
      <c r="R37" s="285">
        <v>0.78700000000000003</v>
      </c>
      <c r="S37" s="286">
        <v>1.911</v>
      </c>
      <c r="T37" s="36">
        <v>0.73299999999999998</v>
      </c>
      <c r="U37" s="36">
        <v>2.0009999999999999</v>
      </c>
      <c r="V37" s="285">
        <v>0.68</v>
      </c>
      <c r="W37" s="36">
        <v>2.0920000000000001</v>
      </c>
      <c r="X37" s="285">
        <v>0.628</v>
      </c>
      <c r="Y37" s="36">
        <v>2.1859999999999999</v>
      </c>
      <c r="Z37" s="285">
        <v>0.57799999999999996</v>
      </c>
      <c r="AA37" s="36">
        <v>2.282</v>
      </c>
      <c r="AB37" s="285">
        <v>0.52800000000000002</v>
      </c>
      <c r="AC37" s="36">
        <v>2.379</v>
      </c>
      <c r="AD37" s="285">
        <v>0.48</v>
      </c>
      <c r="AE37" s="36">
        <v>2.4769999999999999</v>
      </c>
      <c r="AF37" s="285">
        <v>0.434</v>
      </c>
      <c r="AG37" s="286">
        <v>2.5760000000000001</v>
      </c>
      <c r="AH37" s="36">
        <v>0.38900000000000001</v>
      </c>
      <c r="AI37" s="286">
        <v>2.6749999999999998</v>
      </c>
      <c r="AJ37" s="36">
        <v>0.34699999999999998</v>
      </c>
      <c r="AK37" s="286">
        <v>2.774</v>
      </c>
      <c r="AL37" s="36">
        <v>0.30599999999999999</v>
      </c>
      <c r="AM37" s="286">
        <v>2.8719999999999999</v>
      </c>
      <c r="AN37" s="36">
        <v>0.26800000000000002</v>
      </c>
      <c r="AO37" s="286">
        <v>2.9689999999999999</v>
      </c>
    </row>
    <row r="38" spans="1:41" x14ac:dyDescent="0.25">
      <c r="A38" s="260">
        <v>38</v>
      </c>
      <c r="B38" s="285">
        <v>1.2270000000000001</v>
      </c>
      <c r="C38" s="36">
        <v>1.33</v>
      </c>
      <c r="D38" s="285">
        <v>1.1759999999999999</v>
      </c>
      <c r="E38" s="286">
        <v>1.3879999999999999</v>
      </c>
      <c r="F38" s="36">
        <v>1.1240000000000001</v>
      </c>
      <c r="G38" s="36">
        <v>1.4490000000000001</v>
      </c>
      <c r="H38" s="285">
        <v>1.0720000000000001</v>
      </c>
      <c r="I38" s="286">
        <v>1.5149999999999999</v>
      </c>
      <c r="J38" s="36">
        <v>1.0189999999999999</v>
      </c>
      <c r="K38" s="36">
        <v>1.5840000000000001</v>
      </c>
      <c r="L38" s="285">
        <v>0.96599999999999997</v>
      </c>
      <c r="M38" s="286">
        <v>1.6579999999999999</v>
      </c>
      <c r="N38" s="36">
        <v>0.91300000000000003</v>
      </c>
      <c r="O38" s="36">
        <v>1.7350000000000001</v>
      </c>
      <c r="P38" s="285">
        <v>0.86</v>
      </c>
      <c r="Q38" s="36">
        <v>1.8160000000000001</v>
      </c>
      <c r="R38" s="285">
        <v>0.80700000000000005</v>
      </c>
      <c r="S38" s="286">
        <v>1.899</v>
      </c>
      <c r="T38" s="36">
        <v>0.754</v>
      </c>
      <c r="U38" s="36">
        <v>1.9850000000000001</v>
      </c>
      <c r="V38" s="285">
        <v>0.70199999999999996</v>
      </c>
      <c r="W38" s="36">
        <v>2.073</v>
      </c>
      <c r="X38" s="285">
        <v>0.65100000000000002</v>
      </c>
      <c r="Y38" s="36">
        <v>2.1640000000000001</v>
      </c>
      <c r="Z38" s="285">
        <v>0.60099999999999998</v>
      </c>
      <c r="AA38" s="36">
        <v>2.2559999999999998</v>
      </c>
      <c r="AB38" s="285">
        <v>0.55200000000000005</v>
      </c>
      <c r="AC38" s="36">
        <v>2.35</v>
      </c>
      <c r="AD38" s="285">
        <v>0.504</v>
      </c>
      <c r="AE38" s="36">
        <v>2.4449999999999998</v>
      </c>
      <c r="AF38" s="285">
        <v>0.45800000000000002</v>
      </c>
      <c r="AG38" s="286">
        <v>2.54</v>
      </c>
      <c r="AH38" s="36">
        <v>0.41399999999999998</v>
      </c>
      <c r="AI38" s="286">
        <v>2.637</v>
      </c>
      <c r="AJ38" s="36">
        <v>0.371</v>
      </c>
      <c r="AK38" s="286">
        <v>2.7330000000000001</v>
      </c>
      <c r="AL38" s="36">
        <v>0.33</v>
      </c>
      <c r="AM38" s="286">
        <v>2.8279999999999998</v>
      </c>
      <c r="AN38" s="36">
        <v>0.29099999999999998</v>
      </c>
      <c r="AO38" s="286">
        <v>2.923</v>
      </c>
    </row>
    <row r="39" spans="1:41" x14ac:dyDescent="0.25">
      <c r="A39" s="260">
        <v>39</v>
      </c>
      <c r="B39" s="285">
        <v>1.2370000000000001</v>
      </c>
      <c r="C39" s="36">
        <v>1.337</v>
      </c>
      <c r="D39" s="285">
        <v>1.1870000000000001</v>
      </c>
      <c r="E39" s="286">
        <v>1.3919999999999999</v>
      </c>
      <c r="F39" s="36">
        <v>1.137</v>
      </c>
      <c r="G39" s="36">
        <v>1.452</v>
      </c>
      <c r="H39" s="285">
        <v>1.085</v>
      </c>
      <c r="I39" s="286">
        <v>1.5169999999999999</v>
      </c>
      <c r="J39" s="36">
        <v>1.0329999999999999</v>
      </c>
      <c r="K39" s="36">
        <v>1.583</v>
      </c>
      <c r="L39" s="285">
        <v>0.98199999999999998</v>
      </c>
      <c r="M39" s="286">
        <v>1.655</v>
      </c>
      <c r="N39" s="36">
        <v>0.93</v>
      </c>
      <c r="O39" s="36">
        <v>1.7290000000000001</v>
      </c>
      <c r="P39" s="285">
        <v>0.878</v>
      </c>
      <c r="Q39" s="36">
        <v>1.8069999999999999</v>
      </c>
      <c r="R39" s="285">
        <v>0.82599999999999996</v>
      </c>
      <c r="S39" s="286">
        <v>1.887</v>
      </c>
      <c r="T39" s="36">
        <v>0.77400000000000002</v>
      </c>
      <c r="U39" s="36">
        <v>1.97</v>
      </c>
      <c r="V39" s="285">
        <v>0.72299999999999998</v>
      </c>
      <c r="W39" s="36">
        <v>2.0550000000000002</v>
      </c>
      <c r="X39" s="285">
        <v>0.67300000000000004</v>
      </c>
      <c r="Y39" s="36">
        <v>2.1429999999999998</v>
      </c>
      <c r="Z39" s="285">
        <v>0.623</v>
      </c>
      <c r="AA39" s="36">
        <v>2.2320000000000002</v>
      </c>
      <c r="AB39" s="285">
        <v>0.57499999999999996</v>
      </c>
      <c r="AC39" s="36">
        <v>2.323</v>
      </c>
      <c r="AD39" s="285">
        <v>0.52800000000000002</v>
      </c>
      <c r="AE39" s="36">
        <v>2.4140000000000001</v>
      </c>
      <c r="AF39" s="285">
        <v>0.48199999999999998</v>
      </c>
      <c r="AG39" s="286">
        <v>2.5070000000000001</v>
      </c>
      <c r="AH39" s="36">
        <v>0.438</v>
      </c>
      <c r="AI39" s="286">
        <v>2.6</v>
      </c>
      <c r="AJ39" s="36">
        <v>0.39500000000000002</v>
      </c>
      <c r="AK39" s="286">
        <v>2.694</v>
      </c>
      <c r="AL39" s="36">
        <v>0.35399999999999998</v>
      </c>
      <c r="AM39" s="286">
        <v>2.7869999999999999</v>
      </c>
      <c r="AN39" s="36">
        <v>0.315</v>
      </c>
      <c r="AO39" s="286">
        <v>2.879</v>
      </c>
    </row>
    <row r="40" spans="1:41" x14ac:dyDescent="0.25">
      <c r="A40" s="260">
        <v>40</v>
      </c>
      <c r="B40" s="285">
        <v>1.246</v>
      </c>
      <c r="C40" s="36">
        <v>1.3440000000000001</v>
      </c>
      <c r="D40" s="285">
        <v>1.1970000000000001</v>
      </c>
      <c r="E40" s="286">
        <v>1.3979999999999999</v>
      </c>
      <c r="F40" s="36">
        <v>1.149</v>
      </c>
      <c r="G40" s="36">
        <v>1.456</v>
      </c>
      <c r="H40" s="285">
        <v>1.0980000000000001</v>
      </c>
      <c r="I40" s="286">
        <v>1.518</v>
      </c>
      <c r="J40" s="36">
        <v>1.0469999999999999</v>
      </c>
      <c r="K40" s="36">
        <v>1.583</v>
      </c>
      <c r="L40" s="285">
        <v>0.997</v>
      </c>
      <c r="M40" s="286">
        <v>1.6519999999999999</v>
      </c>
      <c r="N40" s="36">
        <v>0.94599999999999995</v>
      </c>
      <c r="O40" s="36">
        <v>1.724</v>
      </c>
      <c r="P40" s="285">
        <v>0.89500000000000002</v>
      </c>
      <c r="Q40" s="36">
        <v>1.7989999999999999</v>
      </c>
      <c r="R40" s="285">
        <v>0.84399999999999997</v>
      </c>
      <c r="S40" s="286">
        <v>1.8759999999999999</v>
      </c>
      <c r="T40" s="36">
        <v>0.749</v>
      </c>
      <c r="U40" s="36">
        <v>1.956</v>
      </c>
      <c r="V40" s="285">
        <v>0.74399999999999999</v>
      </c>
      <c r="W40" s="36">
        <v>2.0390000000000001</v>
      </c>
      <c r="X40" s="285">
        <v>0.69399999999999995</v>
      </c>
      <c r="Y40" s="36">
        <v>2.1230000000000002</v>
      </c>
      <c r="Z40" s="285">
        <v>0.64500000000000002</v>
      </c>
      <c r="AA40" s="36">
        <v>2.21</v>
      </c>
      <c r="AB40" s="285">
        <v>0.59699999999999998</v>
      </c>
      <c r="AC40" s="36">
        <v>2.2970000000000002</v>
      </c>
      <c r="AD40" s="285">
        <v>0.55100000000000005</v>
      </c>
      <c r="AE40" s="36">
        <v>2.3860000000000001</v>
      </c>
      <c r="AF40" s="285">
        <v>0.505</v>
      </c>
      <c r="AG40" s="286">
        <v>2.476</v>
      </c>
      <c r="AH40" s="36">
        <v>0.46100000000000002</v>
      </c>
      <c r="AI40" s="286">
        <v>2.5659999999999998</v>
      </c>
      <c r="AJ40" s="36">
        <v>0.41799999999999998</v>
      </c>
      <c r="AK40" s="286">
        <v>2.657</v>
      </c>
      <c r="AL40" s="36">
        <v>0.377</v>
      </c>
      <c r="AM40" s="286">
        <v>2.7480000000000002</v>
      </c>
      <c r="AN40" s="36">
        <v>0.33800000000000002</v>
      </c>
      <c r="AO40" s="286">
        <v>2.8380000000000001</v>
      </c>
    </row>
    <row r="41" spans="1:41" x14ac:dyDescent="0.25">
      <c r="A41" s="260">
        <v>45</v>
      </c>
      <c r="B41" s="285">
        <v>1.288</v>
      </c>
      <c r="C41" s="36">
        <v>1.3759999999999999</v>
      </c>
      <c r="D41" s="285">
        <v>1.2450000000000001</v>
      </c>
      <c r="E41" s="286">
        <v>1.4239999999999999</v>
      </c>
      <c r="F41" s="36">
        <v>1.2010000000000001</v>
      </c>
      <c r="G41" s="36">
        <v>1.474</v>
      </c>
      <c r="H41" s="285">
        <v>1.1559999999999999</v>
      </c>
      <c r="I41" s="286">
        <v>1.528</v>
      </c>
      <c r="J41" s="36">
        <v>1.111</v>
      </c>
      <c r="K41" s="36">
        <v>1.583</v>
      </c>
      <c r="L41" s="285">
        <v>1.0649999999999999</v>
      </c>
      <c r="M41" s="286">
        <v>1.643</v>
      </c>
      <c r="N41" s="36">
        <v>1.0189999999999999</v>
      </c>
      <c r="O41" s="36">
        <v>1.704</v>
      </c>
      <c r="P41" s="285">
        <v>0.97399999999999998</v>
      </c>
      <c r="Q41" s="36">
        <v>1.768</v>
      </c>
      <c r="R41" s="285">
        <v>0.92700000000000005</v>
      </c>
      <c r="S41" s="286">
        <v>1.8340000000000001</v>
      </c>
      <c r="T41" s="36">
        <v>0.88100000000000001</v>
      </c>
      <c r="U41" s="36">
        <v>1.9019999999999999</v>
      </c>
      <c r="V41" s="285">
        <v>0.83499999999999996</v>
      </c>
      <c r="W41" s="36">
        <v>1.972</v>
      </c>
      <c r="X41" s="285">
        <v>0.79</v>
      </c>
      <c r="Y41" s="36">
        <v>2.044</v>
      </c>
      <c r="Z41" s="285">
        <v>0.74399999999999999</v>
      </c>
      <c r="AA41" s="36">
        <v>2.1179999999999999</v>
      </c>
      <c r="AB41" s="285">
        <v>0.7</v>
      </c>
      <c r="AC41" s="36">
        <v>2.1930000000000001</v>
      </c>
      <c r="AD41" s="285">
        <v>0.65500000000000003</v>
      </c>
      <c r="AE41" s="36">
        <v>2.2690000000000001</v>
      </c>
      <c r="AF41" s="285">
        <v>0.61199999999999999</v>
      </c>
      <c r="AG41" s="286">
        <v>2.3460000000000001</v>
      </c>
      <c r="AH41" s="36">
        <v>0.56999999999999995</v>
      </c>
      <c r="AI41" s="286">
        <v>2.4239999999999999</v>
      </c>
      <c r="AJ41" s="36">
        <v>0.52800000000000002</v>
      </c>
      <c r="AK41" s="286">
        <v>2.5030000000000001</v>
      </c>
      <c r="AL41" s="36">
        <v>0.48799999999999999</v>
      </c>
      <c r="AM41" s="286">
        <v>2.5819999999999999</v>
      </c>
      <c r="AN41" s="36">
        <v>0.44800000000000001</v>
      </c>
      <c r="AO41" s="286">
        <v>2.661</v>
      </c>
    </row>
    <row r="42" spans="1:41" x14ac:dyDescent="0.25">
      <c r="A42" s="260">
        <v>50</v>
      </c>
      <c r="B42" s="285">
        <v>1.3240000000000001</v>
      </c>
      <c r="C42" s="36">
        <v>1.403</v>
      </c>
      <c r="D42" s="285">
        <v>1.2849999999999999</v>
      </c>
      <c r="E42" s="286">
        <v>1.4450000000000001</v>
      </c>
      <c r="F42" s="36">
        <v>1.2450000000000001</v>
      </c>
      <c r="G42" s="36">
        <v>1.4910000000000001</v>
      </c>
      <c r="H42" s="285">
        <v>1.206</v>
      </c>
      <c r="I42" s="286">
        <v>1.5369999999999999</v>
      </c>
      <c r="J42" s="36">
        <v>1.1639999999999999</v>
      </c>
      <c r="K42" s="36">
        <v>1.587</v>
      </c>
      <c r="L42" s="285">
        <v>1.123</v>
      </c>
      <c r="M42" s="286">
        <v>1.639</v>
      </c>
      <c r="N42" s="36">
        <v>1.081</v>
      </c>
      <c r="O42" s="36">
        <v>1.6919999999999999</v>
      </c>
      <c r="P42" s="285">
        <v>1.0389999999999999</v>
      </c>
      <c r="Q42" s="36">
        <v>1.748</v>
      </c>
      <c r="R42" s="285">
        <v>0.997</v>
      </c>
      <c r="S42" s="286">
        <v>1.8049999999999999</v>
      </c>
      <c r="T42" s="36">
        <v>0.95499999999999996</v>
      </c>
      <c r="U42" s="36">
        <v>1.8640000000000001</v>
      </c>
      <c r="V42" s="285">
        <v>0.91300000000000003</v>
      </c>
      <c r="W42" s="36">
        <v>1.925</v>
      </c>
      <c r="X42" s="285">
        <v>0.871</v>
      </c>
      <c r="Y42" s="36">
        <v>1.9870000000000001</v>
      </c>
      <c r="Z42" s="285">
        <v>0.82899999999999996</v>
      </c>
      <c r="AA42" s="36">
        <v>2.0510000000000002</v>
      </c>
      <c r="AB42" s="285">
        <v>0.78700000000000003</v>
      </c>
      <c r="AC42" s="36">
        <v>2.1160000000000001</v>
      </c>
      <c r="AD42" s="285">
        <v>0.746</v>
      </c>
      <c r="AE42" s="36">
        <v>2.1819999999999999</v>
      </c>
      <c r="AF42" s="285">
        <v>0.70499999999999996</v>
      </c>
      <c r="AG42" s="286">
        <v>2.25</v>
      </c>
      <c r="AH42" s="36">
        <v>0.66500000000000004</v>
      </c>
      <c r="AI42" s="286">
        <v>2.3180000000000001</v>
      </c>
      <c r="AJ42" s="36">
        <v>0.625</v>
      </c>
      <c r="AK42" s="286">
        <v>2.387</v>
      </c>
      <c r="AL42" s="36">
        <v>0.58599999999999997</v>
      </c>
      <c r="AM42" s="286">
        <v>2.456</v>
      </c>
      <c r="AN42" s="36">
        <v>0.54800000000000004</v>
      </c>
      <c r="AO42" s="286">
        <v>2.5259999999999998</v>
      </c>
    </row>
    <row r="43" spans="1:41" x14ac:dyDescent="0.25">
      <c r="A43" s="260">
        <v>55</v>
      </c>
      <c r="B43" s="285">
        <v>1.3560000000000001</v>
      </c>
      <c r="C43" s="36">
        <v>1.4279999999999999</v>
      </c>
      <c r="D43" s="285">
        <v>1.32</v>
      </c>
      <c r="E43" s="286">
        <v>1.466</v>
      </c>
      <c r="F43" s="36">
        <v>1.284</v>
      </c>
      <c r="G43" s="36">
        <v>1.5049999999999999</v>
      </c>
      <c r="H43" s="285">
        <v>1.246</v>
      </c>
      <c r="I43" s="286">
        <v>1.548</v>
      </c>
      <c r="J43" s="36">
        <v>1.2090000000000001</v>
      </c>
      <c r="K43" s="36">
        <v>1.5920000000000001</v>
      </c>
      <c r="L43" s="285">
        <v>1.1719999999999999</v>
      </c>
      <c r="M43" s="286">
        <v>1.6379999999999999</v>
      </c>
      <c r="N43" s="36">
        <v>1.1339999999999999</v>
      </c>
      <c r="O43" s="36">
        <v>1.6850000000000001</v>
      </c>
      <c r="P43" s="285">
        <v>1.095</v>
      </c>
      <c r="Q43" s="36">
        <v>1.734</v>
      </c>
      <c r="R43" s="285">
        <v>1.0569999999999999</v>
      </c>
      <c r="S43" s="286">
        <v>1.7849999999999999</v>
      </c>
      <c r="T43" s="36">
        <v>1.018</v>
      </c>
      <c r="U43" s="36">
        <v>1.837</v>
      </c>
      <c r="V43" s="285">
        <v>0.97899999999999998</v>
      </c>
      <c r="W43" s="36">
        <v>1.891</v>
      </c>
      <c r="X43" s="285">
        <v>0.94</v>
      </c>
      <c r="Y43" s="36">
        <v>1.9450000000000001</v>
      </c>
      <c r="Z43" s="285">
        <v>0.90200000000000002</v>
      </c>
      <c r="AA43" s="36">
        <v>2.0019999999999998</v>
      </c>
      <c r="AB43" s="285">
        <v>0.86299999999999999</v>
      </c>
      <c r="AC43" s="36">
        <v>2.0590000000000002</v>
      </c>
      <c r="AD43" s="285">
        <v>0.82499999999999996</v>
      </c>
      <c r="AE43" s="36">
        <v>2.117</v>
      </c>
      <c r="AF43" s="285">
        <v>0.78600000000000003</v>
      </c>
      <c r="AG43" s="286">
        <v>2.1760000000000002</v>
      </c>
      <c r="AH43" s="36">
        <v>0.748</v>
      </c>
      <c r="AI43" s="286">
        <v>2.2370000000000001</v>
      </c>
      <c r="AJ43" s="36">
        <v>0.71099999999999997</v>
      </c>
      <c r="AK43" s="286">
        <v>2.298</v>
      </c>
      <c r="AL43" s="36">
        <v>0.67400000000000004</v>
      </c>
      <c r="AM43" s="286">
        <v>2.359</v>
      </c>
      <c r="AN43" s="36">
        <v>0.63700000000000001</v>
      </c>
      <c r="AO43" s="286">
        <v>2.4209999999999998</v>
      </c>
    </row>
    <row r="44" spans="1:41" x14ac:dyDescent="0.25">
      <c r="A44" s="260">
        <v>60</v>
      </c>
      <c r="B44" s="285">
        <v>1.3819999999999999</v>
      </c>
      <c r="C44" s="36">
        <v>1.4490000000000001</v>
      </c>
      <c r="D44" s="285">
        <v>1.351</v>
      </c>
      <c r="E44" s="286">
        <v>1.484</v>
      </c>
      <c r="F44" s="36">
        <v>1.3169999999999999</v>
      </c>
      <c r="G44" s="36">
        <v>1.52</v>
      </c>
      <c r="H44" s="285">
        <v>1.2829999999999999</v>
      </c>
      <c r="I44" s="286">
        <v>1.5589999999999999</v>
      </c>
      <c r="J44" s="36">
        <v>1.248</v>
      </c>
      <c r="K44" s="36">
        <v>1.5980000000000001</v>
      </c>
      <c r="L44" s="285">
        <v>1.214</v>
      </c>
      <c r="M44" s="286">
        <v>1.639</v>
      </c>
      <c r="N44" s="36">
        <v>1.179</v>
      </c>
      <c r="O44" s="36">
        <v>1.6819999999999999</v>
      </c>
      <c r="P44" s="285">
        <v>1.1439999999999999</v>
      </c>
      <c r="Q44" s="36">
        <v>1.726</v>
      </c>
      <c r="R44" s="285">
        <v>1.1080000000000001</v>
      </c>
      <c r="S44" s="286">
        <v>1.7709999999999999</v>
      </c>
      <c r="T44" s="36">
        <v>1.0720000000000001</v>
      </c>
      <c r="U44" s="36">
        <v>1.8169999999999999</v>
      </c>
      <c r="V44" s="285">
        <v>1.0369999999999999</v>
      </c>
      <c r="W44" s="36">
        <v>1.865</v>
      </c>
      <c r="X44" s="285">
        <v>1.0009999999999999</v>
      </c>
      <c r="Y44" s="36">
        <v>1.9139999999999999</v>
      </c>
      <c r="Z44" s="285">
        <v>0.96499999999999997</v>
      </c>
      <c r="AA44" s="36">
        <v>1.964</v>
      </c>
      <c r="AB44" s="285">
        <v>0.92900000000000005</v>
      </c>
      <c r="AC44" s="36">
        <v>2.0150000000000001</v>
      </c>
      <c r="AD44" s="285">
        <v>0.89300000000000002</v>
      </c>
      <c r="AE44" s="36">
        <v>2.0670000000000002</v>
      </c>
      <c r="AF44" s="285">
        <v>0.85699999999999998</v>
      </c>
      <c r="AG44" s="286">
        <v>2.12</v>
      </c>
      <c r="AH44" s="36">
        <v>0.82199999999999995</v>
      </c>
      <c r="AI44" s="286">
        <v>2.173</v>
      </c>
      <c r="AJ44" s="36">
        <v>0.78600000000000003</v>
      </c>
      <c r="AK44" s="286">
        <v>2.2269999999999999</v>
      </c>
      <c r="AL44" s="36">
        <v>0.751</v>
      </c>
      <c r="AM44" s="286">
        <v>2.2829999999999999</v>
      </c>
      <c r="AN44" s="36">
        <v>0.71599999999999997</v>
      </c>
      <c r="AO44" s="286">
        <v>2.3380000000000001</v>
      </c>
    </row>
    <row r="45" spans="1:41" x14ac:dyDescent="0.25">
      <c r="A45" s="260">
        <v>65</v>
      </c>
      <c r="B45" s="285">
        <v>1.407</v>
      </c>
      <c r="C45" s="36">
        <v>1.4670000000000001</v>
      </c>
      <c r="D45" s="285">
        <v>1.377</v>
      </c>
      <c r="E45" s="286">
        <v>1.5</v>
      </c>
      <c r="F45" s="36">
        <v>1.3460000000000001</v>
      </c>
      <c r="G45" s="36">
        <v>1.534</v>
      </c>
      <c r="H45" s="285">
        <v>1.3140000000000001</v>
      </c>
      <c r="I45" s="286">
        <v>1.5680000000000001</v>
      </c>
      <c r="J45" s="36">
        <v>1.2829999999999999</v>
      </c>
      <c r="K45" s="36">
        <v>1.6040000000000001</v>
      </c>
      <c r="L45" s="285">
        <v>1.2509999999999999</v>
      </c>
      <c r="M45" s="286">
        <v>1.6419999999999999</v>
      </c>
      <c r="N45" s="36">
        <v>1.218</v>
      </c>
      <c r="O45" s="36">
        <v>1.68</v>
      </c>
      <c r="P45" s="285">
        <v>1.1859999999999999</v>
      </c>
      <c r="Q45" s="36">
        <v>1.72</v>
      </c>
      <c r="R45" s="285">
        <v>1.153</v>
      </c>
      <c r="S45" s="286">
        <v>1.7609999999999999</v>
      </c>
      <c r="T45" s="36">
        <v>1.1200000000000001</v>
      </c>
      <c r="U45" s="36">
        <v>1.802</v>
      </c>
      <c r="V45" s="285">
        <v>1.087</v>
      </c>
      <c r="W45" s="36">
        <v>1.845</v>
      </c>
      <c r="X45" s="285">
        <v>1.0529999999999999</v>
      </c>
      <c r="Y45" s="36">
        <v>1.889</v>
      </c>
      <c r="Z45" s="285">
        <v>1.02</v>
      </c>
      <c r="AA45" s="36">
        <v>1.9339999999999999</v>
      </c>
      <c r="AB45" s="285">
        <v>0.98599999999999999</v>
      </c>
      <c r="AC45" s="36">
        <v>1.98</v>
      </c>
      <c r="AD45" s="285">
        <v>0.95299999999999996</v>
      </c>
      <c r="AE45" s="36">
        <v>2.0270000000000001</v>
      </c>
      <c r="AF45" s="285">
        <v>0.91900000000000004</v>
      </c>
      <c r="AG45" s="286">
        <v>2.0750000000000002</v>
      </c>
      <c r="AH45" s="36">
        <v>0.88600000000000001</v>
      </c>
      <c r="AI45" s="286">
        <v>2.1230000000000002</v>
      </c>
      <c r="AJ45" s="36">
        <v>0.85199999999999998</v>
      </c>
      <c r="AK45" s="286">
        <v>2.1720000000000002</v>
      </c>
      <c r="AL45" s="36">
        <v>0.81899999999999995</v>
      </c>
      <c r="AM45" s="286">
        <v>2.2210000000000001</v>
      </c>
      <c r="AN45" s="36">
        <v>0.78900000000000003</v>
      </c>
      <c r="AO45" s="286">
        <v>2.2719999999999998</v>
      </c>
    </row>
    <row r="46" spans="1:41" x14ac:dyDescent="0.25">
      <c r="A46" s="260">
        <v>70</v>
      </c>
      <c r="B46" s="285">
        <v>1.429</v>
      </c>
      <c r="C46" s="36">
        <v>1.4850000000000001</v>
      </c>
      <c r="D46" s="285">
        <v>1.4</v>
      </c>
      <c r="E46" s="286">
        <v>1.514</v>
      </c>
      <c r="F46" s="36">
        <v>1.3720000000000001</v>
      </c>
      <c r="G46" s="36">
        <v>1.546</v>
      </c>
      <c r="H46" s="285">
        <v>1.343</v>
      </c>
      <c r="I46" s="286">
        <v>1.577</v>
      </c>
      <c r="J46" s="36">
        <v>1.3129999999999999</v>
      </c>
      <c r="K46" s="36">
        <v>1.611</v>
      </c>
      <c r="L46" s="285">
        <v>1.2829999999999999</v>
      </c>
      <c r="M46" s="286">
        <v>1.645</v>
      </c>
      <c r="N46" s="36">
        <v>1.2529999999999999</v>
      </c>
      <c r="O46" s="36">
        <v>1.68</v>
      </c>
      <c r="P46" s="285">
        <v>1.2230000000000001</v>
      </c>
      <c r="Q46" s="36">
        <v>1.716</v>
      </c>
      <c r="R46" s="285">
        <v>1.1919999999999999</v>
      </c>
      <c r="S46" s="286">
        <v>1.754</v>
      </c>
      <c r="T46" s="36">
        <v>1.1619999999999999</v>
      </c>
      <c r="U46" s="36">
        <v>1.792</v>
      </c>
      <c r="V46" s="285">
        <v>1.131</v>
      </c>
      <c r="W46" s="36">
        <v>1.831</v>
      </c>
      <c r="X46" s="285">
        <v>1.099</v>
      </c>
      <c r="Y46" s="36">
        <v>1.87</v>
      </c>
      <c r="Z46" s="285">
        <v>1.0680000000000001</v>
      </c>
      <c r="AA46" s="36">
        <v>1.911</v>
      </c>
      <c r="AB46" s="285">
        <v>1.0369999999999999</v>
      </c>
      <c r="AC46" s="36">
        <v>1.9530000000000001</v>
      </c>
      <c r="AD46" s="285">
        <v>1.0049999999999999</v>
      </c>
      <c r="AE46" s="36">
        <v>1.9950000000000001</v>
      </c>
      <c r="AF46" s="285">
        <v>0.97399999999999998</v>
      </c>
      <c r="AG46" s="286">
        <v>2.0379999999999998</v>
      </c>
      <c r="AH46" s="36">
        <v>0.94299999999999995</v>
      </c>
      <c r="AI46" s="286">
        <v>2.0819999999999999</v>
      </c>
      <c r="AJ46" s="36">
        <v>0.91100000000000003</v>
      </c>
      <c r="AK46" s="286">
        <v>2.1269999999999998</v>
      </c>
      <c r="AL46" s="36">
        <v>0.88</v>
      </c>
      <c r="AM46" s="286">
        <v>2.1720000000000002</v>
      </c>
      <c r="AN46" s="36">
        <v>0.84899999999999998</v>
      </c>
      <c r="AO46" s="286">
        <v>2.2170000000000001</v>
      </c>
    </row>
    <row r="47" spans="1:41" x14ac:dyDescent="0.25">
      <c r="A47" s="260">
        <v>75</v>
      </c>
      <c r="B47" s="285">
        <v>1.448</v>
      </c>
      <c r="C47" s="36">
        <v>1.5009999999999999</v>
      </c>
      <c r="D47" s="285">
        <v>1.4219999999999999</v>
      </c>
      <c r="E47" s="286">
        <v>1.5289999999999999</v>
      </c>
      <c r="F47" s="36">
        <v>1.395</v>
      </c>
      <c r="G47" s="36">
        <v>1.5569999999999999</v>
      </c>
      <c r="H47" s="285">
        <v>1.3680000000000001</v>
      </c>
      <c r="I47" s="286">
        <v>1.5860000000000001</v>
      </c>
      <c r="J47" s="36">
        <v>1.34</v>
      </c>
      <c r="K47" s="36">
        <v>1.617</v>
      </c>
      <c r="L47" s="285">
        <v>1.3129999999999999</v>
      </c>
      <c r="M47" s="286">
        <v>1.649</v>
      </c>
      <c r="N47" s="36">
        <v>1.284</v>
      </c>
      <c r="O47" s="36">
        <v>1.6819999999999999</v>
      </c>
      <c r="P47" s="285">
        <v>1.256</v>
      </c>
      <c r="Q47" s="36">
        <v>1.714</v>
      </c>
      <c r="R47" s="285">
        <v>1.2270000000000001</v>
      </c>
      <c r="S47" s="286">
        <v>1.748</v>
      </c>
      <c r="T47" s="36">
        <v>1.1990000000000001</v>
      </c>
      <c r="U47" s="36">
        <v>1.7829999999999999</v>
      </c>
      <c r="V47" s="285">
        <v>1.17</v>
      </c>
      <c r="W47" s="36">
        <v>1.819</v>
      </c>
      <c r="X47" s="285">
        <v>1.141</v>
      </c>
      <c r="Y47" s="36">
        <v>1.8560000000000001</v>
      </c>
      <c r="Z47" s="285">
        <v>1.111</v>
      </c>
      <c r="AA47" s="36">
        <v>1.893</v>
      </c>
      <c r="AB47" s="285">
        <v>1.0820000000000001</v>
      </c>
      <c r="AC47" s="36">
        <v>1.931</v>
      </c>
      <c r="AD47" s="285">
        <v>1.052</v>
      </c>
      <c r="AE47" s="36">
        <v>1.97</v>
      </c>
      <c r="AF47" s="285">
        <v>1.0229999999999999</v>
      </c>
      <c r="AG47" s="286">
        <v>2.0089999999999999</v>
      </c>
      <c r="AH47" s="36">
        <v>0.99299999999999999</v>
      </c>
      <c r="AI47" s="286">
        <v>2.0489999999999999</v>
      </c>
      <c r="AJ47" s="36">
        <v>0.96399999999999997</v>
      </c>
      <c r="AK47" s="286">
        <v>2.09</v>
      </c>
      <c r="AL47" s="36">
        <v>0.93400000000000005</v>
      </c>
      <c r="AM47" s="286">
        <v>2.1309999999999998</v>
      </c>
      <c r="AN47" s="36">
        <v>0.90500000000000003</v>
      </c>
      <c r="AO47" s="286">
        <v>2.1720000000000002</v>
      </c>
    </row>
    <row r="48" spans="1:41" x14ac:dyDescent="0.25">
      <c r="A48" s="260">
        <v>80</v>
      </c>
      <c r="B48" s="285">
        <v>1.4650000000000001</v>
      </c>
      <c r="C48" s="36">
        <v>1.514</v>
      </c>
      <c r="D48" s="285">
        <v>1.44</v>
      </c>
      <c r="E48" s="286">
        <v>1.5409999999999999</v>
      </c>
      <c r="F48" s="36">
        <v>1.4159999999999999</v>
      </c>
      <c r="G48" s="36">
        <v>1.5680000000000001</v>
      </c>
      <c r="H48" s="285">
        <v>1.39</v>
      </c>
      <c r="I48" s="286">
        <v>1.595</v>
      </c>
      <c r="J48" s="36">
        <v>1.3640000000000001</v>
      </c>
      <c r="K48" s="36">
        <v>1.6240000000000001</v>
      </c>
      <c r="L48" s="285">
        <v>1.3380000000000001</v>
      </c>
      <c r="M48" s="286">
        <v>1.653</v>
      </c>
      <c r="N48" s="36">
        <v>1.3120000000000001</v>
      </c>
      <c r="O48" s="36">
        <v>1.6830000000000001</v>
      </c>
      <c r="P48" s="285">
        <v>1.2849999999999999</v>
      </c>
      <c r="Q48" s="36">
        <v>1.714</v>
      </c>
      <c r="R48" s="285">
        <v>1.2589999999999999</v>
      </c>
      <c r="S48" s="286">
        <v>1.7450000000000001</v>
      </c>
      <c r="T48" s="36">
        <v>1.232</v>
      </c>
      <c r="U48" s="36">
        <v>1.7769999999999999</v>
      </c>
      <c r="V48" s="285">
        <v>1.2050000000000001</v>
      </c>
      <c r="W48" s="36">
        <v>1.81</v>
      </c>
      <c r="X48" s="285">
        <v>1.177</v>
      </c>
      <c r="Y48" s="36">
        <v>1.8440000000000001</v>
      </c>
      <c r="Z48" s="285">
        <v>1.1499999999999999</v>
      </c>
      <c r="AA48" s="36">
        <v>1.8779999999999999</v>
      </c>
      <c r="AB48" s="285">
        <v>1.1220000000000001</v>
      </c>
      <c r="AC48" s="36">
        <v>1.913</v>
      </c>
      <c r="AD48" s="285">
        <v>1.0940000000000001</v>
      </c>
      <c r="AE48" s="36">
        <v>1.9490000000000001</v>
      </c>
      <c r="AF48" s="285">
        <v>1.0660000000000001</v>
      </c>
      <c r="AG48" s="286">
        <v>1.984</v>
      </c>
      <c r="AH48" s="36">
        <v>1.0389999999999999</v>
      </c>
      <c r="AI48" s="286">
        <v>2.0219999999999998</v>
      </c>
      <c r="AJ48" s="36">
        <v>1.0109999999999999</v>
      </c>
      <c r="AK48" s="286">
        <v>2.0590000000000002</v>
      </c>
      <c r="AL48" s="36">
        <v>0.98299999999999998</v>
      </c>
      <c r="AM48" s="286">
        <v>2.097</v>
      </c>
      <c r="AN48" s="36">
        <v>0.95499999999999996</v>
      </c>
      <c r="AO48" s="286">
        <v>2.1349999999999998</v>
      </c>
    </row>
    <row r="49" spans="1:41" x14ac:dyDescent="0.25">
      <c r="A49" s="260">
        <v>85</v>
      </c>
      <c r="B49" s="285">
        <v>1.4810000000000001</v>
      </c>
      <c r="C49" s="36">
        <v>1.5289999999999999</v>
      </c>
      <c r="D49" s="285">
        <v>1.458</v>
      </c>
      <c r="E49" s="286">
        <v>1.5529999999999999</v>
      </c>
      <c r="F49" s="36">
        <v>1.4339999999999999</v>
      </c>
      <c r="G49" s="36">
        <v>1.577</v>
      </c>
      <c r="H49" s="285">
        <v>1.411</v>
      </c>
      <c r="I49" s="286">
        <v>1.603</v>
      </c>
      <c r="J49" s="36">
        <v>1.3859999999999999</v>
      </c>
      <c r="K49" s="36">
        <v>1.63</v>
      </c>
      <c r="L49" s="285">
        <v>1.3620000000000001</v>
      </c>
      <c r="M49" s="286">
        <v>1.657</v>
      </c>
      <c r="N49" s="36">
        <v>1.337</v>
      </c>
      <c r="O49" s="36">
        <v>1.6850000000000001</v>
      </c>
      <c r="P49" s="285">
        <v>1.3120000000000001</v>
      </c>
      <c r="Q49" s="36">
        <v>1.714</v>
      </c>
      <c r="R49" s="285">
        <v>1.2869999999999999</v>
      </c>
      <c r="S49" s="286">
        <v>1.7430000000000001</v>
      </c>
      <c r="T49" s="36">
        <v>1.262</v>
      </c>
      <c r="U49" s="36">
        <v>1.7729999999999999</v>
      </c>
      <c r="V49" s="285">
        <v>1.236</v>
      </c>
      <c r="W49" s="36">
        <v>1.8029999999999999</v>
      </c>
      <c r="X49" s="285">
        <v>1.21</v>
      </c>
      <c r="Y49" s="36">
        <v>1.8340000000000001</v>
      </c>
      <c r="Z49" s="285">
        <v>1.1839999999999999</v>
      </c>
      <c r="AA49" s="36">
        <v>1.8660000000000001</v>
      </c>
      <c r="AB49" s="285">
        <v>1.1579999999999999</v>
      </c>
      <c r="AC49" s="36">
        <v>1.8979999999999999</v>
      </c>
      <c r="AD49" s="285">
        <v>1.1319999999999999</v>
      </c>
      <c r="AE49" s="36">
        <v>1.931</v>
      </c>
      <c r="AF49" s="285">
        <v>1.1060000000000001</v>
      </c>
      <c r="AG49" s="286">
        <v>1.9650000000000001</v>
      </c>
      <c r="AH49" s="36">
        <v>1.08</v>
      </c>
      <c r="AI49" s="286">
        <v>1.9990000000000001</v>
      </c>
      <c r="AJ49" s="36">
        <v>1.0529999999999999</v>
      </c>
      <c r="AK49" s="286">
        <v>2.0329999999999999</v>
      </c>
      <c r="AL49" s="36">
        <v>1.0269999999999999</v>
      </c>
      <c r="AM49" s="286">
        <v>2.0680000000000001</v>
      </c>
      <c r="AN49" s="36">
        <v>1</v>
      </c>
      <c r="AO49" s="286">
        <v>2.1040000000000001</v>
      </c>
    </row>
    <row r="50" spans="1:41" x14ac:dyDescent="0.25">
      <c r="A50" s="260">
        <v>90</v>
      </c>
      <c r="B50" s="285">
        <v>1.496</v>
      </c>
      <c r="C50" s="36">
        <v>1.5409999999999999</v>
      </c>
      <c r="D50" s="285">
        <v>1.474</v>
      </c>
      <c r="E50" s="286">
        <v>1.5629999999999999</v>
      </c>
      <c r="F50" s="36">
        <v>1.452</v>
      </c>
      <c r="G50" s="36">
        <v>1.587</v>
      </c>
      <c r="H50" s="285">
        <v>1.429</v>
      </c>
      <c r="I50" s="286">
        <v>1.611</v>
      </c>
      <c r="J50" s="36">
        <v>1.4059999999999999</v>
      </c>
      <c r="K50" s="36">
        <v>1.6359999999999999</v>
      </c>
      <c r="L50" s="285">
        <v>1.383</v>
      </c>
      <c r="M50" s="286">
        <v>1.661</v>
      </c>
      <c r="N50" s="36">
        <v>1.36</v>
      </c>
      <c r="O50" s="36">
        <v>1.6870000000000001</v>
      </c>
      <c r="P50" s="285">
        <v>1.3360000000000001</v>
      </c>
      <c r="Q50" s="36">
        <v>1.714</v>
      </c>
      <c r="R50" s="285">
        <v>1.3120000000000001</v>
      </c>
      <c r="S50" s="286">
        <v>1.7410000000000001</v>
      </c>
      <c r="T50" s="36">
        <v>1.288</v>
      </c>
      <c r="U50" s="36">
        <v>1.7689999999999999</v>
      </c>
      <c r="V50" s="285">
        <v>1.264</v>
      </c>
      <c r="W50" s="36">
        <v>1.798</v>
      </c>
      <c r="X50" s="285">
        <v>1.24</v>
      </c>
      <c r="Y50" s="36">
        <v>1.827</v>
      </c>
      <c r="Z50" s="285">
        <v>1.2150000000000001</v>
      </c>
      <c r="AA50" s="36">
        <v>1.8560000000000001</v>
      </c>
      <c r="AB50" s="285">
        <v>1.1910000000000001</v>
      </c>
      <c r="AC50" s="36">
        <v>1.8859999999999999</v>
      </c>
      <c r="AD50" s="285">
        <v>1.1659999999999999</v>
      </c>
      <c r="AE50" s="36">
        <v>1.917</v>
      </c>
      <c r="AF50" s="285">
        <v>1.141</v>
      </c>
      <c r="AG50" s="286">
        <v>1.948</v>
      </c>
      <c r="AH50" s="36">
        <v>1.1160000000000001</v>
      </c>
      <c r="AI50" s="286">
        <v>1.9790000000000001</v>
      </c>
      <c r="AJ50" s="36">
        <v>1.091</v>
      </c>
      <c r="AK50" s="286">
        <v>2.012</v>
      </c>
      <c r="AL50" s="36">
        <v>1.0660000000000001</v>
      </c>
      <c r="AM50" s="286">
        <v>2.044</v>
      </c>
      <c r="AN50" s="36">
        <v>1.0409999999999999</v>
      </c>
      <c r="AO50" s="286">
        <v>2.077</v>
      </c>
    </row>
    <row r="51" spans="1:41" x14ac:dyDescent="0.25">
      <c r="A51" s="260">
        <v>95</v>
      </c>
      <c r="B51" s="285">
        <v>1.51</v>
      </c>
      <c r="C51" s="36">
        <v>1.552</v>
      </c>
      <c r="D51" s="285">
        <v>1.4890000000000001</v>
      </c>
      <c r="E51" s="286">
        <v>1.573</v>
      </c>
      <c r="F51" s="36">
        <v>1.468</v>
      </c>
      <c r="G51" s="36">
        <v>1.5960000000000001</v>
      </c>
      <c r="H51" s="285">
        <v>1.446</v>
      </c>
      <c r="I51" s="286">
        <v>1.6180000000000001</v>
      </c>
      <c r="J51" s="36">
        <v>1.425</v>
      </c>
      <c r="K51" s="36">
        <v>1.641</v>
      </c>
      <c r="L51" s="285">
        <v>1.403</v>
      </c>
      <c r="M51" s="286">
        <v>1.6659999999999999</v>
      </c>
      <c r="N51" s="36">
        <v>1.381</v>
      </c>
      <c r="O51" s="36">
        <v>1.69</v>
      </c>
      <c r="P51" s="285">
        <v>1.3580000000000001</v>
      </c>
      <c r="Q51" s="36">
        <v>1.7150000000000001</v>
      </c>
      <c r="R51" s="285">
        <v>1.3360000000000001</v>
      </c>
      <c r="S51" s="286">
        <v>1.7410000000000001</v>
      </c>
      <c r="T51" s="36">
        <v>1.3129999999999999</v>
      </c>
      <c r="U51" s="36">
        <v>1.7669999999999999</v>
      </c>
      <c r="V51" s="285">
        <v>1.29</v>
      </c>
      <c r="W51" s="36">
        <v>1.7929999999999999</v>
      </c>
      <c r="X51" s="285">
        <v>1.2669999999999999</v>
      </c>
      <c r="Y51" s="36">
        <v>1.821</v>
      </c>
      <c r="Z51" s="285">
        <v>1.244</v>
      </c>
      <c r="AA51" s="36">
        <v>1.8480000000000001</v>
      </c>
      <c r="AB51" s="285">
        <v>1.2210000000000001</v>
      </c>
      <c r="AC51" s="36">
        <v>1.8759999999999999</v>
      </c>
      <c r="AD51" s="285">
        <v>1.1970000000000001</v>
      </c>
      <c r="AE51" s="36">
        <v>1.905</v>
      </c>
      <c r="AF51" s="285">
        <v>1.1739999999999999</v>
      </c>
      <c r="AG51" s="286">
        <v>1.9430000000000001</v>
      </c>
      <c r="AH51" s="36">
        <v>1.1499999999999999</v>
      </c>
      <c r="AI51" s="286">
        <v>1.9630000000000001</v>
      </c>
      <c r="AJ51" s="36">
        <v>1.1259999999999999</v>
      </c>
      <c r="AK51" s="286">
        <v>1.9930000000000001</v>
      </c>
      <c r="AL51" s="36">
        <v>1.1020000000000001</v>
      </c>
      <c r="AM51" s="286">
        <v>2.0230000000000001</v>
      </c>
      <c r="AN51" s="36">
        <v>1.079</v>
      </c>
      <c r="AO51" s="286">
        <v>2.0539999999999998</v>
      </c>
    </row>
    <row r="52" spans="1:41" x14ac:dyDescent="0.25">
      <c r="A52" s="260">
        <v>100</v>
      </c>
      <c r="B52" s="285">
        <v>1.522</v>
      </c>
      <c r="C52" s="36">
        <v>1.5620000000000001</v>
      </c>
      <c r="D52" s="285">
        <v>1.502</v>
      </c>
      <c r="E52" s="286">
        <v>1.5820000000000001</v>
      </c>
      <c r="F52" s="36">
        <v>1.482</v>
      </c>
      <c r="G52" s="36">
        <v>1.6040000000000001</v>
      </c>
      <c r="H52" s="285">
        <v>1.4610000000000001</v>
      </c>
      <c r="I52" s="286">
        <v>1.625</v>
      </c>
      <c r="J52" s="36">
        <v>1.4410000000000001</v>
      </c>
      <c r="K52" s="36">
        <v>1.647</v>
      </c>
      <c r="L52" s="285">
        <v>1.421</v>
      </c>
      <c r="M52" s="286">
        <v>1.67</v>
      </c>
      <c r="N52" s="36">
        <v>1.4</v>
      </c>
      <c r="O52" s="36">
        <v>1.6930000000000001</v>
      </c>
      <c r="P52" s="285">
        <v>1.3779999999999999</v>
      </c>
      <c r="Q52" s="36">
        <v>1.7170000000000001</v>
      </c>
      <c r="R52" s="285">
        <v>1.357</v>
      </c>
      <c r="S52" s="286">
        <v>1.7410000000000001</v>
      </c>
      <c r="T52" s="36">
        <v>1.335</v>
      </c>
      <c r="U52" s="36">
        <v>1.7649999999999999</v>
      </c>
      <c r="V52" s="285">
        <v>1.3140000000000001</v>
      </c>
      <c r="W52" s="36">
        <v>1.79</v>
      </c>
      <c r="X52" s="285">
        <v>1.292</v>
      </c>
      <c r="Y52" s="36">
        <v>1.8160000000000001</v>
      </c>
      <c r="Z52" s="285">
        <v>1.27</v>
      </c>
      <c r="AA52" s="36">
        <v>1.841</v>
      </c>
      <c r="AB52" s="285">
        <v>1.248</v>
      </c>
      <c r="AC52" s="36">
        <v>1.8680000000000001</v>
      </c>
      <c r="AD52" s="285">
        <v>1.2250000000000001</v>
      </c>
      <c r="AE52" s="36">
        <v>1.895</v>
      </c>
      <c r="AF52" s="285">
        <v>1.2030000000000001</v>
      </c>
      <c r="AG52" s="286">
        <v>1.9219999999999999</v>
      </c>
      <c r="AH52" s="36">
        <v>1.181</v>
      </c>
      <c r="AI52" s="286">
        <v>1.9490000000000001</v>
      </c>
      <c r="AJ52" s="36">
        <v>1.1579999999999999</v>
      </c>
      <c r="AK52" s="286">
        <v>1.9770000000000001</v>
      </c>
      <c r="AL52" s="36">
        <v>1.1359999999999999</v>
      </c>
      <c r="AM52" s="286">
        <v>2.0059999999999998</v>
      </c>
      <c r="AN52" s="36">
        <v>1.113</v>
      </c>
      <c r="AO52" s="286">
        <v>2.0339999999999998</v>
      </c>
    </row>
    <row r="53" spans="1:41" x14ac:dyDescent="0.25">
      <c r="A53" s="260">
        <v>150</v>
      </c>
      <c r="B53" s="285">
        <v>1.611</v>
      </c>
      <c r="C53" s="36">
        <v>1.637</v>
      </c>
      <c r="D53" s="285">
        <v>1.5980000000000001</v>
      </c>
      <c r="E53" s="286">
        <v>1.651</v>
      </c>
      <c r="F53" s="36">
        <v>1.5840000000000001</v>
      </c>
      <c r="G53" s="36">
        <v>1.665</v>
      </c>
      <c r="H53" s="285">
        <v>1.571</v>
      </c>
      <c r="I53" s="286">
        <v>1.679</v>
      </c>
      <c r="J53" s="36">
        <v>1.5569999999999999</v>
      </c>
      <c r="K53" s="36">
        <v>1.6930000000000001</v>
      </c>
      <c r="L53" s="285">
        <v>1.5429999999999999</v>
      </c>
      <c r="M53" s="286">
        <v>1.708</v>
      </c>
      <c r="N53" s="36">
        <v>1.53</v>
      </c>
      <c r="O53" s="36">
        <v>1.722</v>
      </c>
      <c r="P53" s="285">
        <v>1.5149999999999999</v>
      </c>
      <c r="Q53" s="36">
        <v>1.7370000000000001</v>
      </c>
      <c r="R53" s="285">
        <v>1.5009999999999999</v>
      </c>
      <c r="S53" s="286">
        <v>1.752</v>
      </c>
      <c r="T53" s="36">
        <v>1.486</v>
      </c>
      <c r="U53" s="36">
        <v>1.7669999999999999</v>
      </c>
      <c r="V53" s="285">
        <v>1.4730000000000001</v>
      </c>
      <c r="W53" s="36">
        <v>1.7829999999999999</v>
      </c>
      <c r="X53" s="285">
        <v>1.458</v>
      </c>
      <c r="Y53" s="36">
        <v>1.7989999999999999</v>
      </c>
      <c r="Z53" s="285">
        <v>1.444</v>
      </c>
      <c r="AA53" s="36">
        <v>1.8140000000000001</v>
      </c>
      <c r="AB53" s="285">
        <v>1.429</v>
      </c>
      <c r="AC53" s="36">
        <v>1.83</v>
      </c>
      <c r="AD53" s="285">
        <v>1.4139999999999999</v>
      </c>
      <c r="AE53" s="36">
        <v>1.847</v>
      </c>
      <c r="AF53" s="285">
        <v>1.4</v>
      </c>
      <c r="AG53" s="286">
        <v>1.863</v>
      </c>
      <c r="AH53" s="36">
        <v>1.385</v>
      </c>
      <c r="AI53" s="286">
        <v>1.88</v>
      </c>
      <c r="AJ53" s="36">
        <v>1.37</v>
      </c>
      <c r="AK53" s="286">
        <v>1.897</v>
      </c>
      <c r="AL53" s="36">
        <v>1.355</v>
      </c>
      <c r="AM53" s="286">
        <v>1.913</v>
      </c>
      <c r="AN53" s="36">
        <v>1.34</v>
      </c>
      <c r="AO53" s="286">
        <v>1.931</v>
      </c>
    </row>
    <row r="54" spans="1:41" x14ac:dyDescent="0.25">
      <c r="A54" s="259">
        <v>200</v>
      </c>
      <c r="B54" s="287">
        <v>1.6639999999999999</v>
      </c>
      <c r="C54" s="483">
        <v>1.6839999999999999</v>
      </c>
      <c r="D54" s="287">
        <v>1.653</v>
      </c>
      <c r="E54" s="288">
        <v>1.6930000000000001</v>
      </c>
      <c r="F54" s="483">
        <v>1.643</v>
      </c>
      <c r="G54" s="483">
        <v>1.704</v>
      </c>
      <c r="H54" s="287">
        <v>1.633</v>
      </c>
      <c r="I54" s="288">
        <v>1.7150000000000001</v>
      </c>
      <c r="J54" s="483">
        <v>1.623</v>
      </c>
      <c r="K54" s="483">
        <v>1.7250000000000001</v>
      </c>
      <c r="L54" s="287">
        <v>1.613</v>
      </c>
      <c r="M54" s="288">
        <v>1.7350000000000001</v>
      </c>
      <c r="N54" s="483">
        <v>1.603</v>
      </c>
      <c r="O54" s="483">
        <v>1.746</v>
      </c>
      <c r="P54" s="287">
        <v>1.5920000000000001</v>
      </c>
      <c r="Q54" s="483">
        <v>1.7569999999999999</v>
      </c>
      <c r="R54" s="287">
        <v>1.5820000000000001</v>
      </c>
      <c r="S54" s="288">
        <v>1.768</v>
      </c>
      <c r="T54" s="483">
        <v>1.571</v>
      </c>
      <c r="U54" s="483">
        <v>1.7789999999999999</v>
      </c>
      <c r="V54" s="287">
        <v>1.5609999999999999</v>
      </c>
      <c r="W54" s="483">
        <v>1.7909999999999999</v>
      </c>
      <c r="X54" s="287">
        <v>1.55</v>
      </c>
      <c r="Y54" s="483">
        <v>1.8009999999999999</v>
      </c>
      <c r="Z54" s="287">
        <v>1.5389999999999999</v>
      </c>
      <c r="AA54" s="483">
        <v>1.8129999999999999</v>
      </c>
      <c r="AB54" s="287">
        <v>1.528</v>
      </c>
      <c r="AC54" s="483">
        <v>1.8240000000000001</v>
      </c>
      <c r="AD54" s="287">
        <v>1.518</v>
      </c>
      <c r="AE54" s="483">
        <v>1.8360000000000001</v>
      </c>
      <c r="AF54" s="287">
        <v>1.5069999999999999</v>
      </c>
      <c r="AG54" s="288">
        <v>1.847</v>
      </c>
      <c r="AH54" s="483">
        <v>1.4950000000000001</v>
      </c>
      <c r="AI54" s="288">
        <v>1.86</v>
      </c>
      <c r="AJ54" s="483">
        <v>1.484</v>
      </c>
      <c r="AK54" s="288">
        <v>1.871</v>
      </c>
      <c r="AL54" s="483">
        <v>1.474</v>
      </c>
      <c r="AM54" s="288">
        <v>1.883</v>
      </c>
      <c r="AN54" s="483">
        <v>1.462</v>
      </c>
      <c r="AO54" s="288">
        <v>1.8959999999999999</v>
      </c>
    </row>
    <row r="56" spans="1:41" x14ac:dyDescent="0.25">
      <c r="A56" s="558" t="s">
        <v>1198</v>
      </c>
    </row>
  </sheetData>
  <mergeCells count="20">
    <mergeCell ref="X5:Y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AL5:AM5"/>
    <mergeCell ref="AN5:AO5"/>
    <mergeCell ref="Z5:AA5"/>
    <mergeCell ref="AB5:AC5"/>
    <mergeCell ref="AD5:AE5"/>
    <mergeCell ref="AF5:AG5"/>
    <mergeCell ref="AH5:AI5"/>
    <mergeCell ref="AJ5:AK5"/>
  </mergeCells>
  <hyperlinks>
    <hyperlink ref="A56" r:id="rId1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AO54"/>
  <sheetViews>
    <sheetView workbookViewId="0"/>
  </sheetViews>
  <sheetFormatPr defaultColWidth="9.140625" defaultRowHeight="15" x14ac:dyDescent="0.25"/>
  <cols>
    <col min="1" max="1" width="5.7109375" style="22" customWidth="1"/>
    <col min="2" max="41" width="5.7109375" style="35" customWidth="1"/>
    <col min="42" max="16384" width="9.140625" style="35"/>
  </cols>
  <sheetData>
    <row r="1" spans="1:41" x14ac:dyDescent="0.25">
      <c r="A1" s="509" t="s">
        <v>1195</v>
      </c>
    </row>
    <row r="3" spans="1:41" x14ac:dyDescent="0.25">
      <c r="A3" s="509" t="s">
        <v>1196</v>
      </c>
    </row>
    <row r="5" spans="1:41" s="22" customFormat="1" x14ac:dyDescent="0.25">
      <c r="A5" s="510" t="s">
        <v>1197</v>
      </c>
      <c r="B5" s="790">
        <v>1</v>
      </c>
      <c r="C5" s="790"/>
      <c r="D5" s="790">
        <v>2</v>
      </c>
      <c r="E5" s="790"/>
      <c r="F5" s="790">
        <v>3</v>
      </c>
      <c r="G5" s="790"/>
      <c r="H5" s="790">
        <v>4</v>
      </c>
      <c r="I5" s="790"/>
      <c r="J5" s="790">
        <v>5</v>
      </c>
      <c r="K5" s="790"/>
      <c r="L5" s="790">
        <v>6</v>
      </c>
      <c r="M5" s="790"/>
      <c r="N5" s="790">
        <v>7</v>
      </c>
      <c r="O5" s="790"/>
      <c r="P5" s="790">
        <v>8</v>
      </c>
      <c r="Q5" s="790"/>
      <c r="R5" s="790">
        <v>9</v>
      </c>
      <c r="S5" s="790"/>
      <c r="T5" s="790">
        <v>10</v>
      </c>
      <c r="U5" s="790"/>
      <c r="V5" s="790">
        <v>11</v>
      </c>
      <c r="W5" s="790"/>
      <c r="X5" s="790">
        <v>12</v>
      </c>
      <c r="Y5" s="790"/>
      <c r="Z5" s="790">
        <v>13</v>
      </c>
      <c r="AA5" s="790"/>
      <c r="AB5" s="790">
        <v>14</v>
      </c>
      <c r="AC5" s="790"/>
      <c r="AD5" s="790">
        <v>15</v>
      </c>
      <c r="AE5" s="790"/>
      <c r="AF5" s="790">
        <v>16</v>
      </c>
      <c r="AG5" s="790"/>
      <c r="AH5" s="790">
        <v>17</v>
      </c>
      <c r="AI5" s="790"/>
      <c r="AJ5" s="790">
        <v>18</v>
      </c>
      <c r="AK5" s="790"/>
      <c r="AL5" s="790">
        <v>19</v>
      </c>
      <c r="AM5" s="790"/>
      <c r="AN5" s="790">
        <v>20</v>
      </c>
      <c r="AO5" s="790"/>
    </row>
    <row r="6" spans="1:41" x14ac:dyDescent="0.25">
      <c r="A6" s="511">
        <v>6</v>
      </c>
      <c r="B6" s="484">
        <v>0.61</v>
      </c>
      <c r="C6" s="481">
        <v>1.4</v>
      </c>
      <c r="D6" s="484"/>
      <c r="E6" s="482"/>
      <c r="F6" s="481"/>
      <c r="G6" s="481"/>
      <c r="H6" s="484"/>
      <c r="I6" s="482"/>
      <c r="J6" s="481"/>
      <c r="K6" s="481"/>
      <c r="L6" s="484"/>
      <c r="M6" s="482"/>
      <c r="N6" s="481"/>
      <c r="O6" s="481"/>
      <c r="P6" s="484"/>
      <c r="Q6" s="481"/>
      <c r="R6" s="484"/>
      <c r="S6" s="482"/>
      <c r="T6" s="481"/>
      <c r="U6" s="481"/>
      <c r="V6" s="484"/>
      <c r="W6" s="482"/>
      <c r="X6" s="481"/>
      <c r="Y6" s="481"/>
      <c r="Z6" s="484"/>
      <c r="AA6" s="482"/>
      <c r="AB6" s="481"/>
      <c r="AC6" s="481"/>
      <c r="AD6" s="484"/>
      <c r="AE6" s="482"/>
      <c r="AF6" s="481"/>
      <c r="AG6" s="481"/>
      <c r="AH6" s="484"/>
      <c r="AI6" s="482"/>
      <c r="AJ6" s="481"/>
      <c r="AK6" s="481"/>
      <c r="AL6" s="484"/>
      <c r="AM6" s="482"/>
      <c r="AN6" s="481"/>
      <c r="AO6" s="482"/>
    </row>
    <row r="7" spans="1:41" x14ac:dyDescent="0.25">
      <c r="A7" s="260">
        <v>7</v>
      </c>
      <c r="B7" s="285">
        <v>0.7</v>
      </c>
      <c r="C7" s="36">
        <v>1.3560000000000001</v>
      </c>
      <c r="D7" s="285">
        <v>0.46700000000000003</v>
      </c>
      <c r="E7" s="286">
        <v>1.8959999999999999</v>
      </c>
      <c r="F7" s="36"/>
      <c r="G7" s="36"/>
      <c r="H7" s="285"/>
      <c r="I7" s="286"/>
      <c r="J7" s="36"/>
      <c r="K7" s="36"/>
      <c r="L7" s="285"/>
      <c r="M7" s="286"/>
      <c r="N7" s="36"/>
      <c r="O7" s="36"/>
      <c r="P7" s="285"/>
      <c r="Q7" s="36"/>
      <c r="R7" s="285"/>
      <c r="S7" s="286"/>
      <c r="T7" s="36"/>
      <c r="U7" s="36"/>
      <c r="V7" s="285"/>
      <c r="W7" s="286"/>
      <c r="X7" s="36"/>
      <c r="Y7" s="36"/>
      <c r="Z7" s="285"/>
      <c r="AA7" s="286"/>
      <c r="AB7" s="36"/>
      <c r="AC7" s="36"/>
      <c r="AD7" s="285"/>
      <c r="AE7" s="286"/>
      <c r="AF7" s="36"/>
      <c r="AG7" s="36"/>
      <c r="AH7" s="285"/>
      <c r="AI7" s="286"/>
      <c r="AJ7" s="36"/>
      <c r="AK7" s="36"/>
      <c r="AL7" s="285"/>
      <c r="AM7" s="286"/>
      <c r="AN7" s="36"/>
      <c r="AO7" s="286"/>
    </row>
    <row r="8" spans="1:41" x14ac:dyDescent="0.25">
      <c r="A8" s="260">
        <v>8</v>
      </c>
      <c r="B8" s="285">
        <v>0.76300000000000001</v>
      </c>
      <c r="C8" s="36">
        <v>1.3320000000000001</v>
      </c>
      <c r="D8" s="285">
        <v>0.55900000000000005</v>
      </c>
      <c r="E8" s="286">
        <v>1.7769999999999999</v>
      </c>
      <c r="F8" s="36">
        <v>0.36699999999999999</v>
      </c>
      <c r="G8" s="36">
        <v>2.2869999999999999</v>
      </c>
      <c r="H8" s="285"/>
      <c r="I8" s="286"/>
      <c r="J8" s="36"/>
      <c r="K8" s="36"/>
      <c r="L8" s="285"/>
      <c r="M8" s="286"/>
      <c r="N8" s="36"/>
      <c r="O8" s="36"/>
      <c r="P8" s="285"/>
      <c r="Q8" s="36"/>
      <c r="R8" s="285"/>
      <c r="S8" s="286"/>
      <c r="T8" s="36"/>
      <c r="U8" s="36"/>
      <c r="V8" s="285"/>
      <c r="W8" s="286"/>
      <c r="X8" s="36"/>
      <c r="Y8" s="36"/>
      <c r="Z8" s="285"/>
      <c r="AA8" s="286"/>
      <c r="AB8" s="36"/>
      <c r="AC8" s="36"/>
      <c r="AD8" s="285"/>
      <c r="AE8" s="286"/>
      <c r="AF8" s="36"/>
      <c r="AG8" s="36"/>
      <c r="AH8" s="285"/>
      <c r="AI8" s="286"/>
      <c r="AJ8" s="36"/>
      <c r="AK8" s="36"/>
      <c r="AL8" s="285"/>
      <c r="AM8" s="286"/>
      <c r="AN8" s="36"/>
      <c r="AO8" s="286"/>
    </row>
    <row r="9" spans="1:41" x14ac:dyDescent="0.25">
      <c r="A9" s="260">
        <v>9</v>
      </c>
      <c r="B9" s="285">
        <v>0.82399999999999995</v>
      </c>
      <c r="C9" s="36">
        <v>1.32</v>
      </c>
      <c r="D9" s="285">
        <v>0.629</v>
      </c>
      <c r="E9" s="286">
        <v>1.6990000000000001</v>
      </c>
      <c r="F9" s="36">
        <v>0.45500000000000002</v>
      </c>
      <c r="G9" s="36">
        <v>2.1280000000000001</v>
      </c>
      <c r="H9" s="285">
        <v>0.29599999999999999</v>
      </c>
      <c r="I9" s="286">
        <v>2.5880000000000001</v>
      </c>
      <c r="J9" s="36"/>
      <c r="K9" s="36"/>
      <c r="L9" s="285"/>
      <c r="M9" s="286"/>
      <c r="N9" s="36"/>
      <c r="O9" s="36"/>
      <c r="P9" s="285"/>
      <c r="Q9" s="36"/>
      <c r="R9" s="285"/>
      <c r="S9" s="286"/>
      <c r="T9" s="36"/>
      <c r="U9" s="36"/>
      <c r="V9" s="285"/>
      <c r="W9" s="286"/>
      <c r="X9" s="36"/>
      <c r="Y9" s="36"/>
      <c r="Z9" s="285"/>
      <c r="AA9" s="286"/>
      <c r="AB9" s="36"/>
      <c r="AC9" s="36"/>
      <c r="AD9" s="285"/>
      <c r="AE9" s="286"/>
      <c r="AF9" s="36"/>
      <c r="AG9" s="36"/>
      <c r="AH9" s="285"/>
      <c r="AI9" s="286"/>
      <c r="AJ9" s="36"/>
      <c r="AK9" s="36"/>
      <c r="AL9" s="285"/>
      <c r="AM9" s="286"/>
      <c r="AN9" s="36"/>
      <c r="AO9" s="286"/>
    </row>
    <row r="10" spans="1:41" x14ac:dyDescent="0.25">
      <c r="A10" s="260">
        <v>10</v>
      </c>
      <c r="B10" s="285">
        <v>0.879</v>
      </c>
      <c r="C10" s="36">
        <v>1.32</v>
      </c>
      <c r="D10" s="285">
        <v>0.69699999999999995</v>
      </c>
      <c r="E10" s="286">
        <v>1.641</v>
      </c>
      <c r="F10" s="36">
        <v>0.52500000000000002</v>
      </c>
      <c r="G10" s="36">
        <v>2.016</v>
      </c>
      <c r="H10" s="285">
        <v>0.376</v>
      </c>
      <c r="I10" s="286">
        <v>2.4140000000000001</v>
      </c>
      <c r="J10" s="36">
        <v>0.24299999999999999</v>
      </c>
      <c r="K10" s="36">
        <v>2.8220000000000001</v>
      </c>
      <c r="L10" s="285"/>
      <c r="M10" s="286"/>
      <c r="N10" s="36"/>
      <c r="O10" s="36"/>
      <c r="P10" s="285"/>
      <c r="Q10" s="36"/>
      <c r="R10" s="285"/>
      <c r="S10" s="286"/>
      <c r="T10" s="36"/>
      <c r="U10" s="36"/>
      <c r="V10" s="285"/>
      <c r="W10" s="286"/>
      <c r="X10" s="36"/>
      <c r="Y10" s="36"/>
      <c r="Z10" s="285"/>
      <c r="AA10" s="286"/>
      <c r="AB10" s="36"/>
      <c r="AC10" s="36"/>
      <c r="AD10" s="285"/>
      <c r="AE10" s="286"/>
      <c r="AF10" s="36"/>
      <c r="AG10" s="36"/>
      <c r="AH10" s="285"/>
      <c r="AI10" s="286"/>
      <c r="AJ10" s="36"/>
      <c r="AK10" s="36"/>
      <c r="AL10" s="285"/>
      <c r="AM10" s="286"/>
      <c r="AN10" s="36"/>
      <c r="AO10" s="286"/>
    </row>
    <row r="11" spans="1:41" x14ac:dyDescent="0.25">
      <c r="A11" s="260">
        <v>11</v>
      </c>
      <c r="B11" s="285">
        <v>0.92700000000000005</v>
      </c>
      <c r="C11" s="36">
        <v>1.3240000000000001</v>
      </c>
      <c r="D11" s="285">
        <v>0.75800000000000001</v>
      </c>
      <c r="E11" s="286">
        <v>1.6040000000000001</v>
      </c>
      <c r="F11" s="36">
        <v>0.59499999999999997</v>
      </c>
      <c r="G11" s="36">
        <v>1.9279999999999999</v>
      </c>
      <c r="H11" s="285">
        <v>0.44400000000000001</v>
      </c>
      <c r="I11" s="286">
        <v>2.2829999999999999</v>
      </c>
      <c r="J11" s="36">
        <v>0.315</v>
      </c>
      <c r="K11" s="36">
        <v>2.645</v>
      </c>
      <c r="L11" s="285">
        <v>0.20300000000000001</v>
      </c>
      <c r="M11" s="286">
        <v>3.004</v>
      </c>
      <c r="N11" s="36"/>
      <c r="O11" s="36"/>
      <c r="P11" s="285"/>
      <c r="Q11" s="36"/>
      <c r="R11" s="285"/>
      <c r="S11" s="286"/>
      <c r="T11" s="36"/>
      <c r="U11" s="36"/>
      <c r="V11" s="285"/>
      <c r="W11" s="286"/>
      <c r="X11" s="36"/>
      <c r="Y11" s="36"/>
      <c r="Z11" s="285"/>
      <c r="AA11" s="286"/>
      <c r="AB11" s="36"/>
      <c r="AC11" s="36"/>
      <c r="AD11" s="285"/>
      <c r="AE11" s="286"/>
      <c r="AF11" s="36"/>
      <c r="AG11" s="36"/>
      <c r="AH11" s="285"/>
      <c r="AI11" s="286"/>
      <c r="AJ11" s="36"/>
      <c r="AK11" s="36"/>
      <c r="AL11" s="285"/>
      <c r="AM11" s="286"/>
      <c r="AN11" s="36"/>
      <c r="AO11" s="286"/>
    </row>
    <row r="12" spans="1:41" x14ac:dyDescent="0.25">
      <c r="A12" s="260">
        <v>12</v>
      </c>
      <c r="B12" s="285">
        <v>0.97099999999999997</v>
      </c>
      <c r="C12" s="36">
        <v>1.331</v>
      </c>
      <c r="D12" s="285">
        <v>0.81200000000000006</v>
      </c>
      <c r="E12" s="286">
        <v>1.579</v>
      </c>
      <c r="F12" s="36">
        <v>0.65800000000000003</v>
      </c>
      <c r="G12" s="36">
        <v>1.8640000000000001</v>
      </c>
      <c r="H12" s="285">
        <v>0.51200000000000001</v>
      </c>
      <c r="I12" s="286">
        <v>2.177</v>
      </c>
      <c r="J12" s="36">
        <v>0.38</v>
      </c>
      <c r="K12" s="36">
        <v>2.5059999999999998</v>
      </c>
      <c r="L12" s="285">
        <v>0.26800000000000002</v>
      </c>
      <c r="M12" s="286">
        <v>2.8319999999999999</v>
      </c>
      <c r="N12" s="36">
        <v>0.17100000000000001</v>
      </c>
      <c r="O12" s="36">
        <v>3.149</v>
      </c>
      <c r="P12" s="285"/>
      <c r="Q12" s="36"/>
      <c r="R12" s="285"/>
      <c r="S12" s="286"/>
      <c r="T12" s="36"/>
      <c r="U12" s="36"/>
      <c r="V12" s="285"/>
      <c r="W12" s="286"/>
      <c r="X12" s="36"/>
      <c r="Y12" s="36"/>
      <c r="Z12" s="285"/>
      <c r="AA12" s="286"/>
      <c r="AB12" s="36"/>
      <c r="AC12" s="36"/>
      <c r="AD12" s="285"/>
      <c r="AE12" s="286"/>
      <c r="AF12" s="36"/>
      <c r="AG12" s="36"/>
      <c r="AH12" s="285"/>
      <c r="AI12" s="286"/>
      <c r="AJ12" s="36"/>
      <c r="AK12" s="36"/>
      <c r="AL12" s="285"/>
      <c r="AM12" s="286"/>
      <c r="AN12" s="36"/>
      <c r="AO12" s="286"/>
    </row>
    <row r="13" spans="1:41" x14ac:dyDescent="0.25">
      <c r="A13" s="260">
        <v>13</v>
      </c>
      <c r="B13" s="285">
        <v>1.01</v>
      </c>
      <c r="C13" s="36">
        <v>1.34</v>
      </c>
      <c r="D13" s="285">
        <v>0.86099999999999999</v>
      </c>
      <c r="E13" s="286">
        <v>1.5620000000000001</v>
      </c>
      <c r="F13" s="36">
        <v>0.71499999999999997</v>
      </c>
      <c r="G13" s="36">
        <v>1.8160000000000001</v>
      </c>
      <c r="H13" s="285">
        <v>0.57399999999999995</v>
      </c>
      <c r="I13" s="286">
        <v>2.0939999999999999</v>
      </c>
      <c r="J13" s="36">
        <v>0.44400000000000001</v>
      </c>
      <c r="K13" s="36">
        <v>2.39</v>
      </c>
      <c r="L13" s="285">
        <v>0.32800000000000001</v>
      </c>
      <c r="M13" s="286">
        <v>2.6920000000000002</v>
      </c>
      <c r="N13" s="36">
        <v>0.23</v>
      </c>
      <c r="O13" s="36">
        <v>2.9849999999999999</v>
      </c>
      <c r="P13" s="285">
        <v>0.14699999999999999</v>
      </c>
      <c r="Q13" s="36">
        <v>3.266</v>
      </c>
      <c r="R13" s="285"/>
      <c r="S13" s="286"/>
      <c r="T13" s="36"/>
      <c r="U13" s="36"/>
      <c r="V13" s="285"/>
      <c r="W13" s="286"/>
      <c r="X13" s="36"/>
      <c r="Y13" s="36"/>
      <c r="Z13" s="285"/>
      <c r="AA13" s="286"/>
      <c r="AB13" s="36"/>
      <c r="AC13" s="36"/>
      <c r="AD13" s="285"/>
      <c r="AE13" s="286"/>
      <c r="AF13" s="36"/>
      <c r="AG13" s="36"/>
      <c r="AH13" s="285"/>
      <c r="AI13" s="286"/>
      <c r="AJ13" s="36"/>
      <c r="AK13" s="36"/>
      <c r="AL13" s="285"/>
      <c r="AM13" s="286"/>
      <c r="AN13" s="36"/>
      <c r="AO13" s="286"/>
    </row>
    <row r="14" spans="1:41" x14ac:dyDescent="0.25">
      <c r="A14" s="260">
        <v>14</v>
      </c>
      <c r="B14" s="285">
        <v>1.0449999999999999</v>
      </c>
      <c r="C14" s="36">
        <v>1.35</v>
      </c>
      <c r="D14" s="285">
        <v>0.90500000000000003</v>
      </c>
      <c r="E14" s="286">
        <v>1.5509999999999999</v>
      </c>
      <c r="F14" s="36">
        <v>0.76700000000000002</v>
      </c>
      <c r="G14" s="36">
        <v>1.7789999999999999</v>
      </c>
      <c r="H14" s="285">
        <v>0.63200000000000001</v>
      </c>
      <c r="I14" s="286">
        <v>2.0299999999999998</v>
      </c>
      <c r="J14" s="36">
        <v>0.505</v>
      </c>
      <c r="K14" s="36">
        <v>2.2959999999999998</v>
      </c>
      <c r="L14" s="285">
        <v>0.38900000000000001</v>
      </c>
      <c r="M14" s="286">
        <v>2.5720000000000001</v>
      </c>
      <c r="N14" s="36">
        <v>0.28599999999999998</v>
      </c>
      <c r="O14" s="36">
        <v>2.8479999999999999</v>
      </c>
      <c r="P14" s="285">
        <v>0.2</v>
      </c>
      <c r="Q14" s="36">
        <v>3.1110000000000002</v>
      </c>
      <c r="R14" s="285">
        <v>0.127</v>
      </c>
      <c r="S14" s="286">
        <v>3.36</v>
      </c>
      <c r="T14" s="36"/>
      <c r="U14" s="36"/>
      <c r="V14" s="285"/>
      <c r="W14" s="286"/>
      <c r="X14" s="36"/>
      <c r="Y14" s="36"/>
      <c r="Z14" s="285"/>
      <c r="AA14" s="286"/>
      <c r="AB14" s="36"/>
      <c r="AC14" s="36"/>
      <c r="AD14" s="285"/>
      <c r="AE14" s="286"/>
      <c r="AF14" s="36"/>
      <c r="AG14" s="36"/>
      <c r="AH14" s="285"/>
      <c r="AI14" s="286"/>
      <c r="AJ14" s="36"/>
      <c r="AK14" s="36"/>
      <c r="AL14" s="285"/>
      <c r="AM14" s="286"/>
      <c r="AN14" s="36"/>
      <c r="AO14" s="286"/>
    </row>
    <row r="15" spans="1:41" x14ac:dyDescent="0.25">
      <c r="A15" s="260">
        <v>15</v>
      </c>
      <c r="B15" s="285">
        <v>1.077</v>
      </c>
      <c r="C15" s="36">
        <v>1.361</v>
      </c>
      <c r="D15" s="285">
        <v>0.94599999999999995</v>
      </c>
      <c r="E15" s="286">
        <v>1.5429999999999999</v>
      </c>
      <c r="F15" s="36">
        <v>0.81399999999999995</v>
      </c>
      <c r="G15" s="36">
        <v>1.75</v>
      </c>
      <c r="H15" s="285">
        <v>0.68500000000000005</v>
      </c>
      <c r="I15" s="286">
        <v>1.9770000000000001</v>
      </c>
      <c r="J15" s="36">
        <v>0.56200000000000006</v>
      </c>
      <c r="K15" s="36">
        <v>2.2200000000000002</v>
      </c>
      <c r="L15" s="285">
        <v>0.44700000000000001</v>
      </c>
      <c r="M15" s="286">
        <v>2.4710000000000001</v>
      </c>
      <c r="N15" s="36">
        <v>0.34300000000000003</v>
      </c>
      <c r="O15" s="36">
        <v>2.7269999999999999</v>
      </c>
      <c r="P15" s="285">
        <v>0.251</v>
      </c>
      <c r="Q15" s="36">
        <v>2.9790000000000001</v>
      </c>
      <c r="R15" s="285">
        <v>0.17499999999999999</v>
      </c>
      <c r="S15" s="286">
        <v>3.2160000000000002</v>
      </c>
      <c r="T15" s="36">
        <v>0.111</v>
      </c>
      <c r="U15" s="36">
        <v>3.4380000000000002</v>
      </c>
      <c r="V15" s="285"/>
      <c r="W15" s="286"/>
      <c r="X15" s="36"/>
      <c r="Y15" s="36"/>
      <c r="Z15" s="285"/>
      <c r="AA15" s="286"/>
      <c r="AB15" s="36"/>
      <c r="AC15" s="36"/>
      <c r="AD15" s="285"/>
      <c r="AE15" s="286"/>
      <c r="AF15" s="36"/>
      <c r="AG15" s="36"/>
      <c r="AH15" s="285"/>
      <c r="AI15" s="286"/>
      <c r="AJ15" s="36"/>
      <c r="AK15" s="36"/>
      <c r="AL15" s="285"/>
      <c r="AM15" s="286"/>
      <c r="AN15" s="36"/>
      <c r="AO15" s="286"/>
    </row>
    <row r="16" spans="1:41" x14ac:dyDescent="0.25">
      <c r="A16" s="260">
        <v>16</v>
      </c>
      <c r="B16" s="285">
        <v>1.1060000000000001</v>
      </c>
      <c r="C16" s="36">
        <v>1.371</v>
      </c>
      <c r="D16" s="285">
        <v>0.98199999999999998</v>
      </c>
      <c r="E16" s="286">
        <v>1.5389999999999999</v>
      </c>
      <c r="F16" s="36">
        <v>0.85699999999999998</v>
      </c>
      <c r="G16" s="36">
        <v>1.728</v>
      </c>
      <c r="H16" s="285">
        <v>0.73399999999999999</v>
      </c>
      <c r="I16" s="286">
        <v>1.9350000000000001</v>
      </c>
      <c r="J16" s="36">
        <v>0.61499999999999999</v>
      </c>
      <c r="K16" s="36">
        <v>2.157</v>
      </c>
      <c r="L16" s="285">
        <v>0.502</v>
      </c>
      <c r="M16" s="286">
        <v>2.3879999999999999</v>
      </c>
      <c r="N16" s="36">
        <v>0.39800000000000002</v>
      </c>
      <c r="O16" s="36">
        <v>2.6240000000000001</v>
      </c>
      <c r="P16" s="285">
        <v>0.30399999999999999</v>
      </c>
      <c r="Q16" s="36">
        <v>2.86</v>
      </c>
      <c r="R16" s="285">
        <v>0.222</v>
      </c>
      <c r="S16" s="286">
        <v>3.09</v>
      </c>
      <c r="T16" s="36">
        <v>0.155</v>
      </c>
      <c r="U16" s="36">
        <v>3.3039999999999998</v>
      </c>
      <c r="V16" s="285">
        <v>9.8000000000000004E-2</v>
      </c>
      <c r="W16" s="286">
        <v>3.5030000000000001</v>
      </c>
      <c r="X16" s="36"/>
      <c r="Y16" s="36"/>
      <c r="Z16" s="285"/>
      <c r="AA16" s="286"/>
      <c r="AB16" s="36"/>
      <c r="AC16" s="36"/>
      <c r="AD16" s="285"/>
      <c r="AE16" s="286"/>
      <c r="AF16" s="36"/>
      <c r="AG16" s="36"/>
      <c r="AH16" s="285"/>
      <c r="AI16" s="286"/>
      <c r="AJ16" s="36"/>
      <c r="AK16" s="36"/>
      <c r="AL16" s="285"/>
      <c r="AM16" s="286"/>
      <c r="AN16" s="36"/>
      <c r="AO16" s="286"/>
    </row>
    <row r="17" spans="1:41" x14ac:dyDescent="0.25">
      <c r="A17" s="260">
        <v>17</v>
      </c>
      <c r="B17" s="285">
        <v>1.133</v>
      </c>
      <c r="C17" s="36">
        <v>1.381</v>
      </c>
      <c r="D17" s="285">
        <v>1.0149999999999999</v>
      </c>
      <c r="E17" s="286">
        <v>1.536</v>
      </c>
      <c r="F17" s="36">
        <v>0.89700000000000002</v>
      </c>
      <c r="G17" s="36">
        <v>1.71</v>
      </c>
      <c r="H17" s="285">
        <v>0.77900000000000003</v>
      </c>
      <c r="I17" s="286">
        <v>1.9</v>
      </c>
      <c r="J17" s="36">
        <v>0.66400000000000003</v>
      </c>
      <c r="K17" s="36">
        <v>2.1040000000000001</v>
      </c>
      <c r="L17" s="285">
        <v>0.55400000000000005</v>
      </c>
      <c r="M17" s="286">
        <v>2.3180000000000001</v>
      </c>
      <c r="N17" s="36">
        <v>0.45100000000000001</v>
      </c>
      <c r="O17" s="36">
        <v>2.5369999999999999</v>
      </c>
      <c r="P17" s="285">
        <v>0.35599999999999998</v>
      </c>
      <c r="Q17" s="36">
        <v>2.7570000000000001</v>
      </c>
      <c r="R17" s="285">
        <v>0.27200000000000002</v>
      </c>
      <c r="S17" s="286">
        <v>2.9750000000000001</v>
      </c>
      <c r="T17" s="36">
        <v>0.19800000000000001</v>
      </c>
      <c r="U17" s="36">
        <v>3.1840000000000002</v>
      </c>
      <c r="V17" s="285">
        <v>0.13800000000000001</v>
      </c>
      <c r="W17" s="286">
        <v>3.3780000000000001</v>
      </c>
      <c r="X17" s="36">
        <v>8.6999999999999994E-2</v>
      </c>
      <c r="Y17" s="36">
        <v>3.5569999999999999</v>
      </c>
      <c r="Z17" s="285"/>
      <c r="AA17" s="286"/>
      <c r="AB17" s="36"/>
      <c r="AC17" s="36"/>
      <c r="AD17" s="285"/>
      <c r="AE17" s="286"/>
      <c r="AF17" s="36"/>
      <c r="AG17" s="36"/>
      <c r="AH17" s="285"/>
      <c r="AI17" s="286"/>
      <c r="AJ17" s="36"/>
      <c r="AK17" s="36"/>
      <c r="AL17" s="285"/>
      <c r="AM17" s="286"/>
      <c r="AN17" s="36"/>
      <c r="AO17" s="286"/>
    </row>
    <row r="18" spans="1:41" x14ac:dyDescent="0.25">
      <c r="A18" s="260">
        <v>18</v>
      </c>
      <c r="B18" s="285">
        <v>1.1579999999999999</v>
      </c>
      <c r="C18" s="36">
        <v>1.391</v>
      </c>
      <c r="D18" s="285">
        <v>1.046</v>
      </c>
      <c r="E18" s="286">
        <v>1.5349999999999999</v>
      </c>
      <c r="F18" s="36">
        <v>0.93300000000000005</v>
      </c>
      <c r="G18" s="36">
        <v>1.696</v>
      </c>
      <c r="H18" s="285">
        <v>0.82</v>
      </c>
      <c r="I18" s="286">
        <v>1.8720000000000001</v>
      </c>
      <c r="J18" s="36">
        <v>0.71</v>
      </c>
      <c r="K18" s="36">
        <v>2.06</v>
      </c>
      <c r="L18" s="285">
        <v>0.60299999999999998</v>
      </c>
      <c r="M18" s="286">
        <v>2.258</v>
      </c>
      <c r="N18" s="36">
        <v>0.502</v>
      </c>
      <c r="O18" s="36">
        <v>2.4609999999999999</v>
      </c>
      <c r="P18" s="285">
        <v>0.40699999999999997</v>
      </c>
      <c r="Q18" s="36">
        <v>2.6680000000000001</v>
      </c>
      <c r="R18" s="285">
        <v>0.32100000000000001</v>
      </c>
      <c r="S18" s="286">
        <v>2.8730000000000002</v>
      </c>
      <c r="T18" s="36">
        <v>0.24399999999999999</v>
      </c>
      <c r="U18" s="36">
        <v>3.073</v>
      </c>
      <c r="V18" s="285">
        <v>0.17699999999999999</v>
      </c>
      <c r="W18" s="286">
        <v>3.2650000000000001</v>
      </c>
      <c r="X18" s="36">
        <v>0.123</v>
      </c>
      <c r="Y18" s="36">
        <v>3.4409999999999998</v>
      </c>
      <c r="Z18" s="285">
        <v>7.8E-2</v>
      </c>
      <c r="AA18" s="286">
        <v>3.6030000000000002</v>
      </c>
      <c r="AB18" s="36"/>
      <c r="AC18" s="36"/>
      <c r="AD18" s="285"/>
      <c r="AE18" s="286"/>
      <c r="AF18" s="36"/>
      <c r="AG18" s="36"/>
      <c r="AH18" s="285"/>
      <c r="AI18" s="286"/>
      <c r="AJ18" s="36"/>
      <c r="AK18" s="36"/>
      <c r="AL18" s="285"/>
      <c r="AM18" s="286"/>
      <c r="AN18" s="36"/>
      <c r="AO18" s="286"/>
    </row>
    <row r="19" spans="1:41" x14ac:dyDescent="0.25">
      <c r="A19" s="260">
        <v>19</v>
      </c>
      <c r="B19" s="285">
        <v>1.18</v>
      </c>
      <c r="C19" s="36">
        <v>1.401</v>
      </c>
      <c r="D19" s="285">
        <v>1.0740000000000001</v>
      </c>
      <c r="E19" s="286">
        <v>1.536</v>
      </c>
      <c r="F19" s="36">
        <v>0.96699999999999997</v>
      </c>
      <c r="G19" s="36">
        <v>1.6850000000000001</v>
      </c>
      <c r="H19" s="285">
        <v>0.85899999999999999</v>
      </c>
      <c r="I19" s="286">
        <v>1.8480000000000001</v>
      </c>
      <c r="J19" s="36">
        <v>0.752</v>
      </c>
      <c r="K19" s="36">
        <v>2.0230000000000001</v>
      </c>
      <c r="L19" s="285">
        <v>0.64900000000000002</v>
      </c>
      <c r="M19" s="286">
        <v>2.206</v>
      </c>
      <c r="N19" s="36">
        <v>0.54900000000000004</v>
      </c>
      <c r="O19" s="36">
        <v>2.3959999999999999</v>
      </c>
      <c r="P19" s="285">
        <v>0.45600000000000002</v>
      </c>
      <c r="Q19" s="36">
        <v>2.589</v>
      </c>
      <c r="R19" s="285">
        <v>0.36899999999999999</v>
      </c>
      <c r="S19" s="286">
        <v>2.7829999999999999</v>
      </c>
      <c r="T19" s="36">
        <v>0.28999999999999998</v>
      </c>
      <c r="U19" s="36">
        <v>2.9740000000000002</v>
      </c>
      <c r="V19" s="285">
        <v>0.22</v>
      </c>
      <c r="W19" s="286">
        <v>3.1589999999999998</v>
      </c>
      <c r="X19" s="36">
        <v>0.16</v>
      </c>
      <c r="Y19" s="36">
        <v>3.335</v>
      </c>
      <c r="Z19" s="285">
        <v>0.111</v>
      </c>
      <c r="AA19" s="286">
        <v>3.496</v>
      </c>
      <c r="AB19" s="36">
        <v>7.0000000000000007E-2</v>
      </c>
      <c r="AC19" s="36">
        <v>3.6419999999999999</v>
      </c>
      <c r="AD19" s="285"/>
      <c r="AE19" s="286"/>
      <c r="AF19" s="36"/>
      <c r="AG19" s="36"/>
      <c r="AH19" s="285"/>
      <c r="AI19" s="286"/>
      <c r="AJ19" s="36"/>
      <c r="AK19" s="36"/>
      <c r="AL19" s="285"/>
      <c r="AM19" s="286"/>
      <c r="AN19" s="36"/>
      <c r="AO19" s="286"/>
    </row>
    <row r="20" spans="1:41" x14ac:dyDescent="0.25">
      <c r="A20" s="260">
        <v>20</v>
      </c>
      <c r="B20" s="285">
        <v>1.2010000000000001</v>
      </c>
      <c r="C20" s="36">
        <v>1.411</v>
      </c>
      <c r="D20" s="285">
        <v>1.1000000000000001</v>
      </c>
      <c r="E20" s="286">
        <v>1.5369999999999999</v>
      </c>
      <c r="F20" s="36">
        <v>0.998</v>
      </c>
      <c r="G20" s="36">
        <v>1.6759999999999999</v>
      </c>
      <c r="H20" s="285">
        <v>0.89400000000000002</v>
      </c>
      <c r="I20" s="286">
        <v>1.8280000000000001</v>
      </c>
      <c r="J20" s="36">
        <v>0.79200000000000004</v>
      </c>
      <c r="K20" s="36">
        <v>1.9910000000000001</v>
      </c>
      <c r="L20" s="285">
        <v>0.69099999999999995</v>
      </c>
      <c r="M20" s="286">
        <v>2.1619999999999999</v>
      </c>
      <c r="N20" s="36">
        <v>0.59499999999999997</v>
      </c>
      <c r="O20" s="36">
        <v>2.339</v>
      </c>
      <c r="P20" s="285">
        <v>0.502</v>
      </c>
      <c r="Q20" s="36">
        <v>2.5209999999999999</v>
      </c>
      <c r="R20" s="285">
        <v>0.41599999999999998</v>
      </c>
      <c r="S20" s="286">
        <v>2.7040000000000002</v>
      </c>
      <c r="T20" s="36">
        <v>0.33600000000000002</v>
      </c>
      <c r="U20" s="36">
        <v>2.8849999999999998</v>
      </c>
      <c r="V20" s="285">
        <v>0.26300000000000001</v>
      </c>
      <c r="W20" s="286">
        <v>3.0630000000000002</v>
      </c>
      <c r="X20" s="36">
        <v>0.2</v>
      </c>
      <c r="Y20" s="36">
        <v>3.234</v>
      </c>
      <c r="Z20" s="285">
        <v>0.14499999999999999</v>
      </c>
      <c r="AA20" s="286">
        <v>3.395</v>
      </c>
      <c r="AB20" s="36">
        <v>0.1</v>
      </c>
      <c r="AC20" s="36">
        <v>3.5419999999999998</v>
      </c>
      <c r="AD20" s="285">
        <v>6.3E-2</v>
      </c>
      <c r="AE20" s="286">
        <v>3.6760000000000002</v>
      </c>
      <c r="AF20" s="36"/>
      <c r="AG20" s="36"/>
      <c r="AH20" s="285"/>
      <c r="AI20" s="286"/>
      <c r="AJ20" s="36"/>
      <c r="AK20" s="36"/>
      <c r="AL20" s="285"/>
      <c r="AM20" s="286"/>
      <c r="AN20" s="36"/>
      <c r="AO20" s="286"/>
    </row>
    <row r="21" spans="1:41" x14ac:dyDescent="0.25">
      <c r="A21" s="260">
        <v>21</v>
      </c>
      <c r="B21" s="285">
        <v>1.2210000000000001</v>
      </c>
      <c r="C21" s="36">
        <v>1.42</v>
      </c>
      <c r="D21" s="285">
        <v>1.125</v>
      </c>
      <c r="E21" s="286">
        <v>1.538</v>
      </c>
      <c r="F21" s="36">
        <v>1.026</v>
      </c>
      <c r="G21" s="36">
        <v>1.669</v>
      </c>
      <c r="H21" s="285">
        <v>0.92700000000000005</v>
      </c>
      <c r="I21" s="286">
        <v>1.8120000000000001</v>
      </c>
      <c r="J21" s="36">
        <v>0.82899999999999996</v>
      </c>
      <c r="K21" s="36">
        <v>1.964</v>
      </c>
      <c r="L21" s="285">
        <v>0.73099999999999998</v>
      </c>
      <c r="M21" s="286">
        <v>2.1240000000000001</v>
      </c>
      <c r="N21" s="36">
        <v>0.63700000000000001</v>
      </c>
      <c r="O21" s="36">
        <v>2.29</v>
      </c>
      <c r="P21" s="285">
        <v>0.54600000000000004</v>
      </c>
      <c r="Q21" s="36">
        <v>2.4609999999999999</v>
      </c>
      <c r="R21" s="285">
        <v>0.46100000000000002</v>
      </c>
      <c r="S21" s="286">
        <v>2.633</v>
      </c>
      <c r="T21" s="36">
        <v>0.38</v>
      </c>
      <c r="U21" s="36">
        <v>2.806</v>
      </c>
      <c r="V21" s="285">
        <v>0.307</v>
      </c>
      <c r="W21" s="286">
        <v>2.976</v>
      </c>
      <c r="X21" s="36">
        <v>0.24</v>
      </c>
      <c r="Y21" s="36">
        <v>3.141</v>
      </c>
      <c r="Z21" s="285">
        <v>0.182</v>
      </c>
      <c r="AA21" s="286">
        <v>3.3</v>
      </c>
      <c r="AB21" s="36">
        <v>0.13200000000000001</v>
      </c>
      <c r="AC21" s="36">
        <v>3.448</v>
      </c>
      <c r="AD21" s="285">
        <v>9.0999999999999998E-2</v>
      </c>
      <c r="AE21" s="286">
        <v>3.5830000000000002</v>
      </c>
      <c r="AF21" s="36">
        <v>5.8000000000000003E-2</v>
      </c>
      <c r="AG21" s="36">
        <v>3.7050000000000001</v>
      </c>
      <c r="AH21" s="285"/>
      <c r="AI21" s="286"/>
      <c r="AJ21" s="36"/>
      <c r="AK21" s="36"/>
      <c r="AL21" s="285"/>
      <c r="AM21" s="286"/>
      <c r="AN21" s="36"/>
      <c r="AO21" s="286"/>
    </row>
    <row r="22" spans="1:41" x14ac:dyDescent="0.25">
      <c r="A22" s="260">
        <v>22</v>
      </c>
      <c r="B22" s="285">
        <v>1.2390000000000001</v>
      </c>
      <c r="C22" s="36">
        <v>1.429</v>
      </c>
      <c r="D22" s="285">
        <v>1.147</v>
      </c>
      <c r="E22" s="286">
        <v>1.5409999999999999</v>
      </c>
      <c r="F22" s="36">
        <v>1.0529999999999999</v>
      </c>
      <c r="G22" s="36">
        <v>1.6639999999999999</v>
      </c>
      <c r="H22" s="285">
        <v>0.95799999999999996</v>
      </c>
      <c r="I22" s="286">
        <v>1.7969999999999999</v>
      </c>
      <c r="J22" s="36">
        <v>0.86299999999999999</v>
      </c>
      <c r="K22" s="36">
        <v>1.94</v>
      </c>
      <c r="L22" s="285">
        <v>0.76900000000000002</v>
      </c>
      <c r="M22" s="286">
        <v>2.09</v>
      </c>
      <c r="N22" s="36">
        <v>0.67700000000000005</v>
      </c>
      <c r="O22" s="36">
        <v>2.246</v>
      </c>
      <c r="P22" s="285">
        <v>0.58799999999999997</v>
      </c>
      <c r="Q22" s="36">
        <v>2.407</v>
      </c>
      <c r="R22" s="285">
        <v>0.504</v>
      </c>
      <c r="S22" s="286">
        <v>2.5710000000000002</v>
      </c>
      <c r="T22" s="36">
        <v>0.42399999999999999</v>
      </c>
      <c r="U22" s="36">
        <v>2.7349999999999999</v>
      </c>
      <c r="V22" s="285">
        <v>0.34899999999999998</v>
      </c>
      <c r="W22" s="286">
        <v>2.8969999999999998</v>
      </c>
      <c r="X22" s="36">
        <v>0.28100000000000003</v>
      </c>
      <c r="Y22" s="36">
        <v>3.0569999999999999</v>
      </c>
      <c r="Z22" s="285">
        <v>0.22</v>
      </c>
      <c r="AA22" s="286">
        <v>3.2109999999999999</v>
      </c>
      <c r="AB22" s="36">
        <v>0.16600000000000001</v>
      </c>
      <c r="AC22" s="36">
        <v>3.3580000000000001</v>
      </c>
      <c r="AD22" s="285">
        <v>0.12</v>
      </c>
      <c r="AE22" s="286">
        <v>3.4950000000000001</v>
      </c>
      <c r="AF22" s="36">
        <v>8.3000000000000004E-2</v>
      </c>
      <c r="AG22" s="36">
        <v>3.6190000000000002</v>
      </c>
      <c r="AH22" s="285">
        <v>5.1999999999999998E-2</v>
      </c>
      <c r="AI22" s="286">
        <v>3.7309999999999999</v>
      </c>
      <c r="AJ22" s="36"/>
      <c r="AK22" s="36"/>
      <c r="AL22" s="285"/>
      <c r="AM22" s="286"/>
      <c r="AN22" s="36"/>
      <c r="AO22" s="286"/>
    </row>
    <row r="23" spans="1:41" x14ac:dyDescent="0.25">
      <c r="A23" s="260">
        <v>23</v>
      </c>
      <c r="B23" s="285">
        <v>1.2569999999999999</v>
      </c>
      <c r="C23" s="36">
        <v>1.4370000000000001</v>
      </c>
      <c r="D23" s="285">
        <v>1.1679999999999999</v>
      </c>
      <c r="E23" s="286">
        <v>1.5429999999999999</v>
      </c>
      <c r="F23" s="36">
        <v>1.0780000000000001</v>
      </c>
      <c r="G23" s="36">
        <v>1.66</v>
      </c>
      <c r="H23" s="285">
        <v>0.98599999999999999</v>
      </c>
      <c r="I23" s="286">
        <v>1.7849999999999999</v>
      </c>
      <c r="J23" s="36">
        <v>0.89500000000000002</v>
      </c>
      <c r="K23" s="36">
        <v>1.92</v>
      </c>
      <c r="L23" s="285">
        <v>0.80400000000000005</v>
      </c>
      <c r="M23" s="286">
        <v>2.0609999999999999</v>
      </c>
      <c r="N23" s="36">
        <v>0.71499999999999997</v>
      </c>
      <c r="O23" s="36">
        <v>2.2080000000000002</v>
      </c>
      <c r="P23" s="285">
        <v>0.628</v>
      </c>
      <c r="Q23" s="36">
        <v>2.36</v>
      </c>
      <c r="R23" s="285">
        <v>0.54500000000000004</v>
      </c>
      <c r="S23" s="286">
        <v>2.5139999999999998</v>
      </c>
      <c r="T23" s="36">
        <v>0.46500000000000002</v>
      </c>
      <c r="U23" s="36">
        <v>2.67</v>
      </c>
      <c r="V23" s="285">
        <v>0.39100000000000001</v>
      </c>
      <c r="W23" s="286">
        <v>2.8260000000000001</v>
      </c>
      <c r="X23" s="36">
        <v>0.32200000000000001</v>
      </c>
      <c r="Y23" s="36">
        <v>2.9790000000000001</v>
      </c>
      <c r="Z23" s="285">
        <v>0.25900000000000001</v>
      </c>
      <c r="AA23" s="286">
        <v>3.1280000000000001</v>
      </c>
      <c r="AB23" s="36">
        <v>0.20200000000000001</v>
      </c>
      <c r="AC23" s="36">
        <v>3.2719999999999998</v>
      </c>
      <c r="AD23" s="285">
        <v>0.153</v>
      </c>
      <c r="AE23" s="286">
        <v>3.4089999999999998</v>
      </c>
      <c r="AF23" s="36">
        <v>0.11</v>
      </c>
      <c r="AG23" s="36">
        <v>3.5350000000000001</v>
      </c>
      <c r="AH23" s="285">
        <v>7.5999999999999998E-2</v>
      </c>
      <c r="AI23" s="286">
        <v>3.65</v>
      </c>
      <c r="AJ23" s="36">
        <v>4.8000000000000001E-2</v>
      </c>
      <c r="AK23" s="36">
        <v>3.7530000000000001</v>
      </c>
      <c r="AL23" s="285"/>
      <c r="AM23" s="286"/>
      <c r="AN23" s="36"/>
      <c r="AO23" s="286"/>
    </row>
    <row r="24" spans="1:41" x14ac:dyDescent="0.25">
      <c r="A24" s="260">
        <v>24</v>
      </c>
      <c r="B24" s="285">
        <v>1.2729999999999999</v>
      </c>
      <c r="C24" s="36">
        <v>1.446</v>
      </c>
      <c r="D24" s="285">
        <v>1.1879999999999999</v>
      </c>
      <c r="E24" s="286">
        <v>1.546</v>
      </c>
      <c r="F24" s="36">
        <v>1.101</v>
      </c>
      <c r="G24" s="36">
        <v>1.6559999999999999</v>
      </c>
      <c r="H24" s="285">
        <v>1.0129999999999999</v>
      </c>
      <c r="I24" s="286">
        <v>1.7749999999999999</v>
      </c>
      <c r="J24" s="36">
        <v>0.92500000000000004</v>
      </c>
      <c r="K24" s="36">
        <v>1.9019999999999999</v>
      </c>
      <c r="L24" s="285">
        <v>0.83699999999999997</v>
      </c>
      <c r="M24" s="286">
        <v>2.0350000000000001</v>
      </c>
      <c r="N24" s="36">
        <v>0.75</v>
      </c>
      <c r="O24" s="36">
        <v>2.1739999999999999</v>
      </c>
      <c r="P24" s="285">
        <v>0.66600000000000004</v>
      </c>
      <c r="Q24" s="36">
        <v>2.3180000000000001</v>
      </c>
      <c r="R24" s="285">
        <v>0.58399999999999996</v>
      </c>
      <c r="S24" s="286">
        <v>2.464</v>
      </c>
      <c r="T24" s="36">
        <v>0.50600000000000001</v>
      </c>
      <c r="U24" s="36">
        <v>2.613</v>
      </c>
      <c r="V24" s="285">
        <v>0.43099999999999999</v>
      </c>
      <c r="W24" s="286">
        <v>2.7610000000000001</v>
      </c>
      <c r="X24" s="36">
        <v>0.36199999999999999</v>
      </c>
      <c r="Y24" s="36">
        <v>2.9079999999999999</v>
      </c>
      <c r="Z24" s="285">
        <v>0.29699999999999999</v>
      </c>
      <c r="AA24" s="286">
        <v>3.0529999999999999</v>
      </c>
      <c r="AB24" s="36">
        <v>0.23899999999999999</v>
      </c>
      <c r="AC24" s="36">
        <v>3.1930000000000001</v>
      </c>
      <c r="AD24" s="285">
        <v>0.186</v>
      </c>
      <c r="AE24" s="286">
        <v>3.327</v>
      </c>
      <c r="AF24" s="36">
        <v>0.14099999999999999</v>
      </c>
      <c r="AG24" s="36">
        <v>3.4540000000000002</v>
      </c>
      <c r="AH24" s="285">
        <v>0.10100000000000001</v>
      </c>
      <c r="AI24" s="286">
        <v>3.5720000000000001</v>
      </c>
      <c r="AJ24" s="36">
        <v>7.0000000000000007E-2</v>
      </c>
      <c r="AK24" s="36">
        <v>3.6779999999999999</v>
      </c>
      <c r="AL24" s="285">
        <v>4.3999999999999997E-2</v>
      </c>
      <c r="AM24" s="286">
        <v>3.7730000000000001</v>
      </c>
      <c r="AN24" s="36"/>
      <c r="AO24" s="286"/>
    </row>
    <row r="25" spans="1:41" x14ac:dyDescent="0.25">
      <c r="A25" s="260">
        <v>25</v>
      </c>
      <c r="B25" s="285">
        <v>1.288</v>
      </c>
      <c r="C25" s="36">
        <v>1.454</v>
      </c>
      <c r="D25" s="285">
        <v>1.206</v>
      </c>
      <c r="E25" s="286">
        <v>1.55</v>
      </c>
      <c r="F25" s="36">
        <v>1.123</v>
      </c>
      <c r="G25" s="36">
        <v>1.6539999999999999</v>
      </c>
      <c r="H25" s="285">
        <v>1.038</v>
      </c>
      <c r="I25" s="286">
        <v>1.7669999999999999</v>
      </c>
      <c r="J25" s="36">
        <v>0.95299999999999996</v>
      </c>
      <c r="K25" s="36">
        <v>1.8859999999999999</v>
      </c>
      <c r="L25" s="285">
        <v>0.86799999999999999</v>
      </c>
      <c r="M25" s="286">
        <v>2.0129999999999999</v>
      </c>
      <c r="N25" s="36">
        <v>0.78400000000000003</v>
      </c>
      <c r="O25" s="36">
        <v>2.1440000000000001</v>
      </c>
      <c r="P25" s="285">
        <v>0.70199999999999996</v>
      </c>
      <c r="Q25" s="36">
        <v>2.2799999999999998</v>
      </c>
      <c r="R25" s="285">
        <v>0.621</v>
      </c>
      <c r="S25" s="286">
        <v>2.419</v>
      </c>
      <c r="T25" s="36">
        <v>0.54400000000000004</v>
      </c>
      <c r="U25" s="36">
        <v>2.56</v>
      </c>
      <c r="V25" s="285">
        <v>0.47</v>
      </c>
      <c r="W25" s="286">
        <v>2.702</v>
      </c>
      <c r="X25" s="36">
        <v>0.4</v>
      </c>
      <c r="Y25" s="36">
        <v>2.8439999999999999</v>
      </c>
      <c r="Z25" s="285">
        <v>0.33500000000000002</v>
      </c>
      <c r="AA25" s="286">
        <v>2.9830000000000001</v>
      </c>
      <c r="AB25" s="36">
        <v>0.27500000000000002</v>
      </c>
      <c r="AC25" s="36">
        <v>3.1190000000000002</v>
      </c>
      <c r="AD25" s="285">
        <v>0.221</v>
      </c>
      <c r="AE25" s="286">
        <v>3.2509999999999999</v>
      </c>
      <c r="AF25" s="36">
        <v>0.17199999999999999</v>
      </c>
      <c r="AG25" s="36">
        <v>3.3759999999999999</v>
      </c>
      <c r="AH25" s="285">
        <v>0.13</v>
      </c>
      <c r="AI25" s="286">
        <v>3.4940000000000002</v>
      </c>
      <c r="AJ25" s="36">
        <v>9.4E-2</v>
      </c>
      <c r="AK25" s="36">
        <v>3.6040000000000001</v>
      </c>
      <c r="AL25" s="285">
        <v>6.5000000000000002E-2</v>
      </c>
      <c r="AM25" s="286">
        <v>3.702</v>
      </c>
      <c r="AN25" s="36">
        <v>4.1000000000000002E-2</v>
      </c>
      <c r="AO25" s="286">
        <v>3.79</v>
      </c>
    </row>
    <row r="26" spans="1:41" x14ac:dyDescent="0.25">
      <c r="A26" s="260">
        <v>26</v>
      </c>
      <c r="B26" s="285">
        <v>1.302</v>
      </c>
      <c r="C26" s="36">
        <v>1.4610000000000001</v>
      </c>
      <c r="D26" s="285">
        <v>1.224</v>
      </c>
      <c r="E26" s="286">
        <v>1.5529999999999999</v>
      </c>
      <c r="F26" s="36">
        <v>1.143</v>
      </c>
      <c r="G26" s="36">
        <v>1.6519999999999999</v>
      </c>
      <c r="H26" s="285">
        <v>1.0620000000000001</v>
      </c>
      <c r="I26" s="286">
        <v>1.7589999999999999</v>
      </c>
      <c r="J26" s="36">
        <v>0.97899999999999998</v>
      </c>
      <c r="K26" s="36">
        <v>1.873</v>
      </c>
      <c r="L26" s="285">
        <v>0.89700000000000002</v>
      </c>
      <c r="M26" s="286">
        <v>1.992</v>
      </c>
      <c r="N26" s="36">
        <v>0.81599999999999995</v>
      </c>
      <c r="O26" s="36">
        <v>2.117</v>
      </c>
      <c r="P26" s="285">
        <v>0.73499999999999999</v>
      </c>
      <c r="Q26" s="36">
        <v>2.246</v>
      </c>
      <c r="R26" s="285">
        <v>0.65700000000000003</v>
      </c>
      <c r="S26" s="286">
        <v>2.379</v>
      </c>
      <c r="T26" s="36">
        <v>0.58099999999999996</v>
      </c>
      <c r="U26" s="36">
        <v>2.5129999999999999</v>
      </c>
      <c r="V26" s="285">
        <v>0.50800000000000001</v>
      </c>
      <c r="W26" s="286">
        <v>2.649</v>
      </c>
      <c r="X26" s="36">
        <v>0.438</v>
      </c>
      <c r="Y26" s="36">
        <v>2.7839999999999998</v>
      </c>
      <c r="Z26" s="285">
        <v>0.373</v>
      </c>
      <c r="AA26" s="286">
        <v>2.919</v>
      </c>
      <c r="AB26" s="36">
        <v>0.312</v>
      </c>
      <c r="AC26" s="36">
        <v>3.0510000000000002</v>
      </c>
      <c r="AD26" s="285">
        <v>0.25600000000000001</v>
      </c>
      <c r="AE26" s="286">
        <v>3.1789999999999998</v>
      </c>
      <c r="AF26" s="36">
        <v>0.20499999999999999</v>
      </c>
      <c r="AG26" s="36">
        <v>3.3029999999999999</v>
      </c>
      <c r="AH26" s="285">
        <v>0.16</v>
      </c>
      <c r="AI26" s="286">
        <v>3.42</v>
      </c>
      <c r="AJ26" s="36">
        <v>0.12</v>
      </c>
      <c r="AK26" s="36">
        <v>3.5310000000000001</v>
      </c>
      <c r="AL26" s="285">
        <v>8.6999999999999994E-2</v>
      </c>
      <c r="AM26" s="286">
        <v>3.6320000000000001</v>
      </c>
      <c r="AN26" s="36">
        <v>0.06</v>
      </c>
      <c r="AO26" s="286">
        <v>3.7240000000000002</v>
      </c>
    </row>
    <row r="27" spans="1:41" x14ac:dyDescent="0.25">
      <c r="A27" s="260">
        <v>27</v>
      </c>
      <c r="B27" s="285">
        <v>1.3160000000000001</v>
      </c>
      <c r="C27" s="36">
        <v>1.4690000000000001</v>
      </c>
      <c r="D27" s="285">
        <v>1.24</v>
      </c>
      <c r="E27" s="286">
        <v>1.556</v>
      </c>
      <c r="F27" s="36">
        <v>1.1619999999999999</v>
      </c>
      <c r="G27" s="36">
        <v>1.651</v>
      </c>
      <c r="H27" s="285">
        <v>1.0840000000000001</v>
      </c>
      <c r="I27" s="286">
        <v>1.7529999999999999</v>
      </c>
      <c r="J27" s="36">
        <v>1.004</v>
      </c>
      <c r="K27" s="36">
        <v>1.861</v>
      </c>
      <c r="L27" s="285">
        <v>0.92500000000000004</v>
      </c>
      <c r="M27" s="286">
        <v>1.974</v>
      </c>
      <c r="N27" s="36">
        <v>0.84499999999999997</v>
      </c>
      <c r="O27" s="36">
        <v>2.093</v>
      </c>
      <c r="P27" s="285">
        <v>0.76700000000000002</v>
      </c>
      <c r="Q27" s="36">
        <v>2.2160000000000002</v>
      </c>
      <c r="R27" s="285">
        <v>0.69099999999999995</v>
      </c>
      <c r="S27" s="286">
        <v>2.3420000000000001</v>
      </c>
      <c r="T27" s="36">
        <v>0.61599999999999999</v>
      </c>
      <c r="U27" s="36">
        <v>2.4700000000000002</v>
      </c>
      <c r="V27" s="285">
        <v>0.54400000000000004</v>
      </c>
      <c r="W27" s="286">
        <v>2.6</v>
      </c>
      <c r="X27" s="36">
        <v>0.47499999999999998</v>
      </c>
      <c r="Y27" s="36">
        <v>2.73</v>
      </c>
      <c r="Z27" s="285">
        <v>0.40899999999999997</v>
      </c>
      <c r="AA27" s="286">
        <v>2.859</v>
      </c>
      <c r="AB27" s="36">
        <v>0.34799999999999998</v>
      </c>
      <c r="AC27" s="36">
        <v>2.9870000000000001</v>
      </c>
      <c r="AD27" s="285">
        <v>0.29099999999999998</v>
      </c>
      <c r="AE27" s="286">
        <v>3.1120000000000001</v>
      </c>
      <c r="AF27" s="36">
        <v>0.23799999999999999</v>
      </c>
      <c r="AG27" s="36">
        <v>3.2330000000000001</v>
      </c>
      <c r="AH27" s="285">
        <v>0.191</v>
      </c>
      <c r="AI27" s="286">
        <v>3.3490000000000002</v>
      </c>
      <c r="AJ27" s="36">
        <v>0.14899999999999999</v>
      </c>
      <c r="AK27" s="36">
        <v>3.46</v>
      </c>
      <c r="AL27" s="285">
        <v>0.112</v>
      </c>
      <c r="AM27" s="286">
        <v>3.5630000000000002</v>
      </c>
      <c r="AN27" s="36">
        <v>8.1000000000000003E-2</v>
      </c>
      <c r="AO27" s="286">
        <v>3.6579999999999999</v>
      </c>
    </row>
    <row r="28" spans="1:41" x14ac:dyDescent="0.25">
      <c r="A28" s="260">
        <v>28</v>
      </c>
      <c r="B28" s="285">
        <v>1.3280000000000001</v>
      </c>
      <c r="C28" s="36">
        <v>1.476</v>
      </c>
      <c r="D28" s="285">
        <v>1.2549999999999999</v>
      </c>
      <c r="E28" s="286">
        <v>1.56</v>
      </c>
      <c r="F28" s="36">
        <v>1.181</v>
      </c>
      <c r="G28" s="36">
        <v>1.65</v>
      </c>
      <c r="H28" s="285">
        <v>1.1040000000000001</v>
      </c>
      <c r="I28" s="286">
        <v>1.7470000000000001</v>
      </c>
      <c r="J28" s="36">
        <v>1.028</v>
      </c>
      <c r="K28" s="36">
        <v>1.85</v>
      </c>
      <c r="L28" s="285">
        <v>0.95099999999999996</v>
      </c>
      <c r="M28" s="286">
        <v>1.9590000000000001</v>
      </c>
      <c r="N28" s="36">
        <v>0.874</v>
      </c>
      <c r="O28" s="36">
        <v>2.0710000000000002</v>
      </c>
      <c r="P28" s="285">
        <v>0.79800000000000004</v>
      </c>
      <c r="Q28" s="36">
        <v>2.1880000000000002</v>
      </c>
      <c r="R28" s="285">
        <v>0.72299999999999998</v>
      </c>
      <c r="S28" s="286">
        <v>2.3090000000000002</v>
      </c>
      <c r="T28" s="36">
        <v>0.64900000000000002</v>
      </c>
      <c r="U28" s="36">
        <v>2.431</v>
      </c>
      <c r="V28" s="285">
        <v>0.57799999999999996</v>
      </c>
      <c r="W28" s="286">
        <v>2.5550000000000002</v>
      </c>
      <c r="X28" s="36">
        <v>0.51</v>
      </c>
      <c r="Y28" s="36">
        <v>2.68</v>
      </c>
      <c r="Z28" s="285">
        <v>0.44500000000000001</v>
      </c>
      <c r="AA28" s="286">
        <v>2.8050000000000002</v>
      </c>
      <c r="AB28" s="36">
        <v>0.38300000000000001</v>
      </c>
      <c r="AC28" s="36">
        <v>2.9279999999999999</v>
      </c>
      <c r="AD28" s="285">
        <v>0.32500000000000001</v>
      </c>
      <c r="AE28" s="286">
        <v>3.05</v>
      </c>
      <c r="AF28" s="36">
        <v>0.27100000000000002</v>
      </c>
      <c r="AG28" s="36">
        <v>3.1680000000000001</v>
      </c>
      <c r="AH28" s="285">
        <v>0.222</v>
      </c>
      <c r="AI28" s="286">
        <v>3.2829999999999999</v>
      </c>
      <c r="AJ28" s="36">
        <v>0.17799999999999999</v>
      </c>
      <c r="AK28" s="36">
        <v>3.3919999999999999</v>
      </c>
      <c r="AL28" s="285">
        <v>0.13800000000000001</v>
      </c>
      <c r="AM28" s="286">
        <v>3.4950000000000001</v>
      </c>
      <c r="AN28" s="36">
        <v>0.104</v>
      </c>
      <c r="AO28" s="286">
        <v>3.5920000000000001</v>
      </c>
    </row>
    <row r="29" spans="1:41" x14ac:dyDescent="0.25">
      <c r="A29" s="260">
        <v>29</v>
      </c>
      <c r="B29" s="285">
        <v>1.341</v>
      </c>
      <c r="C29" s="36">
        <v>1.4830000000000001</v>
      </c>
      <c r="D29" s="285">
        <v>1.27</v>
      </c>
      <c r="E29" s="286">
        <v>1.5629999999999999</v>
      </c>
      <c r="F29" s="36">
        <v>1.198</v>
      </c>
      <c r="G29" s="36">
        <v>1.65</v>
      </c>
      <c r="H29" s="285">
        <v>1.1240000000000001</v>
      </c>
      <c r="I29" s="286">
        <v>1.7430000000000001</v>
      </c>
      <c r="J29" s="36">
        <v>1.05</v>
      </c>
      <c r="K29" s="36">
        <v>1.841</v>
      </c>
      <c r="L29" s="285">
        <v>0.97499999999999998</v>
      </c>
      <c r="M29" s="286">
        <v>1.944</v>
      </c>
      <c r="N29" s="36">
        <v>0.9</v>
      </c>
      <c r="O29" s="36">
        <v>2.052</v>
      </c>
      <c r="P29" s="285">
        <v>0.82599999999999996</v>
      </c>
      <c r="Q29" s="36">
        <v>2.1640000000000001</v>
      </c>
      <c r="R29" s="285">
        <v>0.753</v>
      </c>
      <c r="S29" s="286">
        <v>2.278</v>
      </c>
      <c r="T29" s="36">
        <v>0.68100000000000005</v>
      </c>
      <c r="U29" s="36">
        <v>2.3959999999999999</v>
      </c>
      <c r="V29" s="285">
        <v>0.61199999999999999</v>
      </c>
      <c r="W29" s="286">
        <v>2.5150000000000001</v>
      </c>
      <c r="X29" s="36">
        <v>0.54400000000000004</v>
      </c>
      <c r="Y29" s="36">
        <v>2.6339999999999999</v>
      </c>
      <c r="Z29" s="285">
        <v>0.47899999999999998</v>
      </c>
      <c r="AA29" s="286">
        <v>2.7549999999999999</v>
      </c>
      <c r="AB29" s="36">
        <v>0.41799999999999998</v>
      </c>
      <c r="AC29" s="36">
        <v>2.8740000000000001</v>
      </c>
      <c r="AD29" s="285">
        <v>0.35899999999999999</v>
      </c>
      <c r="AE29" s="286">
        <v>2.992</v>
      </c>
      <c r="AF29" s="36">
        <v>0.30499999999999999</v>
      </c>
      <c r="AG29" s="36">
        <v>3.1070000000000002</v>
      </c>
      <c r="AH29" s="285">
        <v>0.254</v>
      </c>
      <c r="AI29" s="286">
        <v>3.2189999999999999</v>
      </c>
      <c r="AJ29" s="36">
        <v>0.20799999999999999</v>
      </c>
      <c r="AK29" s="36">
        <v>3.327</v>
      </c>
      <c r="AL29" s="285">
        <v>0.16600000000000001</v>
      </c>
      <c r="AM29" s="286">
        <v>3.431</v>
      </c>
      <c r="AN29" s="36">
        <v>0.129</v>
      </c>
      <c r="AO29" s="286">
        <v>3.528</v>
      </c>
    </row>
    <row r="30" spans="1:41" x14ac:dyDescent="0.25">
      <c r="A30" s="260">
        <v>30</v>
      </c>
      <c r="B30" s="285">
        <v>1.3520000000000001</v>
      </c>
      <c r="C30" s="36">
        <v>1.4890000000000001</v>
      </c>
      <c r="D30" s="285">
        <v>1.284</v>
      </c>
      <c r="E30" s="286">
        <v>1.5669999999999999</v>
      </c>
      <c r="F30" s="36">
        <v>1.214</v>
      </c>
      <c r="G30" s="36">
        <v>1.65</v>
      </c>
      <c r="H30" s="285">
        <v>1.143</v>
      </c>
      <c r="I30" s="286">
        <v>1.7390000000000001</v>
      </c>
      <c r="J30" s="36">
        <v>1.071</v>
      </c>
      <c r="K30" s="36">
        <v>1.833</v>
      </c>
      <c r="L30" s="285">
        <v>0.998</v>
      </c>
      <c r="M30" s="286">
        <v>1.931</v>
      </c>
      <c r="N30" s="36">
        <v>0.92600000000000005</v>
      </c>
      <c r="O30" s="36">
        <v>2.0339999999999998</v>
      </c>
      <c r="P30" s="285">
        <v>0.85399999999999998</v>
      </c>
      <c r="Q30" s="36">
        <v>2.141</v>
      </c>
      <c r="R30" s="285">
        <v>0.78200000000000003</v>
      </c>
      <c r="S30" s="286">
        <v>2.2509999999999999</v>
      </c>
      <c r="T30" s="36">
        <v>0.71199999999999997</v>
      </c>
      <c r="U30" s="36">
        <v>2.363</v>
      </c>
      <c r="V30" s="285">
        <v>0.64300000000000002</v>
      </c>
      <c r="W30" s="286">
        <v>2.4769999999999999</v>
      </c>
      <c r="X30" s="36">
        <v>0.57699999999999996</v>
      </c>
      <c r="Y30" s="36">
        <v>2.5920000000000001</v>
      </c>
      <c r="Z30" s="285">
        <v>0.51200000000000001</v>
      </c>
      <c r="AA30" s="286">
        <v>2.7080000000000002</v>
      </c>
      <c r="AB30" s="36">
        <v>0.45100000000000001</v>
      </c>
      <c r="AC30" s="36">
        <v>2.823</v>
      </c>
      <c r="AD30" s="285">
        <v>0.39200000000000002</v>
      </c>
      <c r="AE30" s="286">
        <v>2.9369999999999998</v>
      </c>
      <c r="AF30" s="36">
        <v>0.33700000000000002</v>
      </c>
      <c r="AG30" s="36">
        <v>3.05</v>
      </c>
      <c r="AH30" s="285">
        <v>0.28599999999999998</v>
      </c>
      <c r="AI30" s="286">
        <v>3.16</v>
      </c>
      <c r="AJ30" s="36">
        <v>0.23799999999999999</v>
      </c>
      <c r="AK30" s="36">
        <v>3.266</v>
      </c>
      <c r="AL30" s="285">
        <v>0.19500000000000001</v>
      </c>
      <c r="AM30" s="286">
        <v>3.3679999999999999</v>
      </c>
      <c r="AN30" s="36">
        <v>0.156</v>
      </c>
      <c r="AO30" s="286">
        <v>3.4649999999999999</v>
      </c>
    </row>
    <row r="31" spans="1:41" x14ac:dyDescent="0.25">
      <c r="A31" s="260">
        <v>31</v>
      </c>
      <c r="B31" s="285">
        <v>1.363</v>
      </c>
      <c r="C31" s="36">
        <v>1.496</v>
      </c>
      <c r="D31" s="285">
        <v>1.2969999999999999</v>
      </c>
      <c r="E31" s="286">
        <v>1.57</v>
      </c>
      <c r="F31" s="36">
        <v>1.2290000000000001</v>
      </c>
      <c r="G31" s="36">
        <v>1.65</v>
      </c>
      <c r="H31" s="285">
        <v>1.1599999999999999</v>
      </c>
      <c r="I31" s="286">
        <v>1.7350000000000001</v>
      </c>
      <c r="J31" s="36">
        <v>1.0900000000000001</v>
      </c>
      <c r="K31" s="36">
        <v>1.825</v>
      </c>
      <c r="L31" s="285">
        <v>1.02</v>
      </c>
      <c r="M31" s="286">
        <v>1.92</v>
      </c>
      <c r="N31" s="36">
        <v>0.95</v>
      </c>
      <c r="O31" s="36">
        <v>2.0179999999999998</v>
      </c>
      <c r="P31" s="285">
        <v>0.879</v>
      </c>
      <c r="Q31" s="36">
        <v>2.12</v>
      </c>
      <c r="R31" s="285">
        <v>0.81</v>
      </c>
      <c r="S31" s="286">
        <v>2.226</v>
      </c>
      <c r="T31" s="36">
        <v>0.74099999999999999</v>
      </c>
      <c r="U31" s="36">
        <v>2.3330000000000002</v>
      </c>
      <c r="V31" s="285">
        <v>0.67400000000000004</v>
      </c>
      <c r="W31" s="286">
        <v>2.4430000000000001</v>
      </c>
      <c r="X31" s="36">
        <v>0.60799999999999998</v>
      </c>
      <c r="Y31" s="36">
        <v>2.5529999999999999</v>
      </c>
      <c r="Z31" s="285">
        <v>0.54500000000000004</v>
      </c>
      <c r="AA31" s="286">
        <v>2.665</v>
      </c>
      <c r="AB31" s="36">
        <v>0.48399999999999999</v>
      </c>
      <c r="AC31" s="36">
        <v>2.7759999999999998</v>
      </c>
      <c r="AD31" s="285">
        <v>0.42499999999999999</v>
      </c>
      <c r="AE31" s="286">
        <v>2.887</v>
      </c>
      <c r="AF31" s="36">
        <v>0.37</v>
      </c>
      <c r="AG31" s="36">
        <v>2.996</v>
      </c>
      <c r="AH31" s="285">
        <v>0.317</v>
      </c>
      <c r="AI31" s="286">
        <v>3.1030000000000002</v>
      </c>
      <c r="AJ31" s="36">
        <v>0.26900000000000002</v>
      </c>
      <c r="AK31" s="36">
        <v>3.2080000000000002</v>
      </c>
      <c r="AL31" s="285">
        <v>0.224</v>
      </c>
      <c r="AM31" s="286">
        <v>3.3090000000000002</v>
      </c>
      <c r="AN31" s="36">
        <v>0.183</v>
      </c>
      <c r="AO31" s="286">
        <v>3.4060000000000001</v>
      </c>
    </row>
    <row r="32" spans="1:41" x14ac:dyDescent="0.25">
      <c r="A32" s="260">
        <v>32</v>
      </c>
      <c r="B32" s="285">
        <v>1.373</v>
      </c>
      <c r="C32" s="36">
        <v>1.502</v>
      </c>
      <c r="D32" s="285">
        <v>1.3089999999999999</v>
      </c>
      <c r="E32" s="286">
        <v>1.5740000000000001</v>
      </c>
      <c r="F32" s="36">
        <v>1.244</v>
      </c>
      <c r="G32" s="36">
        <v>1.65</v>
      </c>
      <c r="H32" s="285">
        <v>1.177</v>
      </c>
      <c r="I32" s="286">
        <v>1.732</v>
      </c>
      <c r="J32" s="36">
        <v>1.109</v>
      </c>
      <c r="K32" s="36">
        <v>1.819</v>
      </c>
      <c r="L32" s="285">
        <v>1.0409999999999999</v>
      </c>
      <c r="M32" s="286">
        <v>1.909</v>
      </c>
      <c r="N32" s="36">
        <v>0.97199999999999998</v>
      </c>
      <c r="O32" s="36">
        <v>2.004</v>
      </c>
      <c r="P32" s="285">
        <v>0.90400000000000003</v>
      </c>
      <c r="Q32" s="36">
        <v>2.1019999999999999</v>
      </c>
      <c r="R32" s="285">
        <v>0.83599999999999997</v>
      </c>
      <c r="S32" s="286">
        <v>2.2029999999999998</v>
      </c>
      <c r="T32" s="36">
        <v>0.76900000000000002</v>
      </c>
      <c r="U32" s="36">
        <v>2.306</v>
      </c>
      <c r="V32" s="285">
        <v>0.70299999999999996</v>
      </c>
      <c r="W32" s="286">
        <v>2.411</v>
      </c>
      <c r="X32" s="36">
        <v>0.63800000000000001</v>
      </c>
      <c r="Y32" s="36">
        <v>2.5169999999999999</v>
      </c>
      <c r="Z32" s="285">
        <v>0.57599999999999996</v>
      </c>
      <c r="AA32" s="286">
        <v>2.625</v>
      </c>
      <c r="AB32" s="36">
        <v>0.51500000000000001</v>
      </c>
      <c r="AC32" s="36">
        <v>2.7330000000000001</v>
      </c>
      <c r="AD32" s="285">
        <v>0.45700000000000002</v>
      </c>
      <c r="AE32" s="286">
        <v>2.84</v>
      </c>
      <c r="AF32" s="36">
        <v>0.40100000000000002</v>
      </c>
      <c r="AG32" s="36">
        <v>2.9460000000000002</v>
      </c>
      <c r="AH32" s="285">
        <v>0.34899999999999998</v>
      </c>
      <c r="AI32" s="286">
        <v>3.05</v>
      </c>
      <c r="AJ32" s="36">
        <v>0.29899999999999999</v>
      </c>
      <c r="AK32" s="36">
        <v>3.153</v>
      </c>
      <c r="AL32" s="285">
        <v>0.253</v>
      </c>
      <c r="AM32" s="286">
        <v>3.2519999999999998</v>
      </c>
      <c r="AN32" s="36">
        <v>0.21099999999999999</v>
      </c>
      <c r="AO32" s="286">
        <v>3.3479999999999999</v>
      </c>
    </row>
    <row r="33" spans="1:41" x14ac:dyDescent="0.25">
      <c r="A33" s="260">
        <v>33</v>
      </c>
      <c r="B33" s="285">
        <v>1.383</v>
      </c>
      <c r="C33" s="36">
        <v>1.508</v>
      </c>
      <c r="D33" s="285">
        <v>1.321</v>
      </c>
      <c r="E33" s="286">
        <v>1.577</v>
      </c>
      <c r="F33" s="36">
        <v>1.258</v>
      </c>
      <c r="G33" s="36">
        <v>1.651</v>
      </c>
      <c r="H33" s="285">
        <v>1.1930000000000001</v>
      </c>
      <c r="I33" s="286">
        <v>1.73</v>
      </c>
      <c r="J33" s="36">
        <v>1.127</v>
      </c>
      <c r="K33" s="36">
        <v>1.8129999999999999</v>
      </c>
      <c r="L33" s="285">
        <v>1.0609999999999999</v>
      </c>
      <c r="M33" s="286">
        <v>1.9</v>
      </c>
      <c r="N33" s="36">
        <v>0.99399999999999999</v>
      </c>
      <c r="O33" s="36">
        <v>1.9910000000000001</v>
      </c>
      <c r="P33" s="285">
        <v>0.92700000000000005</v>
      </c>
      <c r="Q33" s="36">
        <v>2.085</v>
      </c>
      <c r="R33" s="285">
        <v>0.86099999999999999</v>
      </c>
      <c r="S33" s="286">
        <v>2.181</v>
      </c>
      <c r="T33" s="36">
        <v>0.79600000000000004</v>
      </c>
      <c r="U33" s="36">
        <v>2.2810000000000001</v>
      </c>
      <c r="V33" s="285">
        <v>0.73099999999999998</v>
      </c>
      <c r="W33" s="286">
        <v>2.3820000000000001</v>
      </c>
      <c r="X33" s="36">
        <v>0.66800000000000004</v>
      </c>
      <c r="Y33" s="36">
        <v>2.484</v>
      </c>
      <c r="Z33" s="285">
        <v>0.60599999999999998</v>
      </c>
      <c r="AA33" s="286">
        <v>2.5880000000000001</v>
      </c>
      <c r="AB33" s="36">
        <v>0.54600000000000004</v>
      </c>
      <c r="AC33" s="36">
        <v>2.6920000000000002</v>
      </c>
      <c r="AD33" s="285">
        <v>0.48799999999999999</v>
      </c>
      <c r="AE33" s="286">
        <v>2.7959999999999998</v>
      </c>
      <c r="AF33" s="36">
        <v>0.432</v>
      </c>
      <c r="AG33" s="36">
        <v>2.899</v>
      </c>
      <c r="AH33" s="285">
        <v>0.379</v>
      </c>
      <c r="AI33" s="286">
        <v>3</v>
      </c>
      <c r="AJ33" s="36">
        <v>0.32900000000000001</v>
      </c>
      <c r="AK33" s="36">
        <v>3.1</v>
      </c>
      <c r="AL33" s="285">
        <v>0.28299999999999997</v>
      </c>
      <c r="AM33" s="286">
        <v>3.198</v>
      </c>
      <c r="AN33" s="36">
        <v>0.23899999999999999</v>
      </c>
      <c r="AO33" s="286">
        <v>3.2930000000000001</v>
      </c>
    </row>
    <row r="34" spans="1:41" x14ac:dyDescent="0.25">
      <c r="A34" s="260">
        <v>34</v>
      </c>
      <c r="B34" s="285">
        <v>1.393</v>
      </c>
      <c r="C34" s="36">
        <v>1.514</v>
      </c>
      <c r="D34" s="285">
        <v>1.333</v>
      </c>
      <c r="E34" s="286">
        <v>1.58</v>
      </c>
      <c r="F34" s="36">
        <v>1.2709999999999999</v>
      </c>
      <c r="G34" s="36">
        <v>1.6519999999999999</v>
      </c>
      <c r="H34" s="285">
        <v>1.208</v>
      </c>
      <c r="I34" s="286">
        <v>1.728</v>
      </c>
      <c r="J34" s="36">
        <v>1.1439999999999999</v>
      </c>
      <c r="K34" s="36">
        <v>1.8080000000000001</v>
      </c>
      <c r="L34" s="285">
        <v>1.079</v>
      </c>
      <c r="M34" s="286">
        <v>1.891</v>
      </c>
      <c r="N34" s="36">
        <v>1.0149999999999999</v>
      </c>
      <c r="O34" s="36">
        <v>1.978</v>
      </c>
      <c r="P34" s="285">
        <v>0.95</v>
      </c>
      <c r="Q34" s="36">
        <v>2.069</v>
      </c>
      <c r="R34" s="285">
        <v>0.88500000000000001</v>
      </c>
      <c r="S34" s="286">
        <v>2.1619999999999999</v>
      </c>
      <c r="T34" s="36">
        <v>0.82099999999999995</v>
      </c>
      <c r="U34" s="36">
        <v>2.2570000000000001</v>
      </c>
      <c r="V34" s="285">
        <v>0.75800000000000001</v>
      </c>
      <c r="W34" s="286">
        <v>2.355</v>
      </c>
      <c r="X34" s="36">
        <v>0.69499999999999995</v>
      </c>
      <c r="Y34" s="36">
        <v>2.4540000000000002</v>
      </c>
      <c r="Z34" s="285">
        <v>0.63400000000000001</v>
      </c>
      <c r="AA34" s="286">
        <v>2.5539999999999998</v>
      </c>
      <c r="AB34" s="36">
        <v>0.57499999999999996</v>
      </c>
      <c r="AC34" s="36">
        <v>2.6539999999999999</v>
      </c>
      <c r="AD34" s="285">
        <v>0.51800000000000002</v>
      </c>
      <c r="AE34" s="286">
        <v>2.754</v>
      </c>
      <c r="AF34" s="36">
        <v>0.46200000000000002</v>
      </c>
      <c r="AG34" s="36">
        <v>2.8540000000000001</v>
      </c>
      <c r="AH34" s="285">
        <v>0.40899999999999997</v>
      </c>
      <c r="AI34" s="286">
        <v>2.9540000000000002</v>
      </c>
      <c r="AJ34" s="36">
        <v>0.35899999999999999</v>
      </c>
      <c r="AK34" s="36">
        <v>3.0510000000000002</v>
      </c>
      <c r="AL34" s="285">
        <v>0.312</v>
      </c>
      <c r="AM34" s="286">
        <v>3.1469999999999998</v>
      </c>
      <c r="AN34" s="36">
        <v>0.26700000000000002</v>
      </c>
      <c r="AO34" s="286">
        <v>3.24</v>
      </c>
    </row>
    <row r="35" spans="1:41" x14ac:dyDescent="0.25">
      <c r="A35" s="260">
        <v>35</v>
      </c>
      <c r="B35" s="285">
        <v>1.4019999999999999</v>
      </c>
      <c r="C35" s="36">
        <v>1.5189999999999999</v>
      </c>
      <c r="D35" s="285">
        <v>1.343</v>
      </c>
      <c r="E35" s="286">
        <v>1.5840000000000001</v>
      </c>
      <c r="F35" s="36">
        <v>1.2829999999999999</v>
      </c>
      <c r="G35" s="36">
        <v>1.653</v>
      </c>
      <c r="H35" s="285">
        <v>1.222</v>
      </c>
      <c r="I35" s="286">
        <v>1.726</v>
      </c>
      <c r="J35" s="36">
        <v>1.1599999999999999</v>
      </c>
      <c r="K35" s="36">
        <v>1.8029999999999999</v>
      </c>
      <c r="L35" s="285">
        <v>1.097</v>
      </c>
      <c r="M35" s="286">
        <v>1.8839999999999999</v>
      </c>
      <c r="N35" s="36">
        <v>1.034</v>
      </c>
      <c r="O35" s="36">
        <v>1.9670000000000001</v>
      </c>
      <c r="P35" s="285">
        <v>0.97099999999999997</v>
      </c>
      <c r="Q35" s="36">
        <v>2.0539999999999998</v>
      </c>
      <c r="R35" s="285">
        <v>0.90800000000000003</v>
      </c>
      <c r="S35" s="286">
        <v>2.1440000000000001</v>
      </c>
      <c r="T35" s="36">
        <v>0.84499999999999997</v>
      </c>
      <c r="U35" s="36">
        <v>2.2360000000000002</v>
      </c>
      <c r="V35" s="285">
        <v>0.78300000000000003</v>
      </c>
      <c r="W35" s="286">
        <v>2.33</v>
      </c>
      <c r="X35" s="36">
        <v>0.72199999999999998</v>
      </c>
      <c r="Y35" s="36">
        <v>2.4249999999999998</v>
      </c>
      <c r="Z35" s="285">
        <v>0.66200000000000003</v>
      </c>
      <c r="AA35" s="286">
        <v>2.5209999999999999</v>
      </c>
      <c r="AB35" s="36">
        <v>0.60399999999999998</v>
      </c>
      <c r="AC35" s="36">
        <v>2.6190000000000002</v>
      </c>
      <c r="AD35" s="285">
        <v>0.54700000000000004</v>
      </c>
      <c r="AE35" s="286">
        <v>2.7160000000000002</v>
      </c>
      <c r="AF35" s="36">
        <v>0.49199999999999999</v>
      </c>
      <c r="AG35" s="36">
        <v>2.8130000000000002</v>
      </c>
      <c r="AH35" s="285">
        <v>0.439</v>
      </c>
      <c r="AI35" s="286">
        <v>2.91</v>
      </c>
      <c r="AJ35" s="36">
        <v>0.38800000000000001</v>
      </c>
      <c r="AK35" s="36">
        <v>3.0049999999999999</v>
      </c>
      <c r="AL35" s="285">
        <v>0.34</v>
      </c>
      <c r="AM35" s="286">
        <v>3.0990000000000002</v>
      </c>
      <c r="AN35" s="36">
        <v>0.29499999999999998</v>
      </c>
      <c r="AO35" s="286">
        <v>3.19</v>
      </c>
    </row>
    <row r="36" spans="1:41" x14ac:dyDescent="0.25">
      <c r="A36" s="260">
        <v>36</v>
      </c>
      <c r="B36" s="285">
        <v>1.411</v>
      </c>
      <c r="C36" s="36">
        <v>1.5249999999999999</v>
      </c>
      <c r="D36" s="285">
        <v>1.3540000000000001</v>
      </c>
      <c r="E36" s="286">
        <v>1.587</v>
      </c>
      <c r="F36" s="36">
        <v>1.2949999999999999</v>
      </c>
      <c r="G36" s="36">
        <v>1.6539999999999999</v>
      </c>
      <c r="H36" s="285">
        <v>1.236</v>
      </c>
      <c r="I36" s="286">
        <v>1.724</v>
      </c>
      <c r="J36" s="36">
        <v>1.175</v>
      </c>
      <c r="K36" s="36">
        <v>1.7989999999999999</v>
      </c>
      <c r="L36" s="285">
        <v>1.1140000000000001</v>
      </c>
      <c r="M36" s="286">
        <v>1.8759999999999999</v>
      </c>
      <c r="N36" s="36">
        <v>1.0529999999999999</v>
      </c>
      <c r="O36" s="36">
        <v>1.9570000000000001</v>
      </c>
      <c r="P36" s="285">
        <v>0.99099999999999999</v>
      </c>
      <c r="Q36" s="36">
        <v>2.0409999999999999</v>
      </c>
      <c r="R36" s="285">
        <v>0.93</v>
      </c>
      <c r="S36" s="286">
        <v>2.1269999999999998</v>
      </c>
      <c r="T36" s="36">
        <v>0.86799999999999999</v>
      </c>
      <c r="U36" s="36">
        <v>2.2160000000000002</v>
      </c>
      <c r="V36" s="285">
        <v>0.80800000000000005</v>
      </c>
      <c r="W36" s="286">
        <v>2.306</v>
      </c>
      <c r="X36" s="36">
        <v>0.748</v>
      </c>
      <c r="Y36" s="36">
        <v>2.3980000000000001</v>
      </c>
      <c r="Z36" s="285">
        <v>0.68899999999999995</v>
      </c>
      <c r="AA36" s="286">
        <v>2.492</v>
      </c>
      <c r="AB36" s="36">
        <v>0.63100000000000001</v>
      </c>
      <c r="AC36" s="36">
        <v>2.5859999999999999</v>
      </c>
      <c r="AD36" s="285">
        <v>0.57499999999999996</v>
      </c>
      <c r="AE36" s="286">
        <v>2.68</v>
      </c>
      <c r="AF36" s="36">
        <v>0.52</v>
      </c>
      <c r="AG36" s="36">
        <v>2.774</v>
      </c>
      <c r="AH36" s="285">
        <v>0.46700000000000003</v>
      </c>
      <c r="AI36" s="286">
        <v>2.8679999999999999</v>
      </c>
      <c r="AJ36" s="36">
        <v>0.41699999999999998</v>
      </c>
      <c r="AK36" s="36">
        <v>2.9609999999999999</v>
      </c>
      <c r="AL36" s="285">
        <v>0.36899999999999999</v>
      </c>
      <c r="AM36" s="286">
        <v>3.0529999999999999</v>
      </c>
      <c r="AN36" s="36">
        <v>0.32300000000000001</v>
      </c>
      <c r="AO36" s="286">
        <v>3.1419999999999999</v>
      </c>
    </row>
    <row r="37" spans="1:41" x14ac:dyDescent="0.25">
      <c r="A37" s="260">
        <v>37</v>
      </c>
      <c r="B37" s="285">
        <v>1.419</v>
      </c>
      <c r="C37" s="36">
        <v>1.53</v>
      </c>
      <c r="D37" s="285">
        <v>1.3640000000000001</v>
      </c>
      <c r="E37" s="286">
        <v>1.59</v>
      </c>
      <c r="F37" s="36">
        <v>1.3069999999999999</v>
      </c>
      <c r="G37" s="36">
        <v>1.655</v>
      </c>
      <c r="H37" s="285">
        <v>1.2490000000000001</v>
      </c>
      <c r="I37" s="286">
        <v>1.7230000000000001</v>
      </c>
      <c r="J37" s="36">
        <v>1.19</v>
      </c>
      <c r="K37" s="36">
        <v>1.7949999999999999</v>
      </c>
      <c r="L37" s="285">
        <v>1.131</v>
      </c>
      <c r="M37" s="286">
        <v>1.87</v>
      </c>
      <c r="N37" s="36">
        <v>1.071</v>
      </c>
      <c r="O37" s="36">
        <v>1.948</v>
      </c>
      <c r="P37" s="285">
        <v>1.0109999999999999</v>
      </c>
      <c r="Q37" s="36">
        <v>2.0289999999999999</v>
      </c>
      <c r="R37" s="285">
        <v>0.95099999999999996</v>
      </c>
      <c r="S37" s="286">
        <v>2.1120000000000001</v>
      </c>
      <c r="T37" s="36">
        <v>0.89100000000000001</v>
      </c>
      <c r="U37" s="36">
        <v>2.1970000000000001</v>
      </c>
      <c r="V37" s="285">
        <v>0.83099999999999996</v>
      </c>
      <c r="W37" s="286">
        <v>2.2850000000000001</v>
      </c>
      <c r="X37" s="36">
        <v>0.77200000000000002</v>
      </c>
      <c r="Y37" s="36">
        <v>2.3740000000000001</v>
      </c>
      <c r="Z37" s="285">
        <v>0.71399999999999997</v>
      </c>
      <c r="AA37" s="286">
        <v>2.464</v>
      </c>
      <c r="AB37" s="36">
        <v>0.65700000000000003</v>
      </c>
      <c r="AC37" s="36">
        <v>2.5550000000000002</v>
      </c>
      <c r="AD37" s="285">
        <v>0.60199999999999998</v>
      </c>
      <c r="AE37" s="286">
        <v>2.6459999999999999</v>
      </c>
      <c r="AF37" s="36">
        <v>0.54800000000000004</v>
      </c>
      <c r="AG37" s="36">
        <v>2.738</v>
      </c>
      <c r="AH37" s="285">
        <v>0.495</v>
      </c>
      <c r="AI37" s="286">
        <v>2.8290000000000002</v>
      </c>
      <c r="AJ37" s="36">
        <v>0.44500000000000001</v>
      </c>
      <c r="AK37" s="36">
        <v>2.92</v>
      </c>
      <c r="AL37" s="285">
        <v>0.39700000000000002</v>
      </c>
      <c r="AM37" s="286">
        <v>3.0089999999999999</v>
      </c>
      <c r="AN37" s="36">
        <v>0.35099999999999998</v>
      </c>
      <c r="AO37" s="286">
        <v>3.097</v>
      </c>
    </row>
    <row r="38" spans="1:41" x14ac:dyDescent="0.25">
      <c r="A38" s="260">
        <v>38</v>
      </c>
      <c r="B38" s="285">
        <v>1.427</v>
      </c>
      <c r="C38" s="36">
        <v>1.5349999999999999</v>
      </c>
      <c r="D38" s="285">
        <v>1.373</v>
      </c>
      <c r="E38" s="286">
        <v>1.5940000000000001</v>
      </c>
      <c r="F38" s="36">
        <v>1.3180000000000001</v>
      </c>
      <c r="G38" s="36">
        <v>1.6559999999999999</v>
      </c>
      <c r="H38" s="285">
        <v>1.2609999999999999</v>
      </c>
      <c r="I38" s="286">
        <v>1.722</v>
      </c>
      <c r="J38" s="36">
        <v>1.204</v>
      </c>
      <c r="K38" s="36">
        <v>1.792</v>
      </c>
      <c r="L38" s="285">
        <v>1.1459999999999999</v>
      </c>
      <c r="M38" s="286">
        <v>1.8640000000000001</v>
      </c>
      <c r="N38" s="36">
        <v>1.0880000000000001</v>
      </c>
      <c r="O38" s="36">
        <v>1.9390000000000001</v>
      </c>
      <c r="P38" s="285">
        <v>1.0289999999999999</v>
      </c>
      <c r="Q38" s="36">
        <v>2.0169999999999999</v>
      </c>
      <c r="R38" s="285">
        <v>0.97</v>
      </c>
      <c r="S38" s="286">
        <v>2.0979999999999999</v>
      </c>
      <c r="T38" s="36">
        <v>0.91200000000000003</v>
      </c>
      <c r="U38" s="36">
        <v>2.1800000000000002</v>
      </c>
      <c r="V38" s="285">
        <v>0.85399999999999998</v>
      </c>
      <c r="W38" s="286">
        <v>2.2650000000000001</v>
      </c>
      <c r="X38" s="36">
        <v>0.79600000000000004</v>
      </c>
      <c r="Y38" s="36">
        <v>2.351</v>
      </c>
      <c r="Z38" s="285">
        <v>0.73899999999999999</v>
      </c>
      <c r="AA38" s="286">
        <v>2.4380000000000002</v>
      </c>
      <c r="AB38" s="36">
        <v>0.68300000000000005</v>
      </c>
      <c r="AC38" s="36">
        <v>2.5259999999999998</v>
      </c>
      <c r="AD38" s="285">
        <v>0.628</v>
      </c>
      <c r="AE38" s="286">
        <v>2.6139999999999999</v>
      </c>
      <c r="AF38" s="36">
        <v>0.57499999999999996</v>
      </c>
      <c r="AG38" s="36">
        <v>2.7029999999999998</v>
      </c>
      <c r="AH38" s="285">
        <v>0.52200000000000002</v>
      </c>
      <c r="AI38" s="286">
        <v>2.7919999999999998</v>
      </c>
      <c r="AJ38" s="36">
        <v>0.47199999999999998</v>
      </c>
      <c r="AK38" s="36">
        <v>2.88</v>
      </c>
      <c r="AL38" s="285">
        <v>0.42399999999999999</v>
      </c>
      <c r="AM38" s="286">
        <v>2.968</v>
      </c>
      <c r="AN38" s="36">
        <v>0.378</v>
      </c>
      <c r="AO38" s="286">
        <v>3.0539999999999998</v>
      </c>
    </row>
    <row r="39" spans="1:41" x14ac:dyDescent="0.25">
      <c r="A39" s="260">
        <v>39</v>
      </c>
      <c r="B39" s="285">
        <v>1.4350000000000001</v>
      </c>
      <c r="C39" s="36">
        <v>1.54</v>
      </c>
      <c r="D39" s="285">
        <v>1.3819999999999999</v>
      </c>
      <c r="E39" s="286">
        <v>1.597</v>
      </c>
      <c r="F39" s="36">
        <v>1.3280000000000001</v>
      </c>
      <c r="G39" s="36">
        <v>1.6579999999999999</v>
      </c>
      <c r="H39" s="285">
        <v>1.2729999999999999</v>
      </c>
      <c r="I39" s="286">
        <v>1.722</v>
      </c>
      <c r="J39" s="36">
        <v>1.218</v>
      </c>
      <c r="K39" s="36">
        <v>1.7889999999999999</v>
      </c>
      <c r="L39" s="285">
        <v>1.161</v>
      </c>
      <c r="M39" s="286">
        <v>1.859</v>
      </c>
      <c r="N39" s="36">
        <v>1.1040000000000001</v>
      </c>
      <c r="O39" s="36">
        <v>1.9319999999999999</v>
      </c>
      <c r="P39" s="285">
        <v>1.0469999999999999</v>
      </c>
      <c r="Q39" s="36">
        <v>2.0070000000000001</v>
      </c>
      <c r="R39" s="285">
        <v>0.99</v>
      </c>
      <c r="S39" s="286">
        <v>2.085</v>
      </c>
      <c r="T39" s="36">
        <v>0.93200000000000005</v>
      </c>
      <c r="U39" s="36">
        <v>2.1640000000000001</v>
      </c>
      <c r="V39" s="285">
        <v>0.875</v>
      </c>
      <c r="W39" s="286">
        <v>2.246</v>
      </c>
      <c r="X39" s="36">
        <v>0.81899999999999995</v>
      </c>
      <c r="Y39" s="36">
        <v>2.3290000000000002</v>
      </c>
      <c r="Z39" s="285">
        <v>0.76300000000000001</v>
      </c>
      <c r="AA39" s="286">
        <v>2.4129999999999998</v>
      </c>
      <c r="AB39" s="36">
        <v>0.70699999999999996</v>
      </c>
      <c r="AC39" s="36">
        <v>2.4990000000000001</v>
      </c>
      <c r="AD39" s="285">
        <v>0.65300000000000002</v>
      </c>
      <c r="AE39" s="286">
        <v>2.585</v>
      </c>
      <c r="AF39" s="36">
        <v>0.6</v>
      </c>
      <c r="AG39" s="36">
        <v>2.6709999999999998</v>
      </c>
      <c r="AH39" s="285">
        <v>0.54900000000000004</v>
      </c>
      <c r="AI39" s="286">
        <v>2.7570000000000001</v>
      </c>
      <c r="AJ39" s="36">
        <v>0.499</v>
      </c>
      <c r="AK39" s="36">
        <v>2.843</v>
      </c>
      <c r="AL39" s="285">
        <v>0.45100000000000001</v>
      </c>
      <c r="AM39" s="286">
        <v>2.9289999999999998</v>
      </c>
      <c r="AN39" s="36">
        <v>0.40400000000000003</v>
      </c>
      <c r="AO39" s="286">
        <v>3.0129999999999999</v>
      </c>
    </row>
    <row r="40" spans="1:41" x14ac:dyDescent="0.25">
      <c r="A40" s="260">
        <v>40</v>
      </c>
      <c r="B40" s="285">
        <v>1.4419999999999999</v>
      </c>
      <c r="C40" s="36">
        <v>1.544</v>
      </c>
      <c r="D40" s="285">
        <v>1.391</v>
      </c>
      <c r="E40" s="286">
        <v>1.6</v>
      </c>
      <c r="F40" s="36">
        <v>1.3380000000000001</v>
      </c>
      <c r="G40" s="36">
        <v>1.659</v>
      </c>
      <c r="H40" s="285">
        <v>1.2849999999999999</v>
      </c>
      <c r="I40" s="286">
        <v>1.7210000000000001</v>
      </c>
      <c r="J40" s="36">
        <v>1.23</v>
      </c>
      <c r="K40" s="36">
        <v>1.786</v>
      </c>
      <c r="L40" s="285">
        <v>1.175</v>
      </c>
      <c r="M40" s="286">
        <v>1.8540000000000001</v>
      </c>
      <c r="N40" s="36">
        <v>1.1200000000000001</v>
      </c>
      <c r="O40" s="36">
        <v>1.9239999999999999</v>
      </c>
      <c r="P40" s="285">
        <v>1.0640000000000001</v>
      </c>
      <c r="Q40" s="36">
        <v>1.9970000000000001</v>
      </c>
      <c r="R40" s="285">
        <v>1.008</v>
      </c>
      <c r="S40" s="286">
        <v>2.0720000000000001</v>
      </c>
      <c r="T40" s="36">
        <v>0.95199999999999996</v>
      </c>
      <c r="U40" s="36">
        <v>2.149</v>
      </c>
      <c r="V40" s="285">
        <v>0.89600000000000002</v>
      </c>
      <c r="W40" s="286">
        <v>2.2280000000000002</v>
      </c>
      <c r="X40" s="36">
        <v>0.84</v>
      </c>
      <c r="Y40" s="36">
        <v>2.3090000000000002</v>
      </c>
      <c r="Z40" s="285">
        <v>0.78500000000000003</v>
      </c>
      <c r="AA40" s="286">
        <v>2.391</v>
      </c>
      <c r="AB40" s="36">
        <v>0.73099999999999998</v>
      </c>
      <c r="AC40" s="36">
        <v>2.4729999999999999</v>
      </c>
      <c r="AD40" s="285">
        <v>0.67800000000000005</v>
      </c>
      <c r="AE40" s="286">
        <v>2.5569999999999999</v>
      </c>
      <c r="AF40" s="36">
        <v>0.626</v>
      </c>
      <c r="AG40" s="36">
        <v>2.641</v>
      </c>
      <c r="AH40" s="285">
        <v>0.57499999999999996</v>
      </c>
      <c r="AI40" s="286">
        <v>2.7240000000000002</v>
      </c>
      <c r="AJ40" s="36">
        <v>0.52500000000000002</v>
      </c>
      <c r="AK40" s="36">
        <v>2.8079999999999998</v>
      </c>
      <c r="AL40" s="285">
        <v>0.47699999999999998</v>
      </c>
      <c r="AM40" s="286">
        <v>2.8290000000000002</v>
      </c>
      <c r="AN40" s="36">
        <v>0.43</v>
      </c>
      <c r="AO40" s="286">
        <v>2.9740000000000002</v>
      </c>
    </row>
    <row r="41" spans="1:41" x14ac:dyDescent="0.25">
      <c r="A41" s="260">
        <v>45</v>
      </c>
      <c r="B41" s="285">
        <v>1.4750000000000001</v>
      </c>
      <c r="C41" s="36">
        <v>1.5660000000000001</v>
      </c>
      <c r="D41" s="285">
        <v>1.43</v>
      </c>
      <c r="E41" s="286">
        <v>1.615</v>
      </c>
      <c r="F41" s="36">
        <v>1.383</v>
      </c>
      <c r="G41" s="36">
        <v>1.6659999999999999</v>
      </c>
      <c r="H41" s="285">
        <v>1.3360000000000001</v>
      </c>
      <c r="I41" s="286">
        <v>1.72</v>
      </c>
      <c r="J41" s="36">
        <v>1.2869999999999999</v>
      </c>
      <c r="K41" s="36">
        <v>1.776</v>
      </c>
      <c r="L41" s="285">
        <v>1.238</v>
      </c>
      <c r="M41" s="286">
        <v>1.835</v>
      </c>
      <c r="N41" s="36">
        <v>1.1890000000000001</v>
      </c>
      <c r="O41" s="36">
        <v>1.895</v>
      </c>
      <c r="P41" s="285">
        <v>1.139</v>
      </c>
      <c r="Q41" s="36">
        <v>1.958</v>
      </c>
      <c r="R41" s="285">
        <v>1.089</v>
      </c>
      <c r="S41" s="286">
        <v>2.0219999999999998</v>
      </c>
      <c r="T41" s="36">
        <v>1.038</v>
      </c>
      <c r="U41" s="36">
        <v>2.0880000000000001</v>
      </c>
      <c r="V41" s="285">
        <v>0.98799999999999999</v>
      </c>
      <c r="W41" s="286">
        <v>2.1560000000000001</v>
      </c>
      <c r="X41" s="36">
        <v>0.93799999999999994</v>
      </c>
      <c r="Y41" s="36">
        <v>2.2250000000000001</v>
      </c>
      <c r="Z41" s="285">
        <v>0.88700000000000001</v>
      </c>
      <c r="AA41" s="286">
        <v>2.2959999999999998</v>
      </c>
      <c r="AB41" s="36">
        <v>0.83799999999999997</v>
      </c>
      <c r="AC41" s="36">
        <v>2.367</v>
      </c>
      <c r="AD41" s="285">
        <v>0.78800000000000003</v>
      </c>
      <c r="AE41" s="286">
        <v>2.4390000000000001</v>
      </c>
      <c r="AF41" s="36">
        <v>0.74</v>
      </c>
      <c r="AG41" s="36">
        <v>2.512</v>
      </c>
      <c r="AH41" s="285">
        <v>0.69199999999999995</v>
      </c>
      <c r="AI41" s="286">
        <v>2.5859999999999999</v>
      </c>
      <c r="AJ41" s="36">
        <v>0.64400000000000002</v>
      </c>
      <c r="AK41" s="36">
        <v>2.6589999999999998</v>
      </c>
      <c r="AL41" s="285">
        <v>0.59799999999999998</v>
      </c>
      <c r="AM41" s="286">
        <v>2.7330000000000001</v>
      </c>
      <c r="AN41" s="36">
        <v>0.55300000000000005</v>
      </c>
      <c r="AO41" s="286">
        <v>2.8069999999999999</v>
      </c>
    </row>
    <row r="42" spans="1:41" x14ac:dyDescent="0.25">
      <c r="A42" s="260">
        <v>50</v>
      </c>
      <c r="B42" s="285">
        <v>1.5029999999999999</v>
      </c>
      <c r="C42" s="36">
        <v>1.585</v>
      </c>
      <c r="D42" s="285">
        <v>1.462</v>
      </c>
      <c r="E42" s="286">
        <v>1.6279999999999999</v>
      </c>
      <c r="F42" s="36">
        <v>1.421</v>
      </c>
      <c r="G42" s="36">
        <v>1.6739999999999999</v>
      </c>
      <c r="H42" s="285">
        <v>1.3779999999999999</v>
      </c>
      <c r="I42" s="286">
        <v>1.7210000000000001</v>
      </c>
      <c r="J42" s="36">
        <v>1.335</v>
      </c>
      <c r="K42" s="36">
        <v>1.7709999999999999</v>
      </c>
      <c r="L42" s="285">
        <v>1.2909999999999999</v>
      </c>
      <c r="M42" s="286">
        <v>1.8220000000000001</v>
      </c>
      <c r="N42" s="36">
        <v>1.246</v>
      </c>
      <c r="O42" s="36">
        <v>1.875</v>
      </c>
      <c r="P42" s="285">
        <v>1.2010000000000001</v>
      </c>
      <c r="Q42" s="36">
        <v>1.93</v>
      </c>
      <c r="R42" s="285">
        <v>1.1559999999999999</v>
      </c>
      <c r="S42" s="286">
        <v>1.986</v>
      </c>
      <c r="T42" s="36">
        <v>1.1100000000000001</v>
      </c>
      <c r="U42" s="36">
        <v>2.044</v>
      </c>
      <c r="V42" s="285">
        <v>1.0640000000000001</v>
      </c>
      <c r="W42" s="286">
        <v>2.1030000000000002</v>
      </c>
      <c r="X42" s="36">
        <v>1.0189999999999999</v>
      </c>
      <c r="Y42" s="36">
        <v>2.1629999999999998</v>
      </c>
      <c r="Z42" s="285">
        <v>0.97299999999999998</v>
      </c>
      <c r="AA42" s="286">
        <v>2.2250000000000001</v>
      </c>
      <c r="AB42" s="36">
        <v>0.92700000000000005</v>
      </c>
      <c r="AC42" s="36">
        <v>2.2869999999999999</v>
      </c>
      <c r="AD42" s="285">
        <v>0.88200000000000001</v>
      </c>
      <c r="AE42" s="286">
        <v>2.35</v>
      </c>
      <c r="AF42" s="36">
        <v>0.83599999999999997</v>
      </c>
      <c r="AG42" s="36">
        <v>2.4140000000000001</v>
      </c>
      <c r="AH42" s="285">
        <v>0.79200000000000004</v>
      </c>
      <c r="AI42" s="286">
        <v>2.4790000000000001</v>
      </c>
      <c r="AJ42" s="36">
        <v>0.747</v>
      </c>
      <c r="AK42" s="36">
        <v>2.544</v>
      </c>
      <c r="AL42" s="285">
        <v>0.70299999999999996</v>
      </c>
      <c r="AM42" s="286">
        <v>2.61</v>
      </c>
      <c r="AN42" s="36">
        <v>0.66</v>
      </c>
      <c r="AO42" s="286">
        <v>2.6749999999999998</v>
      </c>
    </row>
    <row r="43" spans="1:41" x14ac:dyDescent="0.25">
      <c r="A43" s="260">
        <v>55</v>
      </c>
      <c r="B43" s="285">
        <v>1.528</v>
      </c>
      <c r="C43" s="36">
        <v>1.601</v>
      </c>
      <c r="D43" s="285">
        <v>1.49</v>
      </c>
      <c r="E43" s="286">
        <v>1.641</v>
      </c>
      <c r="F43" s="36">
        <v>1.452</v>
      </c>
      <c r="G43" s="36">
        <v>1.681</v>
      </c>
      <c r="H43" s="285">
        <v>1.4139999999999999</v>
      </c>
      <c r="I43" s="286">
        <v>1.724</v>
      </c>
      <c r="J43" s="36">
        <v>1.3740000000000001</v>
      </c>
      <c r="K43" s="36">
        <v>1.768</v>
      </c>
      <c r="L43" s="285">
        <v>1.3340000000000001</v>
      </c>
      <c r="M43" s="286">
        <v>1.8140000000000001</v>
      </c>
      <c r="N43" s="36">
        <v>1.294</v>
      </c>
      <c r="O43" s="36">
        <v>1.861</v>
      </c>
      <c r="P43" s="285">
        <v>1.2529999999999999</v>
      </c>
      <c r="Q43" s="36">
        <v>1.909</v>
      </c>
      <c r="R43" s="285">
        <v>1.212</v>
      </c>
      <c r="S43" s="286">
        <v>1.9590000000000001</v>
      </c>
      <c r="T43" s="36">
        <v>1.17</v>
      </c>
      <c r="U43" s="36">
        <v>2.0099999999999998</v>
      </c>
      <c r="V43" s="285">
        <v>1.129</v>
      </c>
      <c r="W43" s="286">
        <v>2.0619999999999998</v>
      </c>
      <c r="X43" s="36">
        <v>1.087</v>
      </c>
      <c r="Y43" s="36">
        <v>2.1160000000000001</v>
      </c>
      <c r="Z43" s="285">
        <v>1.0449999999999999</v>
      </c>
      <c r="AA43" s="286">
        <v>2.17</v>
      </c>
      <c r="AB43" s="36">
        <v>1.0029999999999999</v>
      </c>
      <c r="AC43" s="36">
        <v>2.2250000000000001</v>
      </c>
      <c r="AD43" s="285">
        <v>0.96099999999999997</v>
      </c>
      <c r="AE43" s="286">
        <v>2.2810000000000001</v>
      </c>
      <c r="AF43" s="36">
        <v>0.91900000000000004</v>
      </c>
      <c r="AG43" s="36">
        <v>2.3380000000000001</v>
      </c>
      <c r="AH43" s="285">
        <v>0.877</v>
      </c>
      <c r="AI43" s="286">
        <v>2.3959999999999999</v>
      </c>
      <c r="AJ43" s="36">
        <v>0.83599999999999997</v>
      </c>
      <c r="AK43" s="36">
        <v>2.4540000000000002</v>
      </c>
      <c r="AL43" s="285">
        <v>0.79500000000000004</v>
      </c>
      <c r="AM43" s="286">
        <v>2.512</v>
      </c>
      <c r="AN43" s="36">
        <v>0.754</v>
      </c>
      <c r="AO43" s="286">
        <v>2.5710000000000002</v>
      </c>
    </row>
    <row r="44" spans="1:41" x14ac:dyDescent="0.25">
      <c r="A44" s="260">
        <v>60</v>
      </c>
      <c r="B44" s="285">
        <v>1.5489999999999999</v>
      </c>
      <c r="C44" s="36">
        <v>1.6160000000000001</v>
      </c>
      <c r="D44" s="285">
        <v>1.514</v>
      </c>
      <c r="E44" s="286">
        <v>1.6519999999999999</v>
      </c>
      <c r="F44" s="36">
        <v>1.48</v>
      </c>
      <c r="G44" s="36">
        <v>1.6890000000000001</v>
      </c>
      <c r="H44" s="285">
        <v>1.444</v>
      </c>
      <c r="I44" s="286">
        <v>1.7270000000000001</v>
      </c>
      <c r="J44" s="36">
        <v>1.4079999999999999</v>
      </c>
      <c r="K44" s="36">
        <v>1.7669999999999999</v>
      </c>
      <c r="L44" s="285">
        <v>1.3720000000000001</v>
      </c>
      <c r="M44" s="286">
        <v>1.8080000000000001</v>
      </c>
      <c r="N44" s="36">
        <v>1.335</v>
      </c>
      <c r="O44" s="36">
        <v>1.85</v>
      </c>
      <c r="P44" s="285">
        <v>1.298</v>
      </c>
      <c r="Q44" s="36">
        <v>1.8939999999999999</v>
      </c>
      <c r="R44" s="285">
        <v>1.26</v>
      </c>
      <c r="S44" s="286">
        <v>1.9390000000000001</v>
      </c>
      <c r="T44" s="36">
        <v>1.222</v>
      </c>
      <c r="U44" s="36">
        <v>1.984</v>
      </c>
      <c r="V44" s="285">
        <v>1.1839999999999999</v>
      </c>
      <c r="W44" s="286">
        <v>2.0310000000000001</v>
      </c>
      <c r="X44" s="36">
        <v>1.145</v>
      </c>
      <c r="Y44" s="36">
        <v>2.0790000000000002</v>
      </c>
      <c r="Z44" s="285">
        <v>1.1060000000000001</v>
      </c>
      <c r="AA44" s="286">
        <v>2.1269999999999998</v>
      </c>
      <c r="AB44" s="36">
        <v>1.0680000000000001</v>
      </c>
      <c r="AC44" s="36">
        <v>2.177</v>
      </c>
      <c r="AD44" s="285">
        <v>1.0289999999999999</v>
      </c>
      <c r="AE44" s="286">
        <v>2.2269999999999999</v>
      </c>
      <c r="AF44" s="36">
        <v>0.99</v>
      </c>
      <c r="AG44" s="36">
        <v>2.278</v>
      </c>
      <c r="AH44" s="285">
        <v>0.95099999999999996</v>
      </c>
      <c r="AI44" s="286">
        <v>2.33</v>
      </c>
      <c r="AJ44" s="36">
        <v>0.91300000000000003</v>
      </c>
      <c r="AK44" s="36">
        <v>2.3820000000000001</v>
      </c>
      <c r="AL44" s="285">
        <v>0.874</v>
      </c>
      <c r="AM44" s="286">
        <v>2.4340000000000002</v>
      </c>
      <c r="AN44" s="36">
        <v>0.83599999999999997</v>
      </c>
      <c r="AO44" s="286">
        <v>2.4870000000000001</v>
      </c>
    </row>
    <row r="45" spans="1:41" x14ac:dyDescent="0.25">
      <c r="A45" s="260">
        <v>65</v>
      </c>
      <c r="B45" s="285">
        <v>1.5669999999999999</v>
      </c>
      <c r="C45" s="36">
        <v>1.629</v>
      </c>
      <c r="D45" s="285">
        <v>1.536</v>
      </c>
      <c r="E45" s="286">
        <v>1.6619999999999999</v>
      </c>
      <c r="F45" s="36">
        <v>1.5029999999999999</v>
      </c>
      <c r="G45" s="36">
        <v>1.696</v>
      </c>
      <c r="H45" s="285">
        <v>1.4710000000000001</v>
      </c>
      <c r="I45" s="286">
        <v>1.7310000000000001</v>
      </c>
      <c r="J45" s="36">
        <v>1.4379999999999999</v>
      </c>
      <c r="K45" s="36">
        <v>1.7669999999999999</v>
      </c>
      <c r="L45" s="285">
        <v>1.4039999999999999</v>
      </c>
      <c r="M45" s="286">
        <v>1.8049999999999999</v>
      </c>
      <c r="N45" s="36">
        <v>1.37</v>
      </c>
      <c r="O45" s="36">
        <v>1.843</v>
      </c>
      <c r="P45" s="285">
        <v>1.3360000000000001</v>
      </c>
      <c r="Q45" s="36">
        <v>1.8819999999999999</v>
      </c>
      <c r="R45" s="285">
        <v>1.3009999999999999</v>
      </c>
      <c r="S45" s="286">
        <v>1.923</v>
      </c>
      <c r="T45" s="36">
        <v>1.266</v>
      </c>
      <c r="U45" s="36">
        <v>1.964</v>
      </c>
      <c r="V45" s="285">
        <v>1.2310000000000001</v>
      </c>
      <c r="W45" s="286">
        <v>2.0059999999999998</v>
      </c>
      <c r="X45" s="36">
        <v>1.1950000000000001</v>
      </c>
      <c r="Y45" s="36">
        <v>2.0489999999999999</v>
      </c>
      <c r="Z45" s="285">
        <v>1.1599999999999999</v>
      </c>
      <c r="AA45" s="286">
        <v>2.093</v>
      </c>
      <c r="AB45" s="36">
        <v>1.1240000000000001</v>
      </c>
      <c r="AC45" s="36">
        <v>2.1379999999999999</v>
      </c>
      <c r="AD45" s="285">
        <v>1.0880000000000001</v>
      </c>
      <c r="AE45" s="286">
        <v>2.1829999999999998</v>
      </c>
      <c r="AF45" s="36">
        <v>1.052</v>
      </c>
      <c r="AG45" s="36">
        <v>2.2290000000000001</v>
      </c>
      <c r="AH45" s="285">
        <v>1.016</v>
      </c>
      <c r="AI45" s="286">
        <v>2.2759999999999998</v>
      </c>
      <c r="AJ45" s="36">
        <v>0.98</v>
      </c>
      <c r="AK45" s="36">
        <v>2.323</v>
      </c>
      <c r="AL45" s="285">
        <v>0.94399999999999995</v>
      </c>
      <c r="AM45" s="286">
        <v>2.371</v>
      </c>
      <c r="AN45" s="36">
        <v>0.90800000000000003</v>
      </c>
      <c r="AO45" s="286">
        <v>2.419</v>
      </c>
    </row>
    <row r="46" spans="1:41" x14ac:dyDescent="0.25">
      <c r="A46" s="260">
        <v>70</v>
      </c>
      <c r="B46" s="285">
        <v>1.583</v>
      </c>
      <c r="C46" s="36">
        <v>1.641</v>
      </c>
      <c r="D46" s="285">
        <v>1.554</v>
      </c>
      <c r="E46" s="286">
        <v>1.6719999999999999</v>
      </c>
      <c r="F46" s="36">
        <v>1.5249999999999999</v>
      </c>
      <c r="G46" s="36">
        <v>1.7030000000000001</v>
      </c>
      <c r="H46" s="285">
        <v>1.494</v>
      </c>
      <c r="I46" s="286">
        <v>1.7350000000000001</v>
      </c>
      <c r="J46" s="36">
        <v>1.464</v>
      </c>
      <c r="K46" s="36">
        <v>1.768</v>
      </c>
      <c r="L46" s="285">
        <v>1.4330000000000001</v>
      </c>
      <c r="M46" s="286">
        <v>1.802</v>
      </c>
      <c r="N46" s="36">
        <v>1.401</v>
      </c>
      <c r="O46" s="36">
        <v>1.8380000000000001</v>
      </c>
      <c r="P46" s="285">
        <v>1.369</v>
      </c>
      <c r="Q46" s="36">
        <v>1.8740000000000001</v>
      </c>
      <c r="R46" s="285">
        <v>1.337</v>
      </c>
      <c r="S46" s="286">
        <v>1.91</v>
      </c>
      <c r="T46" s="36">
        <v>1.3049999999999999</v>
      </c>
      <c r="U46" s="36">
        <v>1.948</v>
      </c>
      <c r="V46" s="285">
        <v>1.272</v>
      </c>
      <c r="W46" s="286">
        <v>1.9870000000000001</v>
      </c>
      <c r="X46" s="36">
        <v>1.2390000000000001</v>
      </c>
      <c r="Y46" s="36">
        <v>2.0259999999999998</v>
      </c>
      <c r="Z46" s="285">
        <v>1.206</v>
      </c>
      <c r="AA46" s="286">
        <v>2.0659999999999998</v>
      </c>
      <c r="AB46" s="36">
        <v>1.1719999999999999</v>
      </c>
      <c r="AC46" s="36">
        <v>2.1059999999999999</v>
      </c>
      <c r="AD46" s="285">
        <v>1.139</v>
      </c>
      <c r="AE46" s="286">
        <v>2.1480000000000001</v>
      </c>
      <c r="AF46" s="36">
        <v>1.105</v>
      </c>
      <c r="AG46" s="36">
        <v>2.1890000000000001</v>
      </c>
      <c r="AH46" s="285">
        <v>1.0720000000000001</v>
      </c>
      <c r="AI46" s="286">
        <v>2.2320000000000002</v>
      </c>
      <c r="AJ46" s="36">
        <v>1.038</v>
      </c>
      <c r="AK46" s="36">
        <v>2.2749999999999999</v>
      </c>
      <c r="AL46" s="285">
        <v>1.0049999999999999</v>
      </c>
      <c r="AM46" s="286">
        <v>2.3180000000000001</v>
      </c>
      <c r="AN46" s="36">
        <v>0.97099999999999997</v>
      </c>
      <c r="AO46" s="286">
        <v>2.3620000000000001</v>
      </c>
    </row>
    <row r="47" spans="1:41" x14ac:dyDescent="0.25">
      <c r="A47" s="260">
        <v>75</v>
      </c>
      <c r="B47" s="285">
        <v>1.5980000000000001</v>
      </c>
      <c r="C47" s="36">
        <v>1.6519999999999999</v>
      </c>
      <c r="D47" s="285">
        <v>1.571</v>
      </c>
      <c r="E47" s="286">
        <v>1.68</v>
      </c>
      <c r="F47" s="36">
        <v>1.5429999999999999</v>
      </c>
      <c r="G47" s="36">
        <v>1.7090000000000001</v>
      </c>
      <c r="H47" s="285">
        <v>1.5149999999999999</v>
      </c>
      <c r="I47" s="286">
        <v>1.7390000000000001</v>
      </c>
      <c r="J47" s="36">
        <v>1.4870000000000001</v>
      </c>
      <c r="K47" s="36">
        <v>1.77</v>
      </c>
      <c r="L47" s="285">
        <v>1.458</v>
      </c>
      <c r="M47" s="286">
        <v>1.8009999999999999</v>
      </c>
      <c r="N47" s="36">
        <v>1.4279999999999999</v>
      </c>
      <c r="O47" s="36">
        <v>1.8340000000000001</v>
      </c>
      <c r="P47" s="285">
        <v>1.399</v>
      </c>
      <c r="Q47" s="36">
        <v>1.867</v>
      </c>
      <c r="R47" s="285">
        <v>1.369</v>
      </c>
      <c r="S47" s="286">
        <v>1.901</v>
      </c>
      <c r="T47" s="36">
        <v>1.339</v>
      </c>
      <c r="U47" s="36">
        <v>1.9350000000000001</v>
      </c>
      <c r="V47" s="285">
        <v>1.3080000000000001</v>
      </c>
      <c r="W47" s="286">
        <v>1.97</v>
      </c>
      <c r="X47" s="36">
        <v>1.2769999999999999</v>
      </c>
      <c r="Y47" s="36">
        <v>2.0059999999999998</v>
      </c>
      <c r="Z47" s="285">
        <v>1.2470000000000001</v>
      </c>
      <c r="AA47" s="286">
        <v>2.0430000000000001</v>
      </c>
      <c r="AB47" s="36">
        <v>1.2150000000000001</v>
      </c>
      <c r="AC47" s="36">
        <v>2.08</v>
      </c>
      <c r="AD47" s="285">
        <v>1.1839999999999999</v>
      </c>
      <c r="AE47" s="286">
        <v>2.1179999999999999</v>
      </c>
      <c r="AF47" s="36">
        <v>1.153</v>
      </c>
      <c r="AG47" s="36">
        <v>2.1560000000000001</v>
      </c>
      <c r="AH47" s="285">
        <v>1.121</v>
      </c>
      <c r="AI47" s="286">
        <v>2.1949999999999998</v>
      </c>
      <c r="AJ47" s="36">
        <v>1.0900000000000001</v>
      </c>
      <c r="AK47" s="36">
        <v>2.2349999999999999</v>
      </c>
      <c r="AL47" s="285">
        <v>1.0580000000000001</v>
      </c>
      <c r="AM47" s="286">
        <v>2.2749999999999999</v>
      </c>
      <c r="AN47" s="36">
        <v>1.0269999999999999</v>
      </c>
      <c r="AO47" s="286">
        <v>2.3149999999999999</v>
      </c>
    </row>
    <row r="48" spans="1:41" x14ac:dyDescent="0.25">
      <c r="A48" s="260">
        <v>80</v>
      </c>
      <c r="B48" s="285">
        <v>1.611</v>
      </c>
      <c r="C48" s="36">
        <v>1.6619999999999999</v>
      </c>
      <c r="D48" s="285">
        <v>1.5860000000000001</v>
      </c>
      <c r="E48" s="286">
        <v>1.6879999999999999</v>
      </c>
      <c r="F48" s="36">
        <v>1.56</v>
      </c>
      <c r="G48" s="36">
        <v>1.7150000000000001</v>
      </c>
      <c r="H48" s="285">
        <v>1.534</v>
      </c>
      <c r="I48" s="286">
        <v>1.7430000000000001</v>
      </c>
      <c r="J48" s="36">
        <v>1.5069999999999999</v>
      </c>
      <c r="K48" s="36">
        <v>1.772</v>
      </c>
      <c r="L48" s="285">
        <v>1.48</v>
      </c>
      <c r="M48" s="286">
        <v>1.8009999999999999</v>
      </c>
      <c r="N48" s="36">
        <v>1.4530000000000001</v>
      </c>
      <c r="O48" s="36">
        <v>1.831</v>
      </c>
      <c r="P48" s="285">
        <v>1.425</v>
      </c>
      <c r="Q48" s="36">
        <v>1.861</v>
      </c>
      <c r="R48" s="285">
        <v>1.397</v>
      </c>
      <c r="S48" s="286">
        <v>1.893</v>
      </c>
      <c r="T48" s="36">
        <v>1.369</v>
      </c>
      <c r="U48" s="36">
        <v>1.925</v>
      </c>
      <c r="V48" s="285">
        <v>1.34</v>
      </c>
      <c r="W48" s="286">
        <v>1.9570000000000001</v>
      </c>
      <c r="X48" s="36">
        <v>1.3109999999999999</v>
      </c>
      <c r="Y48" s="36">
        <v>1.9910000000000001</v>
      </c>
      <c r="Z48" s="285">
        <v>1.2829999999999999</v>
      </c>
      <c r="AA48" s="286">
        <v>2.024</v>
      </c>
      <c r="AB48" s="36">
        <v>1.2529999999999999</v>
      </c>
      <c r="AC48" s="36">
        <v>2.0590000000000002</v>
      </c>
      <c r="AD48" s="285">
        <v>1.224</v>
      </c>
      <c r="AE48" s="286">
        <v>2.093</v>
      </c>
      <c r="AF48" s="36">
        <v>1.1950000000000001</v>
      </c>
      <c r="AG48" s="36">
        <v>2.129</v>
      </c>
      <c r="AH48" s="285">
        <v>1.165</v>
      </c>
      <c r="AI48" s="286">
        <v>2.165</v>
      </c>
      <c r="AJ48" s="36">
        <v>1.1359999999999999</v>
      </c>
      <c r="AK48" s="36">
        <v>2.2010000000000001</v>
      </c>
      <c r="AL48" s="285">
        <v>1.1060000000000001</v>
      </c>
      <c r="AM48" s="286">
        <v>2.238</v>
      </c>
      <c r="AN48" s="36">
        <v>1.0760000000000001</v>
      </c>
      <c r="AO48" s="286">
        <v>2.2749999999999999</v>
      </c>
    </row>
    <row r="49" spans="1:41" x14ac:dyDescent="0.25">
      <c r="A49" s="260">
        <v>85</v>
      </c>
      <c r="B49" s="285">
        <v>1.6240000000000001</v>
      </c>
      <c r="C49" s="36">
        <v>1.671</v>
      </c>
      <c r="D49" s="285">
        <v>1.6</v>
      </c>
      <c r="E49" s="286">
        <v>1.696</v>
      </c>
      <c r="F49" s="36">
        <v>1.575</v>
      </c>
      <c r="G49" s="36">
        <v>1.7210000000000001</v>
      </c>
      <c r="H49" s="285">
        <v>1.55</v>
      </c>
      <c r="I49" s="286">
        <v>1.7470000000000001</v>
      </c>
      <c r="J49" s="36">
        <v>1.5249999999999999</v>
      </c>
      <c r="K49" s="36">
        <v>1.774</v>
      </c>
      <c r="L49" s="285">
        <v>1.5</v>
      </c>
      <c r="M49" s="286">
        <v>1.8009999999999999</v>
      </c>
      <c r="N49" s="36">
        <v>1.474</v>
      </c>
      <c r="O49" s="36">
        <v>1.829</v>
      </c>
      <c r="P49" s="285">
        <v>1.448</v>
      </c>
      <c r="Q49" s="36">
        <v>1.857</v>
      </c>
      <c r="R49" s="285">
        <v>1.4219999999999999</v>
      </c>
      <c r="S49" s="286">
        <v>1.8859999999999999</v>
      </c>
      <c r="T49" s="36">
        <v>1.3959999999999999</v>
      </c>
      <c r="U49" s="36">
        <v>1.9159999999999999</v>
      </c>
      <c r="V49" s="285">
        <v>1.369</v>
      </c>
      <c r="W49" s="286">
        <v>1.946</v>
      </c>
      <c r="X49" s="36">
        <v>1.3420000000000001</v>
      </c>
      <c r="Y49" s="36">
        <v>1.9770000000000001</v>
      </c>
      <c r="Z49" s="285">
        <v>1.3149999999999999</v>
      </c>
      <c r="AA49" s="286">
        <v>2.0089999999999999</v>
      </c>
      <c r="AB49" s="36">
        <v>1.2869999999999999</v>
      </c>
      <c r="AC49" s="36">
        <v>2.04</v>
      </c>
      <c r="AD49" s="285">
        <v>1.26</v>
      </c>
      <c r="AE49" s="286">
        <v>2.073</v>
      </c>
      <c r="AF49" s="36">
        <v>1.232</v>
      </c>
      <c r="AG49" s="36">
        <v>2.105</v>
      </c>
      <c r="AH49" s="285">
        <v>1.2050000000000001</v>
      </c>
      <c r="AI49" s="286">
        <v>2.1389999999999998</v>
      </c>
      <c r="AJ49" s="36">
        <v>1.177</v>
      </c>
      <c r="AK49" s="36">
        <v>2.1720000000000002</v>
      </c>
      <c r="AL49" s="285">
        <v>1.149</v>
      </c>
      <c r="AM49" s="286">
        <v>2.206</v>
      </c>
      <c r="AN49" s="36">
        <v>1.121</v>
      </c>
      <c r="AO49" s="286">
        <v>2.2410000000000001</v>
      </c>
    </row>
    <row r="50" spans="1:41" x14ac:dyDescent="0.25">
      <c r="A50" s="260">
        <v>90</v>
      </c>
      <c r="B50" s="285">
        <v>1.635</v>
      </c>
      <c r="C50" s="36">
        <v>1.679</v>
      </c>
      <c r="D50" s="285">
        <v>1.6120000000000001</v>
      </c>
      <c r="E50" s="286">
        <v>1.7030000000000001</v>
      </c>
      <c r="F50" s="36">
        <v>1.589</v>
      </c>
      <c r="G50" s="36">
        <v>1.726</v>
      </c>
      <c r="H50" s="285">
        <v>1.5660000000000001</v>
      </c>
      <c r="I50" s="286">
        <v>1.7509999999999999</v>
      </c>
      <c r="J50" s="36">
        <v>1.542</v>
      </c>
      <c r="K50" s="36">
        <v>1.776</v>
      </c>
      <c r="L50" s="285">
        <v>1.518</v>
      </c>
      <c r="M50" s="286">
        <v>1.8009999999999999</v>
      </c>
      <c r="N50" s="36">
        <v>1.494</v>
      </c>
      <c r="O50" s="36">
        <v>1.827</v>
      </c>
      <c r="P50" s="285">
        <v>1.4690000000000001</v>
      </c>
      <c r="Q50" s="36">
        <v>1.8540000000000001</v>
      </c>
      <c r="R50" s="285">
        <v>1.4450000000000001</v>
      </c>
      <c r="S50" s="286">
        <v>1.881</v>
      </c>
      <c r="T50" s="36">
        <v>1.42</v>
      </c>
      <c r="U50" s="36">
        <v>1.909</v>
      </c>
      <c r="V50" s="285">
        <v>1.395</v>
      </c>
      <c r="W50" s="286">
        <v>1.9370000000000001</v>
      </c>
      <c r="X50" s="36">
        <v>1.369</v>
      </c>
      <c r="Y50" s="36">
        <v>1.966</v>
      </c>
      <c r="Z50" s="285">
        <v>1.3440000000000001</v>
      </c>
      <c r="AA50" s="286">
        <v>1.9950000000000001</v>
      </c>
      <c r="AB50" s="36">
        <v>1.3180000000000001</v>
      </c>
      <c r="AC50" s="36">
        <v>2.0249999999999999</v>
      </c>
      <c r="AD50" s="285">
        <v>1.292</v>
      </c>
      <c r="AE50" s="286">
        <v>2.0550000000000002</v>
      </c>
      <c r="AF50" s="36">
        <v>1.266</v>
      </c>
      <c r="AG50" s="36">
        <v>2.085</v>
      </c>
      <c r="AH50" s="285">
        <v>1.24</v>
      </c>
      <c r="AI50" s="286">
        <v>2.1160000000000001</v>
      </c>
      <c r="AJ50" s="36">
        <v>1.2130000000000001</v>
      </c>
      <c r="AK50" s="36">
        <v>2.1480000000000001</v>
      </c>
      <c r="AL50" s="285">
        <v>1.1870000000000001</v>
      </c>
      <c r="AM50" s="286">
        <v>2.1789999999999998</v>
      </c>
      <c r="AN50" s="36">
        <v>1.1599999999999999</v>
      </c>
      <c r="AO50" s="286">
        <v>2.2109999999999999</v>
      </c>
    </row>
    <row r="51" spans="1:41" x14ac:dyDescent="0.25">
      <c r="A51" s="260">
        <v>95</v>
      </c>
      <c r="B51" s="285">
        <v>1.645</v>
      </c>
      <c r="C51" s="36">
        <v>1.6870000000000001</v>
      </c>
      <c r="D51" s="285">
        <v>1.623</v>
      </c>
      <c r="E51" s="286">
        <v>1.7090000000000001</v>
      </c>
      <c r="F51" s="36">
        <v>1.6020000000000001</v>
      </c>
      <c r="G51" s="36">
        <v>1.732</v>
      </c>
      <c r="H51" s="285">
        <v>1.579</v>
      </c>
      <c r="I51" s="286">
        <v>1.7549999999999999</v>
      </c>
      <c r="J51" s="36">
        <v>1.5569999999999999</v>
      </c>
      <c r="K51" s="36">
        <v>1.778</v>
      </c>
      <c r="L51" s="285">
        <v>1.5349999999999999</v>
      </c>
      <c r="M51" s="286">
        <v>1.802</v>
      </c>
      <c r="N51" s="36">
        <v>1.512</v>
      </c>
      <c r="O51" s="36">
        <v>1.827</v>
      </c>
      <c r="P51" s="285">
        <v>1.4890000000000001</v>
      </c>
      <c r="Q51" s="36">
        <v>1.8520000000000001</v>
      </c>
      <c r="R51" s="285">
        <v>1.4650000000000001</v>
      </c>
      <c r="S51" s="286">
        <v>1.877</v>
      </c>
      <c r="T51" s="36">
        <v>1.4419999999999999</v>
      </c>
      <c r="U51" s="36">
        <v>1.903</v>
      </c>
      <c r="V51" s="285">
        <v>1.4179999999999999</v>
      </c>
      <c r="W51" s="286">
        <v>1.93</v>
      </c>
      <c r="X51" s="36">
        <v>1.3939999999999999</v>
      </c>
      <c r="Y51" s="36">
        <v>1.956</v>
      </c>
      <c r="Z51" s="285">
        <v>1.37</v>
      </c>
      <c r="AA51" s="286">
        <v>1.984</v>
      </c>
      <c r="AB51" s="36">
        <v>1.345</v>
      </c>
      <c r="AC51" s="36">
        <v>2.012</v>
      </c>
      <c r="AD51" s="285">
        <v>1.321</v>
      </c>
      <c r="AE51" s="286">
        <v>2.04</v>
      </c>
      <c r="AF51" s="36">
        <v>1.296</v>
      </c>
      <c r="AG51" s="36">
        <v>2.0680000000000001</v>
      </c>
      <c r="AH51" s="285">
        <v>1.2709999999999999</v>
      </c>
      <c r="AI51" s="286">
        <v>2.097</v>
      </c>
      <c r="AJ51" s="36">
        <v>1.2470000000000001</v>
      </c>
      <c r="AK51" s="36">
        <v>2.1259999999999999</v>
      </c>
      <c r="AL51" s="285">
        <v>1.222</v>
      </c>
      <c r="AM51" s="286">
        <v>2.1560000000000001</v>
      </c>
      <c r="AN51" s="36">
        <v>1.1970000000000001</v>
      </c>
      <c r="AO51" s="286">
        <v>2.1859999999999999</v>
      </c>
    </row>
    <row r="52" spans="1:41" x14ac:dyDescent="0.25">
      <c r="A52" s="260">
        <v>100</v>
      </c>
      <c r="B52" s="285">
        <v>1.6539999999999999</v>
      </c>
      <c r="C52" s="36">
        <v>1.694</v>
      </c>
      <c r="D52" s="285">
        <v>1.6339999999999999</v>
      </c>
      <c r="E52" s="286">
        <v>1.7150000000000001</v>
      </c>
      <c r="F52" s="36">
        <v>1.613</v>
      </c>
      <c r="G52" s="36">
        <v>1.736</v>
      </c>
      <c r="H52" s="285">
        <v>1.5920000000000001</v>
      </c>
      <c r="I52" s="286">
        <v>1.758</v>
      </c>
      <c r="J52" s="36">
        <v>1.571</v>
      </c>
      <c r="K52" s="36">
        <v>1.78</v>
      </c>
      <c r="L52" s="285">
        <v>1.55</v>
      </c>
      <c r="M52" s="286">
        <v>1.8029999999999999</v>
      </c>
      <c r="N52" s="36">
        <v>1.528</v>
      </c>
      <c r="O52" s="36">
        <v>1.8260000000000001</v>
      </c>
      <c r="P52" s="285">
        <v>1.506</v>
      </c>
      <c r="Q52" s="36">
        <v>1.85</v>
      </c>
      <c r="R52" s="285">
        <v>1.484</v>
      </c>
      <c r="S52" s="286">
        <v>1.8740000000000001</v>
      </c>
      <c r="T52" s="36">
        <v>1.462</v>
      </c>
      <c r="U52" s="36">
        <v>1.8979999999999999</v>
      </c>
      <c r="V52" s="285">
        <v>1.4390000000000001</v>
      </c>
      <c r="W52" s="286">
        <v>1.923</v>
      </c>
      <c r="X52" s="36">
        <v>1.4159999999999999</v>
      </c>
      <c r="Y52" s="36">
        <v>1.948</v>
      </c>
      <c r="Z52" s="285">
        <v>1.393</v>
      </c>
      <c r="AA52" s="286">
        <v>1.974</v>
      </c>
      <c r="AB52" s="36">
        <v>1.371</v>
      </c>
      <c r="AC52" s="36">
        <v>2</v>
      </c>
      <c r="AD52" s="285">
        <v>1.347</v>
      </c>
      <c r="AE52" s="286">
        <v>2.0259999999999998</v>
      </c>
      <c r="AF52" s="36">
        <v>1.3240000000000001</v>
      </c>
      <c r="AG52" s="36">
        <v>2.0529999999999999</v>
      </c>
      <c r="AH52" s="285">
        <v>1.3009999999999999</v>
      </c>
      <c r="AI52" s="286">
        <v>2.08</v>
      </c>
      <c r="AJ52" s="36">
        <v>1.2769999999999999</v>
      </c>
      <c r="AK52" s="36">
        <v>2.1080000000000001</v>
      </c>
      <c r="AL52" s="285">
        <v>1.2529999999999999</v>
      </c>
      <c r="AM52" s="286">
        <v>2.1349999999999998</v>
      </c>
      <c r="AN52" s="36">
        <v>1.2290000000000001</v>
      </c>
      <c r="AO52" s="286">
        <v>2.1640000000000001</v>
      </c>
    </row>
    <row r="53" spans="1:41" x14ac:dyDescent="0.25">
      <c r="A53" s="260">
        <v>150</v>
      </c>
      <c r="B53" s="285">
        <v>1.72</v>
      </c>
      <c r="C53" s="36">
        <v>1.7470000000000001</v>
      </c>
      <c r="D53" s="285">
        <v>1.706</v>
      </c>
      <c r="E53" s="286">
        <v>1.76</v>
      </c>
      <c r="F53" s="36">
        <v>1.6930000000000001</v>
      </c>
      <c r="G53" s="36">
        <v>1.774</v>
      </c>
      <c r="H53" s="285">
        <v>1.679</v>
      </c>
      <c r="I53" s="286">
        <v>1.788</v>
      </c>
      <c r="J53" s="36">
        <v>1.665</v>
      </c>
      <c r="K53" s="36">
        <v>1.802</v>
      </c>
      <c r="L53" s="285">
        <v>1.651</v>
      </c>
      <c r="M53" s="286">
        <v>1.8169999999999999</v>
      </c>
      <c r="N53" s="36">
        <v>1.637</v>
      </c>
      <c r="O53" s="36">
        <v>1.8320000000000001</v>
      </c>
      <c r="P53" s="285">
        <v>1.6220000000000001</v>
      </c>
      <c r="Q53" s="36">
        <v>1.8460000000000001</v>
      </c>
      <c r="R53" s="285">
        <v>1.6080000000000001</v>
      </c>
      <c r="S53" s="286">
        <v>1.8620000000000001</v>
      </c>
      <c r="T53" s="36">
        <v>1.593</v>
      </c>
      <c r="U53" s="36">
        <v>1.877</v>
      </c>
      <c r="V53" s="285">
        <v>1.579</v>
      </c>
      <c r="W53" s="286">
        <v>1.8919999999999999</v>
      </c>
      <c r="X53" s="36">
        <v>1.5640000000000001</v>
      </c>
      <c r="Y53" s="36">
        <v>1.9079999999999999</v>
      </c>
      <c r="Z53" s="285">
        <v>1.55</v>
      </c>
      <c r="AA53" s="286">
        <v>1.9239999999999999</v>
      </c>
      <c r="AB53" s="36">
        <v>1.5349999999999999</v>
      </c>
      <c r="AC53" s="36">
        <v>1.94</v>
      </c>
      <c r="AD53" s="285">
        <v>1.5189999999999999</v>
      </c>
      <c r="AE53" s="286">
        <v>1.956</v>
      </c>
      <c r="AF53" s="36">
        <v>1.504</v>
      </c>
      <c r="AG53" s="36">
        <v>1.972</v>
      </c>
      <c r="AH53" s="285">
        <v>1.4890000000000001</v>
      </c>
      <c r="AI53" s="286">
        <v>1.9890000000000001</v>
      </c>
      <c r="AJ53" s="36">
        <v>1.474</v>
      </c>
      <c r="AK53" s="36">
        <v>2.0059999999999998</v>
      </c>
      <c r="AL53" s="285">
        <v>1.458</v>
      </c>
      <c r="AM53" s="286">
        <v>2.0230000000000001</v>
      </c>
      <c r="AN53" s="36">
        <v>1.4430000000000001</v>
      </c>
      <c r="AO53" s="286">
        <v>2.04</v>
      </c>
    </row>
    <row r="54" spans="1:41" x14ac:dyDescent="0.25">
      <c r="A54" s="259">
        <v>200</v>
      </c>
      <c r="B54" s="287">
        <v>1.758</v>
      </c>
      <c r="C54" s="483">
        <v>1.7789999999999999</v>
      </c>
      <c r="D54" s="287">
        <v>1.748</v>
      </c>
      <c r="E54" s="288">
        <v>1.7889999999999999</v>
      </c>
      <c r="F54" s="483">
        <v>1.738</v>
      </c>
      <c r="G54" s="483">
        <v>1.7989999999999999</v>
      </c>
      <c r="H54" s="287">
        <v>1.728</v>
      </c>
      <c r="I54" s="288">
        <v>1.8089999999999999</v>
      </c>
      <c r="J54" s="483">
        <v>1.718</v>
      </c>
      <c r="K54" s="483">
        <v>1.82</v>
      </c>
      <c r="L54" s="287">
        <v>1.7070000000000001</v>
      </c>
      <c r="M54" s="288">
        <v>1.831</v>
      </c>
      <c r="N54" s="483">
        <v>1.6970000000000001</v>
      </c>
      <c r="O54" s="483">
        <v>1.841</v>
      </c>
      <c r="P54" s="287">
        <v>1.6859999999999999</v>
      </c>
      <c r="Q54" s="483">
        <v>1.8520000000000001</v>
      </c>
      <c r="R54" s="287">
        <v>1.675</v>
      </c>
      <c r="S54" s="288">
        <v>1.863</v>
      </c>
      <c r="T54" s="483">
        <v>1.665</v>
      </c>
      <c r="U54" s="483">
        <v>1.8740000000000001</v>
      </c>
      <c r="V54" s="287">
        <v>1.6539999999999999</v>
      </c>
      <c r="W54" s="288">
        <v>1.885</v>
      </c>
      <c r="X54" s="483">
        <v>1.643</v>
      </c>
      <c r="Y54" s="483">
        <v>1.8959999999999999</v>
      </c>
      <c r="Z54" s="287">
        <v>1.6319999999999999</v>
      </c>
      <c r="AA54" s="288">
        <v>1.9079999999999999</v>
      </c>
      <c r="AB54" s="483">
        <v>1.621</v>
      </c>
      <c r="AC54" s="483">
        <v>1.919</v>
      </c>
      <c r="AD54" s="287">
        <v>1.61</v>
      </c>
      <c r="AE54" s="288">
        <v>1.931</v>
      </c>
      <c r="AF54" s="483">
        <v>1.599</v>
      </c>
      <c r="AG54" s="483">
        <v>1.9430000000000001</v>
      </c>
      <c r="AH54" s="287">
        <v>1.5880000000000001</v>
      </c>
      <c r="AI54" s="288">
        <v>1.9550000000000001</v>
      </c>
      <c r="AJ54" s="483">
        <v>1.5760000000000001</v>
      </c>
      <c r="AK54" s="483">
        <v>1.9670000000000001</v>
      </c>
      <c r="AL54" s="287">
        <v>1.5649999999999999</v>
      </c>
      <c r="AM54" s="288">
        <v>1.9790000000000001</v>
      </c>
      <c r="AN54" s="483">
        <v>1.554</v>
      </c>
      <c r="AO54" s="288">
        <v>1.9910000000000001</v>
      </c>
    </row>
  </sheetData>
  <mergeCells count="20">
    <mergeCell ref="X5:Y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AL5:AM5"/>
    <mergeCell ref="AN5:AO5"/>
    <mergeCell ref="Z5:AA5"/>
    <mergeCell ref="AB5:AC5"/>
    <mergeCell ref="AD5:AE5"/>
    <mergeCell ref="AF5:AG5"/>
    <mergeCell ref="AH5:AI5"/>
    <mergeCell ref="AJ5:AK5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W20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  <col min="9" max="9" width="17.5703125" customWidth="1"/>
    <col min="16" max="16" width="7.140625" customWidth="1"/>
    <col min="17" max="17" width="17.42578125" customWidth="1"/>
  </cols>
  <sheetData>
    <row r="1" spans="1:23" x14ac:dyDescent="0.25">
      <c r="A1" s="1" t="s">
        <v>994</v>
      </c>
    </row>
    <row r="2" spans="1:23" x14ac:dyDescent="0.25">
      <c r="A2" s="1"/>
    </row>
    <row r="3" spans="1:23" x14ac:dyDescent="0.25">
      <c r="A3" s="15" t="s">
        <v>998</v>
      </c>
      <c r="E3" t="s">
        <v>999</v>
      </c>
      <c r="I3" t="s">
        <v>1006</v>
      </c>
      <c r="Q3" t="s">
        <v>1000</v>
      </c>
    </row>
    <row r="5" spans="1:23" ht="15.75" thickBot="1" x14ac:dyDescent="0.3">
      <c r="A5" s="12" t="s">
        <v>995</v>
      </c>
      <c r="B5" s="420" t="s">
        <v>996</v>
      </c>
      <c r="C5" s="420" t="s">
        <v>997</v>
      </c>
      <c r="E5" s="12" t="s">
        <v>995</v>
      </c>
      <c r="F5" s="420" t="s">
        <v>996</v>
      </c>
      <c r="G5" s="420" t="s">
        <v>997</v>
      </c>
      <c r="I5" s="342" t="s">
        <v>799</v>
      </c>
      <c r="J5" s="342"/>
      <c r="Q5" s="342" t="s">
        <v>799</v>
      </c>
      <c r="R5" s="342"/>
    </row>
    <row r="6" spans="1:23" ht="15.75" thickTop="1" x14ac:dyDescent="0.25">
      <c r="A6">
        <v>1</v>
      </c>
      <c r="B6" s="423">
        <v>14</v>
      </c>
      <c r="C6" s="424">
        <v>27</v>
      </c>
      <c r="E6" s="7">
        <v>1</v>
      </c>
      <c r="F6" s="423">
        <f>B6</f>
        <v>14</v>
      </c>
      <c r="G6" s="424">
        <f>C6</f>
        <v>27</v>
      </c>
      <c r="I6" t="s">
        <v>123</v>
      </c>
      <c r="J6" t="e">
        <f ca="1">SQRT(J7)</f>
        <v>#NAME?</v>
      </c>
      <c r="Q6" t="s">
        <v>123</v>
      </c>
      <c r="R6" t="e">
        <f ca="1">SQRT(R7)</f>
        <v>#NAME?</v>
      </c>
    </row>
    <row r="7" spans="1:23" x14ac:dyDescent="0.25">
      <c r="A7">
        <f>A6+1</f>
        <v>2</v>
      </c>
      <c r="B7" s="256">
        <v>13</v>
      </c>
      <c r="C7" s="269">
        <v>29</v>
      </c>
      <c r="E7" s="7">
        <f>E6+1</f>
        <v>2</v>
      </c>
      <c r="F7" s="256">
        <f t="shared" ref="F7:F17" si="0">B7</f>
        <v>13</v>
      </c>
      <c r="G7" s="269">
        <f t="shared" ref="G7:G12" si="1">C7</f>
        <v>29</v>
      </c>
      <c r="I7" t="s">
        <v>120</v>
      </c>
      <c r="J7" t="e">
        <f ca="1">K14/K16</f>
        <v>#NAME?</v>
      </c>
      <c r="Q7" t="s">
        <v>120</v>
      </c>
      <c r="R7" t="e">
        <f ca="1">S14/S16</f>
        <v>#NAME?</v>
      </c>
    </row>
    <row r="8" spans="1:23" x14ac:dyDescent="0.25">
      <c r="A8">
        <f t="shared" ref="A8:A17" si="2">A7+1</f>
        <v>3</v>
      </c>
      <c r="B8" s="256">
        <v>23</v>
      </c>
      <c r="C8" s="269">
        <v>49</v>
      </c>
      <c r="E8" s="7">
        <f t="shared" ref="E8:E17" si="3">E7+1</f>
        <v>3</v>
      </c>
      <c r="F8" s="256">
        <f t="shared" si="0"/>
        <v>23</v>
      </c>
      <c r="G8" s="269">
        <f t="shared" si="1"/>
        <v>49</v>
      </c>
      <c r="I8" t="s">
        <v>124</v>
      </c>
      <c r="J8" t="e">
        <f ca="1">1-(1-J7)*(J10-1)/(J10-J14-1)</f>
        <v>#NAME?</v>
      </c>
      <c r="Q8" t="s">
        <v>124</v>
      </c>
      <c r="R8" t="e">
        <f ca="1">1-(1-R7)*(R10-1)/(R10-R14-1)</f>
        <v>#NAME?</v>
      </c>
    </row>
    <row r="9" spans="1:23" x14ac:dyDescent="0.25">
      <c r="A9">
        <f t="shared" si="2"/>
        <v>4</v>
      </c>
      <c r="B9" s="256">
        <v>19</v>
      </c>
      <c r="C9" s="269">
        <v>37</v>
      </c>
      <c r="E9" s="7">
        <f t="shared" si="3"/>
        <v>4</v>
      </c>
      <c r="F9" s="256">
        <f t="shared" si="0"/>
        <v>19</v>
      </c>
      <c r="G9" s="269">
        <f t="shared" si="1"/>
        <v>37</v>
      </c>
      <c r="I9" t="s">
        <v>10</v>
      </c>
      <c r="J9" t="e">
        <f ca="1">SQRT(L15)</f>
        <v>#NAME?</v>
      </c>
      <c r="Q9" t="s">
        <v>10</v>
      </c>
      <c r="R9" t="e">
        <f ca="1">SQRT(T15)</f>
        <v>#NAME?</v>
      </c>
    </row>
    <row r="10" spans="1:23" x14ac:dyDescent="0.25">
      <c r="A10">
        <f t="shared" si="2"/>
        <v>5</v>
      </c>
      <c r="B10" s="256">
        <v>21</v>
      </c>
      <c r="C10" s="269">
        <v>31</v>
      </c>
      <c r="E10" s="7">
        <f t="shared" si="3"/>
        <v>5</v>
      </c>
      <c r="F10" s="256">
        <f t="shared" si="0"/>
        <v>21</v>
      </c>
      <c r="G10" s="269">
        <f t="shared" si="1"/>
        <v>31</v>
      </c>
      <c r="I10" s="354" t="s">
        <v>55</v>
      </c>
      <c r="J10" s="354">
        <f>COUNT(C6:C17)</f>
        <v>12</v>
      </c>
      <c r="Q10" s="354" t="s">
        <v>55</v>
      </c>
      <c r="R10" s="354">
        <f>COUNT(G6:G12)</f>
        <v>7</v>
      </c>
    </row>
    <row r="11" spans="1:23" x14ac:dyDescent="0.25">
      <c r="A11">
        <f t="shared" si="2"/>
        <v>6</v>
      </c>
      <c r="B11" s="256">
        <v>25</v>
      </c>
      <c r="C11" s="269">
        <v>40</v>
      </c>
      <c r="E11" s="7">
        <f t="shared" si="3"/>
        <v>6</v>
      </c>
      <c r="F11" s="256">
        <f t="shared" si="0"/>
        <v>25</v>
      </c>
      <c r="G11" s="269">
        <f t="shared" si="1"/>
        <v>40</v>
      </c>
    </row>
    <row r="12" spans="1:23" ht="15.75" thickBot="1" x14ac:dyDescent="0.3">
      <c r="A12">
        <f t="shared" si="2"/>
        <v>7</v>
      </c>
      <c r="B12" s="256">
        <v>18</v>
      </c>
      <c r="C12" s="269">
        <v>35</v>
      </c>
      <c r="E12" s="7">
        <f t="shared" si="3"/>
        <v>7</v>
      </c>
      <c r="F12" s="256">
        <f t="shared" si="0"/>
        <v>18</v>
      </c>
      <c r="G12" s="269">
        <f t="shared" si="1"/>
        <v>35</v>
      </c>
      <c r="I12" t="s">
        <v>125</v>
      </c>
      <c r="M12" s="420" t="s">
        <v>18</v>
      </c>
      <c r="N12" s="420">
        <v>0.05</v>
      </c>
      <c r="Q12" t="s">
        <v>125</v>
      </c>
      <c r="U12" s="420" t="s">
        <v>18</v>
      </c>
      <c r="V12" s="420">
        <v>0.05</v>
      </c>
    </row>
    <row r="13" spans="1:23" ht="15.75" thickTop="1" x14ac:dyDescent="0.25">
      <c r="A13">
        <f t="shared" si="2"/>
        <v>8</v>
      </c>
      <c r="B13" s="256">
        <v>22</v>
      </c>
      <c r="C13" s="269">
        <v>44</v>
      </c>
      <c r="E13" s="7">
        <f t="shared" si="3"/>
        <v>8</v>
      </c>
      <c r="F13" s="256">
        <f t="shared" si="0"/>
        <v>22</v>
      </c>
      <c r="G13" s="269" t="s">
        <v>4</v>
      </c>
      <c r="I13" s="386"/>
      <c r="J13" s="386" t="s">
        <v>41</v>
      </c>
      <c r="K13" s="386" t="s">
        <v>111</v>
      </c>
      <c r="L13" s="386" t="s">
        <v>115</v>
      </c>
      <c r="M13" s="386" t="s">
        <v>98</v>
      </c>
      <c r="N13" s="386" t="s">
        <v>48</v>
      </c>
      <c r="O13" s="386" t="s">
        <v>164</v>
      </c>
      <c r="Q13" s="386"/>
      <c r="R13" s="386" t="s">
        <v>41</v>
      </c>
      <c r="S13" s="386" t="s">
        <v>111</v>
      </c>
      <c r="T13" s="386" t="s">
        <v>115</v>
      </c>
      <c r="U13" s="386" t="s">
        <v>98</v>
      </c>
      <c r="V13" s="386" t="s">
        <v>48</v>
      </c>
      <c r="W13" s="386" t="s">
        <v>164</v>
      </c>
    </row>
    <row r="14" spans="1:23" x14ac:dyDescent="0.25">
      <c r="A14">
        <f t="shared" si="2"/>
        <v>9</v>
      </c>
      <c r="B14" s="256">
        <v>18</v>
      </c>
      <c r="C14" s="269">
        <v>32</v>
      </c>
      <c r="E14" s="7">
        <f t="shared" si="3"/>
        <v>9</v>
      </c>
      <c r="F14" s="256">
        <f t="shared" si="0"/>
        <v>18</v>
      </c>
      <c r="G14" s="269" t="s">
        <v>4</v>
      </c>
      <c r="I14" t="s">
        <v>113</v>
      </c>
      <c r="J14">
        <f>COUNT(B6)</f>
        <v>1</v>
      </c>
      <c r="K14" t="e">
        <f ca="1">DEVSQ(MMULT(DESIGN(B6:B17),J19:J20))</f>
        <v>#NAME?</v>
      </c>
      <c r="L14" t="e">
        <f ca="1">K14/J14</f>
        <v>#NAME?</v>
      </c>
      <c r="M14" t="e">
        <f ca="1">L14/L15</f>
        <v>#NAME?</v>
      </c>
      <c r="N14" t="e">
        <f ca="1">FDIST(M14,J14,J15)</f>
        <v>#NAME?</v>
      </c>
      <c r="O14" s="420" t="e">
        <f ca="1">IF(N14&lt;N12,"yes","no")</f>
        <v>#NAME?</v>
      </c>
      <c r="Q14" t="s">
        <v>113</v>
      </c>
      <c r="R14">
        <f>COUNT(F6)</f>
        <v>1</v>
      </c>
      <c r="S14" t="e">
        <f ca="1">DEVSQ(MMULT(DESIGN(F6:F12),R19:R20))</f>
        <v>#NAME?</v>
      </c>
      <c r="T14" t="e">
        <f ca="1">S14/R14</f>
        <v>#NAME?</v>
      </c>
      <c r="U14" t="e">
        <f ca="1">T14/T15</f>
        <v>#NAME?</v>
      </c>
      <c r="V14" t="e">
        <f ca="1">FDIST(U14,R14,R15)</f>
        <v>#NAME?</v>
      </c>
      <c r="W14" s="420" t="e">
        <f ca="1">IF(V14&lt;V12,"yes","no")</f>
        <v>#NAME?</v>
      </c>
    </row>
    <row r="15" spans="1:23" x14ac:dyDescent="0.25">
      <c r="A15">
        <f t="shared" si="2"/>
        <v>10</v>
      </c>
      <c r="B15" s="256">
        <v>28</v>
      </c>
      <c r="C15" s="269">
        <v>48</v>
      </c>
      <c r="E15" s="7">
        <f t="shared" si="3"/>
        <v>10</v>
      </c>
      <c r="F15" s="256">
        <f t="shared" si="0"/>
        <v>28</v>
      </c>
      <c r="G15" s="269" t="s">
        <v>4</v>
      </c>
      <c r="I15" t="s">
        <v>126</v>
      </c>
      <c r="J15">
        <f>J16-J14</f>
        <v>10</v>
      </c>
      <c r="K15" t="e">
        <f ca="1">K16-K14</f>
        <v>#NAME?</v>
      </c>
      <c r="L15" t="e">
        <f ca="1">K15/J15</f>
        <v>#NAME?</v>
      </c>
      <c r="Q15" t="s">
        <v>126</v>
      </c>
      <c r="R15">
        <f>R16-R14</f>
        <v>5</v>
      </c>
      <c r="S15" t="e">
        <f ca="1">S16-S14</f>
        <v>#NAME?</v>
      </c>
      <c r="T15" t="e">
        <f ca="1">S15/R15</f>
        <v>#NAME?</v>
      </c>
    </row>
    <row r="16" spans="1:23" x14ac:dyDescent="0.25">
      <c r="A16">
        <f t="shared" si="2"/>
        <v>11</v>
      </c>
      <c r="B16" s="256">
        <v>25</v>
      </c>
      <c r="C16" s="269">
        <v>43</v>
      </c>
      <c r="E16" s="7">
        <f t="shared" si="3"/>
        <v>11</v>
      </c>
      <c r="F16" s="256">
        <f t="shared" si="0"/>
        <v>25</v>
      </c>
      <c r="G16" s="269" t="s">
        <v>4</v>
      </c>
      <c r="I16" s="354" t="s">
        <v>1</v>
      </c>
      <c r="J16" s="354">
        <f>J10-1</f>
        <v>11</v>
      </c>
      <c r="K16" s="354">
        <f>DEVSQ(C6:C17)</f>
        <v>589</v>
      </c>
      <c r="L16" s="354"/>
      <c r="M16" s="354"/>
      <c r="N16" s="354"/>
      <c r="O16" s="354"/>
      <c r="Q16" s="354" t="s">
        <v>1</v>
      </c>
      <c r="R16" s="354">
        <f>R10-1</f>
        <v>6</v>
      </c>
      <c r="S16" s="354">
        <f>DEVSQ(G6:G12)</f>
        <v>339.71428571428572</v>
      </c>
      <c r="T16" s="354"/>
      <c r="U16" s="354"/>
      <c r="V16" s="354"/>
      <c r="W16" s="354"/>
    </row>
    <row r="17" spans="1:23" ht="15.75" thickBot="1" x14ac:dyDescent="0.3">
      <c r="A17">
        <f t="shared" si="2"/>
        <v>12</v>
      </c>
      <c r="B17" s="425">
        <v>17</v>
      </c>
      <c r="C17" s="426">
        <v>35</v>
      </c>
      <c r="E17" s="7">
        <f t="shared" si="3"/>
        <v>12</v>
      </c>
      <c r="F17" s="425">
        <f t="shared" si="0"/>
        <v>17</v>
      </c>
      <c r="G17" s="426" t="s">
        <v>4</v>
      </c>
    </row>
    <row r="18" spans="1:23" ht="15.75" thickTop="1" x14ac:dyDescent="0.25">
      <c r="A18" s="12" t="s">
        <v>6</v>
      </c>
      <c r="B18">
        <f>AVERAGE(B6:B17)</f>
        <v>20.25</v>
      </c>
      <c r="C18">
        <f>AVERAGE(C6:C17)</f>
        <v>37.5</v>
      </c>
      <c r="E18" s="12" t="s">
        <v>6</v>
      </c>
      <c r="F18">
        <f>AVERAGE(F6:F17)</f>
        <v>20.25</v>
      </c>
      <c r="G18">
        <f>AVERAGE(G6:G17)</f>
        <v>35.428571428571431</v>
      </c>
      <c r="I18" s="386"/>
      <c r="J18" s="386" t="s">
        <v>797</v>
      </c>
      <c r="K18" s="386" t="s">
        <v>390</v>
      </c>
      <c r="L18" s="386" t="s">
        <v>42</v>
      </c>
      <c r="M18" s="386" t="s">
        <v>48</v>
      </c>
      <c r="N18" s="386" t="s">
        <v>15</v>
      </c>
      <c r="O18" s="386" t="s">
        <v>16</v>
      </c>
      <c r="Q18" s="386"/>
      <c r="R18" s="386" t="s">
        <v>797</v>
      </c>
      <c r="S18" s="386" t="s">
        <v>390</v>
      </c>
      <c r="T18" s="386" t="s">
        <v>42</v>
      </c>
      <c r="U18" s="386" t="s">
        <v>48</v>
      </c>
      <c r="V18" s="386" t="s">
        <v>15</v>
      </c>
      <c r="W18" s="386" t="s">
        <v>16</v>
      </c>
    </row>
    <row r="19" spans="1:23" x14ac:dyDescent="0.25">
      <c r="A19" s="12" t="s">
        <v>8</v>
      </c>
      <c r="B19">
        <f>STDEV(B6:B17)</f>
        <v>4.575130400526108</v>
      </c>
      <c r="C19">
        <f>STDEV(C6:C17)</f>
        <v>7.3174759682184503</v>
      </c>
      <c r="E19" s="12" t="s">
        <v>8</v>
      </c>
      <c r="F19">
        <f>STDEV(F6:F17)</f>
        <v>4.575130400526108</v>
      </c>
      <c r="G19">
        <f>STDEV(G6:G17)</f>
        <v>7.5245629520290214</v>
      </c>
      <c r="I19" t="s">
        <v>127</v>
      </c>
      <c r="J19" t="e">
        <f t="array" aca="1" ref="J19:J20" ca="1">RegCoeff(B6:B17,C6:C17)</f>
        <v>#NAME?</v>
      </c>
      <c r="K19" t="e">
        <f t="array" aca="1" ref="K19:K20" ca="1">RegCoeffSE(B6:B17,C6:C17)</f>
        <v>#NAME?</v>
      </c>
      <c r="L19" t="e">
        <f ca="1">J19/K19</f>
        <v>#NAME?</v>
      </c>
      <c r="M19" t="e">
        <f ca="1">TDIST(ABS(L19),$J$15,2)</f>
        <v>#NAME?</v>
      </c>
      <c r="N19" t="e">
        <f ca="1">J19-TINV(N$12,$J$15)*K19</f>
        <v>#NAME?</v>
      </c>
      <c r="O19" t="e">
        <f ca="1">J19+TINV(N$12,$J$15)*K19</f>
        <v>#NAME?</v>
      </c>
      <c r="Q19" t="s">
        <v>127</v>
      </c>
      <c r="R19" t="e">
        <f t="array" aca="1" ref="R19:R20" ca="1">RegCoeff(F6:F12,G6:G12)</f>
        <v>#NAME?</v>
      </c>
      <c r="S19" t="e">
        <f t="array" aca="1" ref="S19:S20" ca="1">RegCoeffSE(F6:F12,G6:G12)</f>
        <v>#NAME?</v>
      </c>
      <c r="T19" t="e">
        <f ca="1">R19/S19</f>
        <v>#NAME?</v>
      </c>
      <c r="U19" t="e">
        <f ca="1">TDIST(ABS(T19),$R$15,2)</f>
        <v>#NAME?</v>
      </c>
      <c r="V19" t="e">
        <f ca="1">R19-TINV(V$12,$R$15)*S19</f>
        <v>#NAME?</v>
      </c>
      <c r="W19" t="e">
        <f ca="1">R19+TINV(V$12,$R$15)*S19</f>
        <v>#NAME?</v>
      </c>
    </row>
    <row r="20" spans="1:23" x14ac:dyDescent="0.25">
      <c r="A20" s="12" t="s">
        <v>1005</v>
      </c>
      <c r="B20">
        <f>CORREL(B6:B17,C6:C17)</f>
        <v>0.84586408258493195</v>
      </c>
      <c r="E20" s="12" t="s">
        <v>1005</v>
      </c>
      <c r="F20">
        <f>CORREL(F6:F17,G6:G17)</f>
        <v>0.76917084121957169</v>
      </c>
      <c r="I20" s="354" t="str">
        <f t="array" ref="I20">TRANSPOSE(B5)</f>
        <v>math</v>
      </c>
      <c r="J20" s="354" t="e">
        <f ca="1"/>
        <v>#NAME?</v>
      </c>
      <c r="K20" s="354" t="e">
        <f ca="1"/>
        <v>#NAME?</v>
      </c>
      <c r="L20" s="354" t="e">
        <f ca="1">J20/K20</f>
        <v>#NAME?</v>
      </c>
      <c r="M20" s="354" t="e">
        <f ca="1">TDIST(ABS(L20),$J$15,2)</f>
        <v>#NAME?</v>
      </c>
      <c r="N20" s="354" t="e">
        <f ca="1">J20-TINV(N$12,$J$15)*K20</f>
        <v>#NAME?</v>
      </c>
      <c r="O20" s="354" t="e">
        <f ca="1">J20+TINV(N$12,$J$15)*K20</f>
        <v>#NAME?</v>
      </c>
      <c r="Q20" s="354" t="str">
        <f t="array" ref="Q20">TRANSPOSE(F5)</f>
        <v>math</v>
      </c>
      <c r="R20" s="354" t="e">
        <f ca="1"/>
        <v>#NAME?</v>
      </c>
      <c r="S20" s="354" t="e">
        <f ca="1"/>
        <v>#NAME?</v>
      </c>
      <c r="T20" s="354" t="e">
        <f ca="1">R20/S20</f>
        <v>#NAME?</v>
      </c>
      <c r="U20" s="354" t="e">
        <f ca="1">TDIST(ABS(T20),$R$15,2)</f>
        <v>#NAME?</v>
      </c>
      <c r="V20" s="354" t="e">
        <f ca="1">R20-TINV(V$12,$R$15)*S20</f>
        <v>#NAME?</v>
      </c>
      <c r="W20" s="354" t="e">
        <f ca="1">R20+TINV(V$12,$R$15)*S20</f>
        <v>#NAME?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K19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</cols>
  <sheetData>
    <row r="1" spans="1:11" x14ac:dyDescent="0.25">
      <c r="A1" s="1" t="s">
        <v>1001</v>
      </c>
    </row>
    <row r="2" spans="1:11" x14ac:dyDescent="0.25">
      <c r="A2" s="1"/>
    </row>
    <row r="3" spans="1:11" x14ac:dyDescent="0.25">
      <c r="A3" s="15" t="s">
        <v>998</v>
      </c>
      <c r="E3" t="s">
        <v>999</v>
      </c>
      <c r="I3" t="s">
        <v>1002</v>
      </c>
    </row>
    <row r="5" spans="1:11" x14ac:dyDescent="0.25">
      <c r="A5" s="12" t="s">
        <v>995</v>
      </c>
      <c r="B5" s="420" t="s">
        <v>996</v>
      </c>
      <c r="C5" s="420" t="s">
        <v>997</v>
      </c>
      <c r="E5" s="12" t="s">
        <v>995</v>
      </c>
      <c r="F5" s="420" t="s">
        <v>996</v>
      </c>
      <c r="G5" s="420" t="s">
        <v>997</v>
      </c>
      <c r="I5" s="12" t="s">
        <v>995</v>
      </c>
      <c r="J5" s="420" t="s">
        <v>996</v>
      </c>
      <c r="K5" s="420" t="s">
        <v>997</v>
      </c>
    </row>
    <row r="6" spans="1:11" x14ac:dyDescent="0.25">
      <c r="A6">
        <v>1</v>
      </c>
      <c r="B6" s="423">
        <v>14</v>
      </c>
      <c r="C6" s="424">
        <v>27</v>
      </c>
      <c r="E6" s="7">
        <v>1</v>
      </c>
      <c r="F6" s="423">
        <f>B6</f>
        <v>14</v>
      </c>
      <c r="G6" s="424">
        <f>C6</f>
        <v>27</v>
      </c>
      <c r="I6" s="7">
        <v>1</v>
      </c>
      <c r="J6" s="423">
        <f>F6</f>
        <v>14</v>
      </c>
      <c r="K6" s="424">
        <f>G6</f>
        <v>27</v>
      </c>
    </row>
    <row r="7" spans="1:11" x14ac:dyDescent="0.25">
      <c r="A7">
        <f>A6+1</f>
        <v>2</v>
      </c>
      <c r="B7" s="256">
        <v>13</v>
      </c>
      <c r="C7" s="269">
        <v>29</v>
      </c>
      <c r="E7" s="7">
        <f>E6+1</f>
        <v>2</v>
      </c>
      <c r="F7" s="256">
        <f t="shared" ref="F7:G17" si="0">B7</f>
        <v>13</v>
      </c>
      <c r="G7" s="269">
        <f t="shared" si="0"/>
        <v>29</v>
      </c>
      <c r="I7" s="7">
        <f>I6+1</f>
        <v>2</v>
      </c>
      <c r="J7" s="256">
        <f t="shared" ref="J7:J17" si="1">F7</f>
        <v>13</v>
      </c>
      <c r="K7" s="269">
        <f t="shared" ref="K7:K12" si="2">G7</f>
        <v>29</v>
      </c>
    </row>
    <row r="8" spans="1:11" x14ac:dyDescent="0.25">
      <c r="A8">
        <f t="shared" ref="A8:A17" si="3">A7+1</f>
        <v>3</v>
      </c>
      <c r="B8" s="256">
        <v>23</v>
      </c>
      <c r="C8" s="269">
        <v>49</v>
      </c>
      <c r="E8" s="7">
        <f t="shared" ref="E8:E17" si="4">E7+1</f>
        <v>3</v>
      </c>
      <c r="F8" s="256">
        <f t="shared" si="0"/>
        <v>23</v>
      </c>
      <c r="G8" s="269">
        <f t="shared" si="0"/>
        <v>49</v>
      </c>
      <c r="I8" s="7">
        <f t="shared" ref="I8:I17" si="5">I7+1</f>
        <v>3</v>
      </c>
      <c r="J8" s="256">
        <f t="shared" si="1"/>
        <v>23</v>
      </c>
      <c r="K8" s="269">
        <f t="shared" si="2"/>
        <v>49</v>
      </c>
    </row>
    <row r="9" spans="1:11" x14ac:dyDescent="0.25">
      <c r="A9">
        <f t="shared" si="3"/>
        <v>4</v>
      </c>
      <c r="B9" s="256">
        <v>19</v>
      </c>
      <c r="C9" s="269">
        <v>37</v>
      </c>
      <c r="E9" s="7">
        <f t="shared" si="4"/>
        <v>4</v>
      </c>
      <c r="F9" s="256">
        <f t="shared" si="0"/>
        <v>19</v>
      </c>
      <c r="G9" s="269">
        <f t="shared" si="0"/>
        <v>37</v>
      </c>
      <c r="I9" s="7">
        <f t="shared" si="5"/>
        <v>4</v>
      </c>
      <c r="J9" s="256">
        <f t="shared" si="1"/>
        <v>19</v>
      </c>
      <c r="K9" s="269">
        <f t="shared" si="2"/>
        <v>37</v>
      </c>
    </row>
    <row r="10" spans="1:11" x14ac:dyDescent="0.25">
      <c r="A10">
        <f t="shared" si="3"/>
        <v>5</v>
      </c>
      <c r="B10" s="256">
        <v>21</v>
      </c>
      <c r="C10" s="269">
        <v>31</v>
      </c>
      <c r="E10" s="7">
        <f t="shared" si="4"/>
        <v>5</v>
      </c>
      <c r="F10" s="256">
        <f t="shared" si="0"/>
        <v>21</v>
      </c>
      <c r="G10" s="269">
        <f t="shared" si="0"/>
        <v>31</v>
      </c>
      <c r="I10" s="7">
        <f t="shared" si="5"/>
        <v>5</v>
      </c>
      <c r="J10" s="256">
        <f t="shared" si="1"/>
        <v>21</v>
      </c>
      <c r="K10" s="269">
        <f t="shared" si="2"/>
        <v>31</v>
      </c>
    </row>
    <row r="11" spans="1:11" x14ac:dyDescent="0.25">
      <c r="A11">
        <f t="shared" si="3"/>
        <v>6</v>
      </c>
      <c r="B11" s="256">
        <v>25</v>
      </c>
      <c r="C11" s="269">
        <v>40</v>
      </c>
      <c r="E11" s="7">
        <f t="shared" si="4"/>
        <v>6</v>
      </c>
      <c r="F11" s="256">
        <f t="shared" si="0"/>
        <v>25</v>
      </c>
      <c r="G11" s="269">
        <f t="shared" si="0"/>
        <v>40</v>
      </c>
      <c r="I11" s="7">
        <f t="shared" si="5"/>
        <v>6</v>
      </c>
      <c r="J11" s="256">
        <f t="shared" si="1"/>
        <v>25</v>
      </c>
      <c r="K11" s="269">
        <f t="shared" si="2"/>
        <v>40</v>
      </c>
    </row>
    <row r="12" spans="1:11" x14ac:dyDescent="0.25">
      <c r="A12">
        <f t="shared" si="3"/>
        <v>7</v>
      </c>
      <c r="B12" s="256">
        <v>18</v>
      </c>
      <c r="C12" s="269">
        <v>35</v>
      </c>
      <c r="E12" s="7">
        <f t="shared" si="4"/>
        <v>7</v>
      </c>
      <c r="F12" s="256">
        <f t="shared" si="0"/>
        <v>18</v>
      </c>
      <c r="G12" s="269">
        <f t="shared" si="0"/>
        <v>35</v>
      </c>
      <c r="I12" s="7">
        <f t="shared" si="5"/>
        <v>7</v>
      </c>
      <c r="J12" s="256">
        <f t="shared" si="1"/>
        <v>18</v>
      </c>
      <c r="K12" s="269">
        <f t="shared" si="2"/>
        <v>35</v>
      </c>
    </row>
    <row r="13" spans="1:11" x14ac:dyDescent="0.25">
      <c r="A13">
        <f t="shared" si="3"/>
        <v>8</v>
      </c>
      <c r="B13" s="256">
        <v>22</v>
      </c>
      <c r="C13" s="269">
        <v>44</v>
      </c>
      <c r="E13" s="7">
        <f t="shared" si="4"/>
        <v>8</v>
      </c>
      <c r="F13" s="256">
        <f t="shared" si="0"/>
        <v>22</v>
      </c>
      <c r="G13" s="269" t="s">
        <v>4</v>
      </c>
      <c r="I13" s="7">
        <f t="shared" si="5"/>
        <v>8</v>
      </c>
      <c r="J13" s="256">
        <f t="shared" si="1"/>
        <v>22</v>
      </c>
      <c r="K13" s="269">
        <f>G18</f>
        <v>35.428571428571431</v>
      </c>
    </row>
    <row r="14" spans="1:11" x14ac:dyDescent="0.25">
      <c r="A14">
        <f t="shared" si="3"/>
        <v>9</v>
      </c>
      <c r="B14" s="256">
        <v>18</v>
      </c>
      <c r="C14" s="269">
        <v>32</v>
      </c>
      <c r="E14" s="7">
        <f t="shared" si="4"/>
        <v>9</v>
      </c>
      <c r="F14" s="256">
        <f t="shared" si="0"/>
        <v>18</v>
      </c>
      <c r="G14" s="269" t="s">
        <v>4</v>
      </c>
      <c r="I14" s="7">
        <f t="shared" si="5"/>
        <v>9</v>
      </c>
      <c r="J14" s="256">
        <f t="shared" si="1"/>
        <v>18</v>
      </c>
      <c r="K14" s="269">
        <f>K13</f>
        <v>35.428571428571431</v>
      </c>
    </row>
    <row r="15" spans="1:11" x14ac:dyDescent="0.25">
      <c r="A15">
        <f t="shared" si="3"/>
        <v>10</v>
      </c>
      <c r="B15" s="256">
        <v>28</v>
      </c>
      <c r="C15" s="269">
        <v>48</v>
      </c>
      <c r="E15" s="7">
        <f t="shared" si="4"/>
        <v>10</v>
      </c>
      <c r="F15" s="256">
        <f t="shared" si="0"/>
        <v>28</v>
      </c>
      <c r="G15" s="269" t="s">
        <v>4</v>
      </c>
      <c r="I15" s="7">
        <f t="shared" si="5"/>
        <v>10</v>
      </c>
      <c r="J15" s="256">
        <f t="shared" si="1"/>
        <v>28</v>
      </c>
      <c r="K15" s="269">
        <f>K14</f>
        <v>35.428571428571431</v>
      </c>
    </row>
    <row r="16" spans="1:11" x14ac:dyDescent="0.25">
      <c r="A16">
        <f t="shared" si="3"/>
        <v>11</v>
      </c>
      <c r="B16" s="256">
        <v>25</v>
      </c>
      <c r="C16" s="269">
        <v>43</v>
      </c>
      <c r="E16" s="7">
        <f t="shared" si="4"/>
        <v>11</v>
      </c>
      <c r="F16" s="256">
        <f t="shared" si="0"/>
        <v>25</v>
      </c>
      <c r="G16" s="269" t="s">
        <v>4</v>
      </c>
      <c r="I16" s="7">
        <f t="shared" si="5"/>
        <v>11</v>
      </c>
      <c r="J16" s="256">
        <f t="shared" si="1"/>
        <v>25</v>
      </c>
      <c r="K16" s="269">
        <f>K15</f>
        <v>35.428571428571431</v>
      </c>
    </row>
    <row r="17" spans="1:11" x14ac:dyDescent="0.25">
      <c r="A17">
        <f t="shared" si="3"/>
        <v>12</v>
      </c>
      <c r="B17" s="425">
        <v>17</v>
      </c>
      <c r="C17" s="426">
        <v>35</v>
      </c>
      <c r="E17" s="7">
        <f t="shared" si="4"/>
        <v>12</v>
      </c>
      <c r="F17" s="425">
        <f t="shared" si="0"/>
        <v>17</v>
      </c>
      <c r="G17" s="426" t="s">
        <v>4</v>
      </c>
      <c r="I17" s="7">
        <f t="shared" si="5"/>
        <v>12</v>
      </c>
      <c r="J17" s="425">
        <f t="shared" si="1"/>
        <v>17</v>
      </c>
      <c r="K17" s="426">
        <f>K16</f>
        <v>35.428571428571431</v>
      </c>
    </row>
    <row r="18" spans="1:11" x14ac:dyDescent="0.25">
      <c r="A18" s="12" t="s">
        <v>6</v>
      </c>
      <c r="B18">
        <f>AVERAGE(B6:B17)</f>
        <v>20.25</v>
      </c>
      <c r="C18">
        <f>AVERAGE(C6:C17)</f>
        <v>37.5</v>
      </c>
      <c r="E18" s="12" t="s">
        <v>6</v>
      </c>
      <c r="F18">
        <f>AVERAGE(F6:F17)</f>
        <v>20.25</v>
      </c>
      <c r="G18">
        <f>AVERAGE(G6:G17)</f>
        <v>35.428571428571431</v>
      </c>
      <c r="I18" s="12" t="s">
        <v>6</v>
      </c>
      <c r="J18">
        <f>AVERAGE(J6:J17)</f>
        <v>20.25</v>
      </c>
      <c r="K18">
        <f>AVERAGE(K6:K17)</f>
        <v>35.428571428571438</v>
      </c>
    </row>
    <row r="19" spans="1:11" x14ac:dyDescent="0.25">
      <c r="A19" s="12" t="s">
        <v>8</v>
      </c>
      <c r="B19">
        <f>STDEV(B6:B17)</f>
        <v>4.575130400526108</v>
      </c>
      <c r="C19">
        <f>STDEV(C6:C17)</f>
        <v>7.3174759682184503</v>
      </c>
      <c r="E19" s="12" t="s">
        <v>8</v>
      </c>
      <c r="F19">
        <f>STDEV(F6:F17)</f>
        <v>4.575130400526108</v>
      </c>
      <c r="G19">
        <f>STDEV(G6:G17)</f>
        <v>7.5245629520290214</v>
      </c>
      <c r="I19" s="12" t="s">
        <v>8</v>
      </c>
      <c r="J19">
        <f>STDEV(J6:J17)</f>
        <v>4.575130400526108</v>
      </c>
      <c r="K19">
        <f>STDEV(K6:K17)</f>
        <v>5.5572580363985802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K20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</cols>
  <sheetData>
    <row r="1" spans="1:11" x14ac:dyDescent="0.25">
      <c r="A1" s="1" t="s">
        <v>1003</v>
      </c>
    </row>
    <row r="2" spans="1:11" x14ac:dyDescent="0.25">
      <c r="A2" s="1"/>
    </row>
    <row r="3" spans="1:11" x14ac:dyDescent="0.25">
      <c r="A3" s="15" t="s">
        <v>998</v>
      </c>
      <c r="E3" t="s">
        <v>999</v>
      </c>
      <c r="I3" t="s">
        <v>1004</v>
      </c>
    </row>
    <row r="5" spans="1:11" x14ac:dyDescent="0.25">
      <c r="A5" s="12" t="s">
        <v>995</v>
      </c>
      <c r="B5" s="420" t="s">
        <v>996</v>
      </c>
      <c r="C5" s="420" t="s">
        <v>997</v>
      </c>
      <c r="E5" s="12" t="s">
        <v>995</v>
      </c>
      <c r="F5" s="420" t="s">
        <v>996</v>
      </c>
      <c r="G5" s="420" t="s">
        <v>997</v>
      </c>
      <c r="I5" s="12" t="s">
        <v>995</v>
      </c>
      <c r="J5" s="420" t="s">
        <v>996</v>
      </c>
      <c r="K5" s="420" t="s">
        <v>997</v>
      </c>
    </row>
    <row r="6" spans="1:11" x14ac:dyDescent="0.25">
      <c r="A6">
        <v>1</v>
      </c>
      <c r="B6" s="423">
        <v>14</v>
      </c>
      <c r="C6" s="424">
        <v>27</v>
      </c>
      <c r="E6" s="7">
        <v>1</v>
      </c>
      <c r="F6" s="423">
        <f>B6</f>
        <v>14</v>
      </c>
      <c r="G6" s="424">
        <f>C6</f>
        <v>27</v>
      </c>
      <c r="I6" s="7">
        <v>1</v>
      </c>
      <c r="J6" s="423">
        <f>F6</f>
        <v>14</v>
      </c>
      <c r="K6" s="424">
        <f>G6</f>
        <v>27</v>
      </c>
    </row>
    <row r="7" spans="1:11" x14ac:dyDescent="0.25">
      <c r="A7">
        <f>A6+1</f>
        <v>2</v>
      </c>
      <c r="B7" s="256">
        <v>13</v>
      </c>
      <c r="C7" s="269">
        <v>29</v>
      </c>
      <c r="E7" s="7">
        <f>E6+1</f>
        <v>2</v>
      </c>
      <c r="F7" s="256">
        <f t="shared" ref="F7:G17" si="0">B7</f>
        <v>13</v>
      </c>
      <c r="G7" s="269">
        <f t="shared" si="0"/>
        <v>29</v>
      </c>
      <c r="I7" s="7">
        <f>I6+1</f>
        <v>2</v>
      </c>
      <c r="J7" s="256">
        <f t="shared" ref="J7:K17" si="1">F7</f>
        <v>13</v>
      </c>
      <c r="K7" s="269">
        <f t="shared" si="1"/>
        <v>29</v>
      </c>
    </row>
    <row r="8" spans="1:11" x14ac:dyDescent="0.25">
      <c r="A8">
        <f t="shared" ref="A8:A17" si="2">A7+1</f>
        <v>3</v>
      </c>
      <c r="B8" s="256">
        <v>23</v>
      </c>
      <c r="C8" s="269">
        <v>49</v>
      </c>
      <c r="E8" s="7">
        <f t="shared" ref="E8:E17" si="3">E7+1</f>
        <v>3</v>
      </c>
      <c r="F8" s="256">
        <f t="shared" si="0"/>
        <v>23</v>
      </c>
      <c r="G8" s="269">
        <f t="shared" si="0"/>
        <v>49</v>
      </c>
      <c r="I8" s="7">
        <f t="shared" ref="I8:I17" si="4">I7+1</f>
        <v>3</v>
      </c>
      <c r="J8" s="256">
        <f t="shared" si="1"/>
        <v>23</v>
      </c>
      <c r="K8" s="269">
        <f t="shared" si="1"/>
        <v>49</v>
      </c>
    </row>
    <row r="9" spans="1:11" x14ac:dyDescent="0.25">
      <c r="A9">
        <f t="shared" si="2"/>
        <v>4</v>
      </c>
      <c r="B9" s="256">
        <v>19</v>
      </c>
      <c r="C9" s="269">
        <v>37</v>
      </c>
      <c r="E9" s="7">
        <f t="shared" si="3"/>
        <v>4</v>
      </c>
      <c r="F9" s="256">
        <f t="shared" si="0"/>
        <v>19</v>
      </c>
      <c r="G9" s="269">
        <f t="shared" si="0"/>
        <v>37</v>
      </c>
      <c r="I9" s="7">
        <f t="shared" si="4"/>
        <v>4</v>
      </c>
      <c r="J9" s="256">
        <f t="shared" si="1"/>
        <v>19</v>
      </c>
      <c r="K9" s="269">
        <f t="shared" si="1"/>
        <v>37</v>
      </c>
    </row>
    <row r="10" spans="1:11" x14ac:dyDescent="0.25">
      <c r="A10">
        <f t="shared" si="2"/>
        <v>5</v>
      </c>
      <c r="B10" s="256">
        <v>21</v>
      </c>
      <c r="C10" s="269">
        <v>31</v>
      </c>
      <c r="E10" s="7">
        <f t="shared" si="3"/>
        <v>5</v>
      </c>
      <c r="F10" s="256">
        <f t="shared" si="0"/>
        <v>21</v>
      </c>
      <c r="G10" s="269">
        <f t="shared" si="0"/>
        <v>31</v>
      </c>
      <c r="I10" s="7">
        <f t="shared" si="4"/>
        <v>5</v>
      </c>
      <c r="J10" s="256">
        <f t="shared" si="1"/>
        <v>21</v>
      </c>
      <c r="K10" s="269">
        <f t="shared" si="1"/>
        <v>31</v>
      </c>
    </row>
    <row r="11" spans="1:11" x14ac:dyDescent="0.25">
      <c r="A11">
        <f t="shared" si="2"/>
        <v>6</v>
      </c>
      <c r="B11" s="256">
        <v>25</v>
      </c>
      <c r="C11" s="269">
        <v>40</v>
      </c>
      <c r="E11" s="7">
        <f t="shared" si="3"/>
        <v>6</v>
      </c>
      <c r="F11" s="256">
        <f t="shared" si="0"/>
        <v>25</v>
      </c>
      <c r="G11" s="269">
        <f t="shared" si="0"/>
        <v>40</v>
      </c>
      <c r="I11" s="7">
        <f t="shared" si="4"/>
        <v>6</v>
      </c>
      <c r="J11" s="256">
        <f t="shared" si="1"/>
        <v>25</v>
      </c>
      <c r="K11" s="269">
        <f t="shared" si="1"/>
        <v>40</v>
      </c>
    </row>
    <row r="12" spans="1:11" x14ac:dyDescent="0.25">
      <c r="A12">
        <f t="shared" si="2"/>
        <v>7</v>
      </c>
      <c r="B12" s="256">
        <v>18</v>
      </c>
      <c r="C12" s="269">
        <v>35</v>
      </c>
      <c r="E12" s="7">
        <f t="shared" si="3"/>
        <v>7</v>
      </c>
      <c r="F12" s="256">
        <f t="shared" si="0"/>
        <v>18</v>
      </c>
      <c r="G12" s="269">
        <f t="shared" si="0"/>
        <v>35</v>
      </c>
      <c r="I12" s="7">
        <f t="shared" si="4"/>
        <v>7</v>
      </c>
      <c r="J12" s="256">
        <f t="shared" si="1"/>
        <v>18</v>
      </c>
      <c r="K12" s="269">
        <f t="shared" si="1"/>
        <v>35</v>
      </c>
    </row>
    <row r="13" spans="1:11" x14ac:dyDescent="0.25">
      <c r="A13">
        <f t="shared" si="2"/>
        <v>8</v>
      </c>
      <c r="B13" s="256">
        <v>22</v>
      </c>
      <c r="C13" s="269">
        <v>44</v>
      </c>
      <c r="E13" s="7">
        <f t="shared" si="3"/>
        <v>8</v>
      </c>
      <c r="F13" s="256">
        <f t="shared" si="0"/>
        <v>22</v>
      </c>
      <c r="G13" s="269" t="s">
        <v>4</v>
      </c>
      <c r="I13" s="7">
        <f t="shared" si="4"/>
        <v>8</v>
      </c>
      <c r="J13" s="256">
        <f t="shared" si="1"/>
        <v>22</v>
      </c>
      <c r="K13" s="269">
        <f t="array" ref="K13:K17">FORECAST(J13:J17,G6:G12,F6:F12)</f>
        <v>39.343825665859569</v>
      </c>
    </row>
    <row r="14" spans="1:11" x14ac:dyDescent="0.25">
      <c r="A14">
        <f t="shared" si="2"/>
        <v>9</v>
      </c>
      <c r="B14" s="256">
        <v>18</v>
      </c>
      <c r="C14" s="269">
        <v>32</v>
      </c>
      <c r="E14" s="7">
        <f t="shared" si="3"/>
        <v>9</v>
      </c>
      <c r="F14" s="256">
        <f t="shared" si="0"/>
        <v>18</v>
      </c>
      <c r="G14" s="269" t="s">
        <v>4</v>
      </c>
      <c r="I14" s="7">
        <f t="shared" si="4"/>
        <v>9</v>
      </c>
      <c r="J14" s="256">
        <f t="shared" si="1"/>
        <v>18</v>
      </c>
      <c r="K14" s="269">
        <v>34.123486682808718</v>
      </c>
    </row>
    <row r="15" spans="1:11" x14ac:dyDescent="0.25">
      <c r="A15">
        <f t="shared" si="2"/>
        <v>10</v>
      </c>
      <c r="B15" s="256">
        <v>28</v>
      </c>
      <c r="C15" s="269">
        <v>48</v>
      </c>
      <c r="E15" s="7">
        <f t="shared" si="3"/>
        <v>10</v>
      </c>
      <c r="F15" s="256">
        <f t="shared" si="0"/>
        <v>28</v>
      </c>
      <c r="G15" s="269" t="s">
        <v>4</v>
      </c>
      <c r="I15" s="7">
        <f t="shared" si="4"/>
        <v>10</v>
      </c>
      <c r="J15" s="256">
        <f t="shared" si="1"/>
        <v>28</v>
      </c>
      <c r="K15" s="269">
        <v>47.174334140435832</v>
      </c>
    </row>
    <row r="16" spans="1:11" x14ac:dyDescent="0.25">
      <c r="A16">
        <f t="shared" si="2"/>
        <v>11</v>
      </c>
      <c r="B16" s="256">
        <v>25</v>
      </c>
      <c r="C16" s="269">
        <v>43</v>
      </c>
      <c r="E16" s="7">
        <f t="shared" si="3"/>
        <v>11</v>
      </c>
      <c r="F16" s="256">
        <f t="shared" si="0"/>
        <v>25</v>
      </c>
      <c r="G16" s="269" t="s">
        <v>4</v>
      </c>
      <c r="I16" s="7">
        <f t="shared" si="4"/>
        <v>11</v>
      </c>
      <c r="J16" s="256">
        <f t="shared" si="1"/>
        <v>25</v>
      </c>
      <c r="K16" s="269">
        <v>43.259079903147708</v>
      </c>
    </row>
    <row r="17" spans="1:11" x14ac:dyDescent="0.25">
      <c r="A17">
        <f t="shared" si="2"/>
        <v>12</v>
      </c>
      <c r="B17" s="425">
        <v>17</v>
      </c>
      <c r="C17" s="426">
        <v>35</v>
      </c>
      <c r="E17" s="7">
        <f t="shared" si="3"/>
        <v>12</v>
      </c>
      <c r="F17" s="425">
        <f t="shared" si="0"/>
        <v>17</v>
      </c>
      <c r="G17" s="426" t="s">
        <v>4</v>
      </c>
      <c r="I17" s="7">
        <f t="shared" si="4"/>
        <v>12</v>
      </c>
      <c r="J17" s="425">
        <f t="shared" si="1"/>
        <v>17</v>
      </c>
      <c r="K17" s="426">
        <v>32.818401937046005</v>
      </c>
    </row>
    <row r="18" spans="1:11" x14ac:dyDescent="0.25">
      <c r="A18" s="12" t="s">
        <v>6</v>
      </c>
      <c r="B18">
        <f>AVERAGE(B6:B17)</f>
        <v>20.25</v>
      </c>
      <c r="C18">
        <f>AVERAGE(C6:C17)</f>
        <v>37.5</v>
      </c>
      <c r="E18" s="12" t="s">
        <v>6</v>
      </c>
      <c r="F18">
        <f>AVERAGE(F6:F17)</f>
        <v>20.25</v>
      </c>
      <c r="G18">
        <f>AVERAGE(G6:G17)</f>
        <v>35.428571428571431</v>
      </c>
      <c r="I18" s="12" t="s">
        <v>6</v>
      </c>
      <c r="J18">
        <f>AVERAGE(J6:J17)</f>
        <v>20.25</v>
      </c>
      <c r="K18">
        <f>AVERAGE(K6:K17)</f>
        <v>37.059927360774822</v>
      </c>
    </row>
    <row r="19" spans="1:11" x14ac:dyDescent="0.25">
      <c r="A19" s="12" t="s">
        <v>8</v>
      </c>
      <c r="B19">
        <f>STDEV(B6:B17)</f>
        <v>4.575130400526108</v>
      </c>
      <c r="C19">
        <f>STDEV(C6:C17)</f>
        <v>7.3174759682184503</v>
      </c>
      <c r="E19" s="12" t="s">
        <v>8</v>
      </c>
      <c r="F19">
        <f>STDEV(F6:F17)</f>
        <v>4.575130400526108</v>
      </c>
      <c r="G19">
        <f>STDEV(G6:G17)</f>
        <v>7.5245629520290214</v>
      </c>
      <c r="I19" s="12" t="s">
        <v>8</v>
      </c>
      <c r="J19">
        <f>STDEV(J6:J17)</f>
        <v>4.575130400526108</v>
      </c>
      <c r="K19">
        <f>STDEV(K6:K17)</f>
        <v>6.9472275107570365</v>
      </c>
    </row>
    <row r="20" spans="1:11" x14ac:dyDescent="0.25">
      <c r="A20" s="12" t="s">
        <v>1005</v>
      </c>
      <c r="B20">
        <f>CORREL(B6:B17,C6:C17)</f>
        <v>0.84586408258493195</v>
      </c>
      <c r="E20" s="12" t="s">
        <v>1005</v>
      </c>
      <c r="F20">
        <f>CORREL(F6:F17,G6:G17)</f>
        <v>0.76917084121957169</v>
      </c>
      <c r="I20" s="12" t="s">
        <v>1005</v>
      </c>
      <c r="J20">
        <f>CORREL(J6:J17,K6:K17)</f>
        <v>0.85946989448042677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O21"/>
  <sheetViews>
    <sheetView workbookViewId="0"/>
  </sheetViews>
  <sheetFormatPr defaultRowHeight="15" x14ac:dyDescent="0.25"/>
  <cols>
    <col min="1" max="1" width="6.85546875" customWidth="1"/>
    <col min="2" max="4" width="8.7109375" customWidth="1"/>
    <col min="5" max="5" width="6.85546875" customWidth="1"/>
    <col min="6" max="7" width="8.7109375" customWidth="1"/>
  </cols>
  <sheetData>
    <row r="1" spans="1:13" x14ac:dyDescent="0.25">
      <c r="A1" s="1" t="s">
        <v>1007</v>
      </c>
    </row>
    <row r="2" spans="1:13" x14ac:dyDescent="0.25">
      <c r="A2" s="1"/>
    </row>
    <row r="3" spans="1:13" x14ac:dyDescent="0.25">
      <c r="A3" s="15" t="s">
        <v>998</v>
      </c>
      <c r="E3" t="s">
        <v>999</v>
      </c>
      <c r="I3" t="s">
        <v>1008</v>
      </c>
    </row>
    <row r="5" spans="1:13" x14ac:dyDescent="0.25">
      <c r="A5" s="12" t="s">
        <v>995</v>
      </c>
      <c r="B5" s="420" t="s">
        <v>996</v>
      </c>
      <c r="C5" s="420" t="s">
        <v>997</v>
      </c>
      <c r="E5" s="12" t="s">
        <v>995</v>
      </c>
      <c r="F5" s="420" t="s">
        <v>996</v>
      </c>
      <c r="G5" s="420" t="s">
        <v>997</v>
      </c>
      <c r="I5" s="12" t="s">
        <v>995</v>
      </c>
      <c r="J5" s="420" t="s">
        <v>996</v>
      </c>
      <c r="K5" s="420" t="s">
        <v>1010</v>
      </c>
      <c r="L5" s="420" t="s">
        <v>1009</v>
      </c>
      <c r="M5" s="420" t="s">
        <v>997</v>
      </c>
    </row>
    <row r="6" spans="1:13" x14ac:dyDescent="0.25">
      <c r="A6">
        <v>1</v>
      </c>
      <c r="B6" s="423">
        <v>14</v>
      </c>
      <c r="C6" s="424">
        <v>27</v>
      </c>
      <c r="E6" s="7">
        <v>1</v>
      </c>
      <c r="F6" s="423">
        <f>B6</f>
        <v>14</v>
      </c>
      <c r="G6" s="424">
        <f>C6</f>
        <v>27</v>
      </c>
      <c r="I6" s="7">
        <v>1</v>
      </c>
      <c r="J6" s="423">
        <f>F6</f>
        <v>14</v>
      </c>
      <c r="K6" s="427">
        <f>G6</f>
        <v>27</v>
      </c>
      <c r="L6" s="416"/>
      <c r="M6" s="419">
        <f>K6+L6</f>
        <v>27</v>
      </c>
    </row>
    <row r="7" spans="1:13" x14ac:dyDescent="0.25">
      <c r="A7">
        <f>A6+1</f>
        <v>2</v>
      </c>
      <c r="B7" s="256">
        <v>13</v>
      </c>
      <c r="C7" s="269">
        <v>29</v>
      </c>
      <c r="E7" s="7">
        <f>E6+1</f>
        <v>2</v>
      </c>
      <c r="F7" s="256">
        <f t="shared" ref="F7:G17" si="0">B7</f>
        <v>13</v>
      </c>
      <c r="G7" s="269">
        <f t="shared" si="0"/>
        <v>29</v>
      </c>
      <c r="I7" s="7">
        <f>I6+1</f>
        <v>2</v>
      </c>
      <c r="J7" s="256">
        <f t="shared" ref="J7:K17" si="1">F7</f>
        <v>13</v>
      </c>
      <c r="K7" s="20">
        <f t="shared" si="1"/>
        <v>29</v>
      </c>
      <c r="L7" s="7"/>
      <c r="M7" s="215">
        <f t="shared" ref="M7:M17" si="2">K7+L7</f>
        <v>29</v>
      </c>
    </row>
    <row r="8" spans="1:13" x14ac:dyDescent="0.25">
      <c r="A8">
        <f t="shared" ref="A8:A17" si="3">A7+1</f>
        <v>3</v>
      </c>
      <c r="B8" s="256">
        <v>23</v>
      </c>
      <c r="C8" s="269">
        <v>49</v>
      </c>
      <c r="E8" s="7">
        <f t="shared" ref="E8:E17" si="4">E7+1</f>
        <v>3</v>
      </c>
      <c r="F8" s="256">
        <f t="shared" si="0"/>
        <v>23</v>
      </c>
      <c r="G8" s="269">
        <f t="shared" si="0"/>
        <v>49</v>
      </c>
      <c r="I8" s="7">
        <f t="shared" ref="I8:I17" si="5">I7+1</f>
        <v>3</v>
      </c>
      <c r="J8" s="256">
        <f t="shared" si="1"/>
        <v>23</v>
      </c>
      <c r="K8" s="20">
        <f t="shared" si="1"/>
        <v>49</v>
      </c>
      <c r="L8" s="7"/>
      <c r="M8" s="215">
        <f t="shared" si="2"/>
        <v>49</v>
      </c>
    </row>
    <row r="9" spans="1:13" x14ac:dyDescent="0.25">
      <c r="A9">
        <f t="shared" si="3"/>
        <v>4</v>
      </c>
      <c r="B9" s="256">
        <v>19</v>
      </c>
      <c r="C9" s="269">
        <v>37</v>
      </c>
      <c r="E9" s="7">
        <f t="shared" si="4"/>
        <v>4</v>
      </c>
      <c r="F9" s="256">
        <f t="shared" si="0"/>
        <v>19</v>
      </c>
      <c r="G9" s="269">
        <f t="shared" si="0"/>
        <v>37</v>
      </c>
      <c r="I9" s="7">
        <f t="shared" si="5"/>
        <v>4</v>
      </c>
      <c r="J9" s="256">
        <f t="shared" si="1"/>
        <v>19</v>
      </c>
      <c r="K9" s="20">
        <f t="shared" si="1"/>
        <v>37</v>
      </c>
      <c r="L9" s="7"/>
      <c r="M9" s="215">
        <f t="shared" si="2"/>
        <v>37</v>
      </c>
    </row>
    <row r="10" spans="1:13" x14ac:dyDescent="0.25">
      <c r="A10">
        <f t="shared" si="3"/>
        <v>5</v>
      </c>
      <c r="B10" s="256">
        <v>21</v>
      </c>
      <c r="C10" s="269">
        <v>31</v>
      </c>
      <c r="E10" s="7">
        <f t="shared" si="4"/>
        <v>5</v>
      </c>
      <c r="F10" s="256">
        <f t="shared" si="0"/>
        <v>21</v>
      </c>
      <c r="G10" s="269">
        <f t="shared" si="0"/>
        <v>31</v>
      </c>
      <c r="I10" s="7">
        <f t="shared" si="5"/>
        <v>5</v>
      </c>
      <c r="J10" s="256">
        <f t="shared" si="1"/>
        <v>21</v>
      </c>
      <c r="K10" s="20">
        <f t="shared" si="1"/>
        <v>31</v>
      </c>
      <c r="L10" s="7"/>
      <c r="M10" s="215">
        <f t="shared" si="2"/>
        <v>31</v>
      </c>
    </row>
    <row r="11" spans="1:13" x14ac:dyDescent="0.25">
      <c r="A11">
        <f t="shared" si="3"/>
        <v>6</v>
      </c>
      <c r="B11" s="256">
        <v>25</v>
      </c>
      <c r="C11" s="269">
        <v>40</v>
      </c>
      <c r="E11" s="7">
        <f t="shared" si="4"/>
        <v>6</v>
      </c>
      <c r="F11" s="256">
        <f t="shared" si="0"/>
        <v>25</v>
      </c>
      <c r="G11" s="269">
        <f t="shared" si="0"/>
        <v>40</v>
      </c>
      <c r="I11" s="7">
        <f t="shared" si="5"/>
        <v>6</v>
      </c>
      <c r="J11" s="256">
        <f t="shared" si="1"/>
        <v>25</v>
      </c>
      <c r="K11" s="20">
        <f t="shared" si="1"/>
        <v>40</v>
      </c>
      <c r="L11" s="7"/>
      <c r="M11" s="215">
        <f t="shared" si="2"/>
        <v>40</v>
      </c>
    </row>
    <row r="12" spans="1:13" x14ac:dyDescent="0.25">
      <c r="A12">
        <f t="shared" si="3"/>
        <v>7</v>
      </c>
      <c r="B12" s="256">
        <v>18</v>
      </c>
      <c r="C12" s="269">
        <v>35</v>
      </c>
      <c r="E12" s="7">
        <f t="shared" si="4"/>
        <v>7</v>
      </c>
      <c r="F12" s="256">
        <f t="shared" si="0"/>
        <v>18</v>
      </c>
      <c r="G12" s="269">
        <f t="shared" si="0"/>
        <v>35</v>
      </c>
      <c r="I12" s="7">
        <f t="shared" si="5"/>
        <v>7</v>
      </c>
      <c r="J12" s="256">
        <f t="shared" si="1"/>
        <v>18</v>
      </c>
      <c r="K12" s="20">
        <f t="shared" si="1"/>
        <v>35</v>
      </c>
      <c r="L12" s="7"/>
      <c r="M12" s="215">
        <f t="shared" si="2"/>
        <v>35</v>
      </c>
    </row>
    <row r="13" spans="1:13" x14ac:dyDescent="0.25">
      <c r="A13">
        <f t="shared" si="3"/>
        <v>8</v>
      </c>
      <c r="B13" s="256">
        <v>22</v>
      </c>
      <c r="C13" s="269">
        <v>44</v>
      </c>
      <c r="E13" s="7">
        <f t="shared" si="4"/>
        <v>8</v>
      </c>
      <c r="F13" s="256">
        <f t="shared" si="0"/>
        <v>22</v>
      </c>
      <c r="G13" s="269" t="s">
        <v>4</v>
      </c>
      <c r="I13" s="7">
        <f t="shared" si="5"/>
        <v>8</v>
      </c>
      <c r="J13" s="256">
        <f t="shared" si="1"/>
        <v>22</v>
      </c>
      <c r="K13" s="20">
        <f t="array" ref="K13:K17">FORECAST(J13:J17,G6:G12,F6:F12)</f>
        <v>39.343825665859569</v>
      </c>
      <c r="L13" s="7" t="e">
        <f ca="1">NORMINV(RAND(),0,$K$21)</f>
        <v>#NAME?</v>
      </c>
      <c r="M13" s="215" t="e">
        <f t="shared" ca="1" si="2"/>
        <v>#NAME?</v>
      </c>
    </row>
    <row r="14" spans="1:13" x14ac:dyDescent="0.25">
      <c r="A14">
        <f t="shared" si="3"/>
        <v>9</v>
      </c>
      <c r="B14" s="256">
        <v>18</v>
      </c>
      <c r="C14" s="269">
        <v>32</v>
      </c>
      <c r="E14" s="7">
        <f t="shared" si="4"/>
        <v>9</v>
      </c>
      <c r="F14" s="256">
        <f t="shared" si="0"/>
        <v>18</v>
      </c>
      <c r="G14" s="269" t="s">
        <v>4</v>
      </c>
      <c r="I14" s="7">
        <f t="shared" si="5"/>
        <v>9</v>
      </c>
      <c r="J14" s="256">
        <f t="shared" si="1"/>
        <v>18</v>
      </c>
      <c r="K14" s="20">
        <v>34.123486682808718</v>
      </c>
      <c r="L14" s="7" t="e">
        <f ca="1">NORMINV(RAND(),0,$K$21)</f>
        <v>#NAME?</v>
      </c>
      <c r="M14" s="215" t="e">
        <f t="shared" ca="1" si="2"/>
        <v>#NAME?</v>
      </c>
    </row>
    <row r="15" spans="1:13" x14ac:dyDescent="0.25">
      <c r="A15">
        <f t="shared" si="3"/>
        <v>10</v>
      </c>
      <c r="B15" s="256">
        <v>28</v>
      </c>
      <c r="C15" s="269">
        <v>48</v>
      </c>
      <c r="E15" s="7">
        <f t="shared" si="4"/>
        <v>10</v>
      </c>
      <c r="F15" s="256">
        <f t="shared" si="0"/>
        <v>28</v>
      </c>
      <c r="G15" s="269" t="s">
        <v>4</v>
      </c>
      <c r="I15" s="7">
        <f t="shared" si="5"/>
        <v>10</v>
      </c>
      <c r="J15" s="256">
        <f t="shared" si="1"/>
        <v>28</v>
      </c>
      <c r="K15" s="20">
        <v>47.174334140435832</v>
      </c>
      <c r="L15" s="7" t="e">
        <f ca="1">NORMINV(RAND(),0,$K$21)</f>
        <v>#NAME?</v>
      </c>
      <c r="M15" s="215" t="e">
        <f t="shared" ca="1" si="2"/>
        <v>#NAME?</v>
      </c>
    </row>
    <row r="16" spans="1:13" x14ac:dyDescent="0.25">
      <c r="A16">
        <f t="shared" si="3"/>
        <v>11</v>
      </c>
      <c r="B16" s="256">
        <v>25</v>
      </c>
      <c r="C16" s="269">
        <v>43</v>
      </c>
      <c r="E16" s="7">
        <f t="shared" si="4"/>
        <v>11</v>
      </c>
      <c r="F16" s="256">
        <f t="shared" si="0"/>
        <v>25</v>
      </c>
      <c r="G16" s="269" t="s">
        <v>4</v>
      </c>
      <c r="I16" s="7">
        <f t="shared" si="5"/>
        <v>11</v>
      </c>
      <c r="J16" s="256">
        <f t="shared" si="1"/>
        <v>25</v>
      </c>
      <c r="K16" s="20">
        <v>43.259079903147708</v>
      </c>
      <c r="L16" s="7" t="e">
        <f ca="1">NORMINV(RAND(),0,$K$21)</f>
        <v>#NAME?</v>
      </c>
      <c r="M16" s="215" t="e">
        <f t="shared" ca="1" si="2"/>
        <v>#NAME?</v>
      </c>
    </row>
    <row r="17" spans="1:15" x14ac:dyDescent="0.25">
      <c r="A17">
        <f t="shared" si="3"/>
        <v>12</v>
      </c>
      <c r="B17" s="425">
        <v>17</v>
      </c>
      <c r="C17" s="426">
        <v>35</v>
      </c>
      <c r="E17" s="7">
        <f t="shared" si="4"/>
        <v>12</v>
      </c>
      <c r="F17" s="425">
        <f t="shared" si="0"/>
        <v>17</v>
      </c>
      <c r="G17" s="426" t="s">
        <v>4</v>
      </c>
      <c r="I17" s="7">
        <f t="shared" si="5"/>
        <v>12</v>
      </c>
      <c r="J17" s="425">
        <f t="shared" si="1"/>
        <v>17</v>
      </c>
      <c r="K17" s="428">
        <v>32.818401937046005</v>
      </c>
      <c r="L17" s="354" t="e">
        <f ca="1">NORMINV(RAND(),0,$K$21)</f>
        <v>#NAME?</v>
      </c>
      <c r="M17" s="120" t="e">
        <f t="shared" ca="1" si="2"/>
        <v>#NAME?</v>
      </c>
    </row>
    <row r="18" spans="1:15" x14ac:dyDescent="0.25">
      <c r="A18" s="12" t="s">
        <v>6</v>
      </c>
      <c r="B18">
        <f>AVERAGE(B6:B17)</f>
        <v>20.25</v>
      </c>
      <c r="C18">
        <f>AVERAGE(C6:C17)</f>
        <v>37.5</v>
      </c>
      <c r="E18" s="12" t="s">
        <v>6</v>
      </c>
      <c r="F18">
        <f>AVERAGE(F6:F17)</f>
        <v>20.25</v>
      </c>
      <c r="G18">
        <f>AVERAGE(G6:G17)</f>
        <v>35.428571428571431</v>
      </c>
      <c r="I18" s="12" t="s">
        <v>6</v>
      </c>
      <c r="J18">
        <f>AVERAGE(J6:J17)</f>
        <v>20.25</v>
      </c>
      <c r="K18">
        <f>AVERAGE(K6:K17)</f>
        <v>37.059927360774822</v>
      </c>
      <c r="M18" t="e">
        <f ca="1">AVERAGE(M6:M17)</f>
        <v>#NAME?</v>
      </c>
      <c r="O18" t="s">
        <v>47</v>
      </c>
    </row>
    <row r="19" spans="1:15" x14ac:dyDescent="0.25">
      <c r="A19" s="12" t="s">
        <v>8</v>
      </c>
      <c r="B19">
        <f>STDEV(B6:B17)</f>
        <v>4.575130400526108</v>
      </c>
      <c r="C19">
        <f>STDEV(C6:C17)</f>
        <v>7.3174759682184503</v>
      </c>
      <c r="E19" s="12" t="s">
        <v>8</v>
      </c>
      <c r="F19">
        <f>STDEV(F6:F17)</f>
        <v>4.575130400526108</v>
      </c>
      <c r="G19">
        <f>STDEV(G6:G17)</f>
        <v>7.5245629520290214</v>
      </c>
      <c r="I19" s="12" t="s">
        <v>8</v>
      </c>
      <c r="J19">
        <f>STDEV(J6:J17)</f>
        <v>4.575130400526108</v>
      </c>
      <c r="K19">
        <f>STDEV(K6:K17)</f>
        <v>6.9472275107570365</v>
      </c>
      <c r="M19" t="e">
        <f ca="1">STDEV(M6:M17)</f>
        <v>#NAME?</v>
      </c>
    </row>
    <row r="20" spans="1:15" x14ac:dyDescent="0.25">
      <c r="A20" s="12" t="s">
        <v>1005</v>
      </c>
      <c r="B20">
        <f>CORREL(B6:B17,C6:C17)</f>
        <v>0.84586408258493195</v>
      </c>
      <c r="E20" s="12" t="s">
        <v>1005</v>
      </c>
      <c r="F20">
        <f>CORREL(F6:F17,G6:G17)</f>
        <v>0.76917084121957169</v>
      </c>
      <c r="I20" s="12" t="s">
        <v>1005</v>
      </c>
      <c r="K20">
        <f>CORREL(J6:J17,K6:K17)</f>
        <v>0.85946989448042677</v>
      </c>
      <c r="M20" t="e">
        <f ca="1">CORREL(J6:J17,M6:M17)</f>
        <v>#NAME?</v>
      </c>
    </row>
    <row r="21" spans="1:15" x14ac:dyDescent="0.25">
      <c r="I21" s="21" t="s">
        <v>148</v>
      </c>
      <c r="K21" t="e">
        <f ca="1">'Miss 1'!R9</f>
        <v>#NAME?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L25"/>
  <sheetViews>
    <sheetView workbookViewId="0"/>
  </sheetViews>
  <sheetFormatPr defaultRowHeight="15" x14ac:dyDescent="0.25"/>
  <sheetData>
    <row r="1" spans="1:12" x14ac:dyDescent="0.25">
      <c r="A1" s="1" t="s">
        <v>1011</v>
      </c>
    </row>
    <row r="3" spans="1:12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t="s">
        <v>1018</v>
      </c>
    </row>
    <row r="4" spans="1:12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</row>
    <row r="5" spans="1:12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s="421" t="e">
        <f t="array" aca="1" ref="G5:L7" ca="1">MissingFreq(B3:E23,TRUE)</f>
        <v>#NAME?</v>
      </c>
      <c r="H5" s="421" t="e">
        <f ca="1"/>
        <v>#NAME?</v>
      </c>
      <c r="I5" s="421" t="e">
        <f ca="1"/>
        <v>#NAME?</v>
      </c>
      <c r="J5" s="421" t="e">
        <f ca="1"/>
        <v>#NAME?</v>
      </c>
      <c r="K5" s="421" t="e">
        <f ca="1"/>
        <v>#NAME?</v>
      </c>
      <c r="L5" s="421" t="e">
        <f ca="1"/>
        <v>#NAME?</v>
      </c>
    </row>
    <row r="6" spans="1:12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s="418" t="e">
        <f ca="1"/>
        <v>#NAME?</v>
      </c>
      <c r="H6" s="387" t="e">
        <f ca="1"/>
        <v>#NAME?</v>
      </c>
      <c r="I6" s="387" t="e">
        <f ca="1"/>
        <v>#NAME?</v>
      </c>
      <c r="J6" s="387" t="e">
        <f ca="1"/>
        <v>#NAME?</v>
      </c>
      <c r="K6" s="387" t="e">
        <f ca="1"/>
        <v>#NAME?</v>
      </c>
      <c r="L6" s="419" t="e">
        <f ca="1"/>
        <v>#NAME?</v>
      </c>
    </row>
    <row r="7" spans="1:12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s="410" t="e">
        <f ca="1"/>
        <v>#NAME?</v>
      </c>
      <c r="H7" s="433" t="e">
        <f ca="1"/>
        <v>#NAME?</v>
      </c>
      <c r="I7" s="433" t="e">
        <f ca="1"/>
        <v>#NAME?</v>
      </c>
      <c r="J7" s="433" t="e">
        <f ca="1"/>
        <v>#NAME?</v>
      </c>
      <c r="K7" s="433" t="e">
        <f ca="1"/>
        <v>#NAME?</v>
      </c>
      <c r="L7" s="411" t="e">
        <f ca="1"/>
        <v>#NAME?</v>
      </c>
    </row>
    <row r="8" spans="1:12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</row>
    <row r="9" spans="1:12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  <c r="G9" t="s">
        <v>1019</v>
      </c>
    </row>
    <row r="10" spans="1:12" x14ac:dyDescent="0.25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</row>
    <row r="11" spans="1:12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  <c r="G11" s="421" t="e">
        <f t="array" aca="1" ref="G11:L19" ca="1">MissingPatterns(B3:E23,TRUE)</f>
        <v>#NAME?</v>
      </c>
      <c r="H11" s="421" t="e">
        <f ca="1"/>
        <v>#NAME?</v>
      </c>
      <c r="I11" s="421" t="e">
        <f ca="1"/>
        <v>#NAME?</v>
      </c>
      <c r="J11" s="421" t="e">
        <f ca="1"/>
        <v>#NAME?</v>
      </c>
      <c r="K11" s="421" t="e">
        <f ca="1"/>
        <v>#NAME?</v>
      </c>
      <c r="L11" s="421" t="e">
        <f ca="1"/>
        <v>#NAME?</v>
      </c>
    </row>
    <row r="12" spans="1:12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G12" s="418" t="e">
        <f ca="1"/>
        <v>#NAME?</v>
      </c>
      <c r="H12" s="387" t="e">
        <f ca="1"/>
        <v>#NAME?</v>
      </c>
      <c r="I12" s="387" t="e">
        <f ca="1"/>
        <v>#NAME?</v>
      </c>
      <c r="J12" s="387" t="e">
        <f ca="1"/>
        <v>#NAME?</v>
      </c>
      <c r="K12" s="387" t="e">
        <f ca="1"/>
        <v>#NAME?</v>
      </c>
      <c r="L12" s="434" t="e">
        <f ca="1"/>
        <v>#NAME?</v>
      </c>
    </row>
    <row r="13" spans="1:12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s="214" t="e">
        <f ca="1"/>
        <v>#NAME?</v>
      </c>
      <c r="H13" s="7" t="e">
        <f ca="1"/>
        <v>#NAME?</v>
      </c>
      <c r="I13" s="7" t="e">
        <f ca="1"/>
        <v>#NAME?</v>
      </c>
      <c r="J13" s="7" t="e">
        <f ca="1"/>
        <v>#NAME?</v>
      </c>
      <c r="K13" s="7" t="e">
        <f ca="1"/>
        <v>#NAME?</v>
      </c>
      <c r="L13" s="409" t="e">
        <f ca="1"/>
        <v>#NAME?</v>
      </c>
    </row>
    <row r="14" spans="1:12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7" t="e">
        <f ca="1"/>
        <v>#NAME?</v>
      </c>
      <c r="K14" s="7" t="e">
        <f ca="1"/>
        <v>#NAME?</v>
      </c>
      <c r="L14" s="409" t="e">
        <f ca="1"/>
        <v>#NAME?</v>
      </c>
    </row>
    <row r="15" spans="1:12" x14ac:dyDescent="0.25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7" t="e">
        <f ca="1"/>
        <v>#NAME?</v>
      </c>
      <c r="K15" s="7" t="e">
        <f ca="1"/>
        <v>#NAME?</v>
      </c>
      <c r="L15" s="409" t="e">
        <f ca="1"/>
        <v>#NAME?</v>
      </c>
    </row>
    <row r="16" spans="1:12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s="214" t="e">
        <f ca="1"/>
        <v>#NAME?</v>
      </c>
      <c r="H16" s="7" t="e">
        <f ca="1"/>
        <v>#NAME?</v>
      </c>
      <c r="I16" s="7" t="e">
        <f ca="1"/>
        <v>#NAME?</v>
      </c>
      <c r="J16" s="7" t="e">
        <f ca="1"/>
        <v>#NAME?</v>
      </c>
      <c r="K16" s="7" t="e">
        <f ca="1"/>
        <v>#NAME?</v>
      </c>
      <c r="L16" s="409" t="e">
        <f ca="1"/>
        <v>#NAME?</v>
      </c>
    </row>
    <row r="17" spans="1:12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  <c r="G17" s="214" t="e">
        <f ca="1"/>
        <v>#NAME?</v>
      </c>
      <c r="H17" s="7" t="e">
        <f ca="1"/>
        <v>#NAME?</v>
      </c>
      <c r="I17" s="7" t="e">
        <f ca="1"/>
        <v>#NAME?</v>
      </c>
      <c r="J17" s="7" t="e">
        <f ca="1"/>
        <v>#NAME?</v>
      </c>
      <c r="K17" s="7" t="e">
        <f ca="1"/>
        <v>#NAME?</v>
      </c>
      <c r="L17" s="409" t="e">
        <f ca="1"/>
        <v>#NAME?</v>
      </c>
    </row>
    <row r="18" spans="1:12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214" t="e">
        <f ca="1"/>
        <v>#NAME?</v>
      </c>
      <c r="H18" s="7" t="e">
        <f ca="1"/>
        <v>#NAME?</v>
      </c>
      <c r="I18" s="7" t="e">
        <f ca="1"/>
        <v>#NAME?</v>
      </c>
      <c r="J18" s="7" t="e">
        <f ca="1"/>
        <v>#NAME?</v>
      </c>
      <c r="K18" s="7" t="e">
        <f ca="1"/>
        <v>#NAME?</v>
      </c>
      <c r="L18" s="409" t="e">
        <f ca="1"/>
        <v>#NAME?</v>
      </c>
    </row>
    <row r="19" spans="1:12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G19" s="112" t="e">
        <f ca="1"/>
        <v>#NAME?</v>
      </c>
      <c r="H19" s="354" t="e">
        <f ca="1"/>
        <v>#NAME?</v>
      </c>
      <c r="I19" s="354" t="e">
        <f ca="1"/>
        <v>#NAME?</v>
      </c>
      <c r="J19" s="354" t="e">
        <f ca="1"/>
        <v>#NAME?</v>
      </c>
      <c r="K19" s="354" t="e">
        <f ca="1"/>
        <v>#NAME?</v>
      </c>
      <c r="L19" s="411" t="e">
        <f ca="1"/>
        <v>#NAME?</v>
      </c>
    </row>
    <row r="20" spans="1:12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K20" t="e">
        <f ca="1">SUM(K12:K19)</f>
        <v>#NAME?</v>
      </c>
    </row>
    <row r="21" spans="1:12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</row>
    <row r="22" spans="1:12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</row>
    <row r="23" spans="1:12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</row>
    <row r="24" spans="1:12" x14ac:dyDescent="0.25">
      <c r="A24" s="421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</row>
    <row r="25" spans="1:12" x14ac:dyDescent="0.25">
      <c r="A25" s="421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V25"/>
  <sheetViews>
    <sheetView workbookViewId="0"/>
  </sheetViews>
  <sheetFormatPr defaultRowHeight="15" x14ac:dyDescent="0.25"/>
  <sheetData>
    <row r="1" spans="1:22" x14ac:dyDescent="0.25">
      <c r="A1" s="1" t="s">
        <v>1107</v>
      </c>
      <c r="G1" t="s">
        <v>1020</v>
      </c>
      <c r="M1" t="s">
        <v>1024</v>
      </c>
    </row>
    <row r="2" spans="1:22" x14ac:dyDescent="0.25">
      <c r="T2" s="467" t="s">
        <v>1021</v>
      </c>
      <c r="U2" s="467" t="s">
        <v>1022</v>
      </c>
      <c r="V2" s="467" t="s">
        <v>1023</v>
      </c>
    </row>
    <row r="3" spans="1:22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s="421" t="s">
        <v>1017</v>
      </c>
      <c r="H3" s="422" t="e">
        <f t="array" aca="1" ref="H3:K23" ca="1">ImputeSimple(B3:E23)</f>
        <v>#NAME?</v>
      </c>
      <c r="I3" s="422" t="e">
        <f ca="1"/>
        <v>#NAME?</v>
      </c>
      <c r="J3" s="422" t="e">
        <f ca="1"/>
        <v>#NAME?</v>
      </c>
      <c r="K3" s="422" t="e">
        <f ca="1"/>
        <v>#NAME?</v>
      </c>
      <c r="M3" s="421" t="s">
        <v>1017</v>
      </c>
      <c r="N3" s="422" t="e">
        <f t="array" aca="1" ref="N3:Q23" ca="1">ImputeSimple(B3:E23,TRUE,S3:V4)</f>
        <v>#NAME?</v>
      </c>
      <c r="O3" s="422" t="e">
        <f ca="1"/>
        <v>#NAME?</v>
      </c>
      <c r="P3" s="422" t="e">
        <f ca="1"/>
        <v>#NAME?</v>
      </c>
      <c r="Q3" s="422" t="e">
        <f ca="1"/>
        <v>#NAME?</v>
      </c>
      <c r="S3" t="s">
        <v>997</v>
      </c>
      <c r="T3" s="418">
        <v>20</v>
      </c>
      <c r="U3" s="387">
        <v>50.4</v>
      </c>
      <c r="V3" s="419" t="b">
        <v>1</v>
      </c>
    </row>
    <row r="4" spans="1:22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s="421">
        <v>1</v>
      </c>
      <c r="H4" s="418" t="e">
        <f ca="1"/>
        <v>#NAME?</v>
      </c>
      <c r="I4" s="387" t="e">
        <f ca="1"/>
        <v>#NAME?</v>
      </c>
      <c r="J4" s="387" t="e">
        <f ca="1"/>
        <v>#NAME?</v>
      </c>
      <c r="K4" s="419" t="e">
        <f ca="1"/>
        <v>#NAME?</v>
      </c>
      <c r="M4" s="421">
        <v>1</v>
      </c>
      <c r="N4" s="418" t="e">
        <f ca="1"/>
        <v>#NAME?</v>
      </c>
      <c r="O4" s="387" t="e">
        <f ca="1"/>
        <v>#NAME?</v>
      </c>
      <c r="P4" s="387" t="e">
        <f ca="1"/>
        <v>#NAME?</v>
      </c>
      <c r="Q4" s="419" t="e">
        <f ca="1"/>
        <v>#NAME?</v>
      </c>
      <c r="S4" t="s">
        <v>996</v>
      </c>
      <c r="T4" s="112"/>
      <c r="U4" s="354">
        <v>28.5</v>
      </c>
      <c r="V4" s="120"/>
    </row>
    <row r="5" spans="1:22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s="421">
        <f>G4+1</f>
        <v>2</v>
      </c>
      <c r="H5" s="214" t="e">
        <f ca="1"/>
        <v>#NAME?</v>
      </c>
      <c r="I5" s="7" t="e">
        <f ca="1"/>
        <v>#NAME?</v>
      </c>
      <c r="J5" s="7" t="e">
        <f ca="1"/>
        <v>#NAME?</v>
      </c>
      <c r="K5" s="215" t="e">
        <f ca="1"/>
        <v>#NAME?</v>
      </c>
      <c r="M5" s="421">
        <f>M4+1</f>
        <v>2</v>
      </c>
      <c r="N5" s="214" t="e">
        <f ca="1"/>
        <v>#NAME?</v>
      </c>
      <c r="O5" s="7" t="e">
        <f ca="1"/>
        <v>#NAME?</v>
      </c>
      <c r="P5" s="7" t="e">
        <f ca="1"/>
        <v>#NAME?</v>
      </c>
      <c r="Q5" s="215" t="e">
        <f ca="1"/>
        <v>#NAME?</v>
      </c>
    </row>
    <row r="6" spans="1:22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s="421">
        <f t="shared" ref="G6:G23" si="1">G5+1</f>
        <v>3</v>
      </c>
      <c r="H6" s="214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M6" s="421">
        <f t="shared" ref="M6:M23" si="2">M5+1</f>
        <v>3</v>
      </c>
      <c r="N6" s="214" t="e">
        <f ca="1"/>
        <v>#NAME?</v>
      </c>
      <c r="O6" s="7" t="e">
        <f ca="1"/>
        <v>#NAME?</v>
      </c>
      <c r="P6" s="7" t="e">
        <f ca="1"/>
        <v>#NAME?</v>
      </c>
      <c r="Q6" s="215" t="e">
        <f ca="1"/>
        <v>#NAME?</v>
      </c>
    </row>
    <row r="7" spans="1:22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s="421">
        <f t="shared" si="1"/>
        <v>4</v>
      </c>
      <c r="H7" s="214" t="e">
        <f ca="1"/>
        <v>#NAME?</v>
      </c>
      <c r="I7" s="7" t="e">
        <f ca="1"/>
        <v>#NAME?</v>
      </c>
      <c r="J7" s="7" t="e">
        <f ca="1"/>
        <v>#NAME?</v>
      </c>
      <c r="K7" s="215" t="e">
        <f ca="1"/>
        <v>#NAME?</v>
      </c>
      <c r="M7" s="421">
        <f t="shared" si="2"/>
        <v>4</v>
      </c>
      <c r="N7" s="214" t="e">
        <f ca="1"/>
        <v>#NAME?</v>
      </c>
      <c r="O7" s="7" t="e">
        <f ca="1"/>
        <v>#NAME?</v>
      </c>
      <c r="P7" s="7" t="e">
        <f ca="1"/>
        <v>#NAME?</v>
      </c>
      <c r="Q7" s="215" t="e">
        <f ca="1"/>
        <v>#NAME?</v>
      </c>
    </row>
    <row r="8" spans="1:22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G8" s="421">
        <f t="shared" si="1"/>
        <v>5</v>
      </c>
      <c r="H8" s="214" t="e">
        <f ca="1"/>
        <v>#NAME?</v>
      </c>
      <c r="I8" s="7" t="e">
        <f ca="1"/>
        <v>#NAME?</v>
      </c>
      <c r="J8" s="7" t="e">
        <f ca="1"/>
        <v>#NAME?</v>
      </c>
      <c r="K8" s="215" t="e">
        <f ca="1"/>
        <v>#NAME?</v>
      </c>
      <c r="M8" s="421">
        <f t="shared" si="2"/>
        <v>5</v>
      </c>
      <c r="N8" s="214" t="e">
        <f ca="1"/>
        <v>#NAME?</v>
      </c>
      <c r="O8" s="7" t="e">
        <f ca="1"/>
        <v>#NAME?</v>
      </c>
      <c r="P8" s="7" t="e">
        <f ca="1"/>
        <v>#NAME?</v>
      </c>
      <c r="Q8" s="215" t="e">
        <f ca="1"/>
        <v>#NAME?</v>
      </c>
    </row>
    <row r="9" spans="1:22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  <c r="G9" s="421">
        <f t="shared" si="1"/>
        <v>6</v>
      </c>
      <c r="H9" s="214" t="e">
        <f ca="1"/>
        <v>#NAME?</v>
      </c>
      <c r="I9" s="7" t="e">
        <f ca="1"/>
        <v>#NAME?</v>
      </c>
      <c r="J9" s="7" t="e">
        <f ca="1"/>
        <v>#NAME?</v>
      </c>
      <c r="K9" s="215" t="e">
        <f ca="1"/>
        <v>#NAME?</v>
      </c>
      <c r="M9" s="421">
        <f t="shared" si="2"/>
        <v>6</v>
      </c>
      <c r="N9" s="214" t="e">
        <f ca="1"/>
        <v>#NAME?</v>
      </c>
      <c r="O9" s="7" t="e">
        <f ca="1"/>
        <v>#NAME?</v>
      </c>
      <c r="P9" s="7" t="e">
        <f ca="1"/>
        <v>#NAME?</v>
      </c>
      <c r="Q9" s="215" t="e">
        <f ca="1"/>
        <v>#NAME?</v>
      </c>
    </row>
    <row r="10" spans="1:22" x14ac:dyDescent="0.25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G10" s="421">
        <f t="shared" si="1"/>
        <v>7</v>
      </c>
      <c r="H10" s="214" t="e">
        <f ca="1"/>
        <v>#NAME?</v>
      </c>
      <c r="I10" s="7" t="e">
        <f ca="1"/>
        <v>#NAME?</v>
      </c>
      <c r="J10" s="7" t="e">
        <f ca="1"/>
        <v>#NAME?</v>
      </c>
      <c r="K10" s="215" t="e">
        <f ca="1"/>
        <v>#NAME?</v>
      </c>
      <c r="M10" s="421">
        <f t="shared" si="2"/>
        <v>7</v>
      </c>
      <c r="N10" s="214" t="e">
        <f ca="1"/>
        <v>#NAME?</v>
      </c>
      <c r="O10" s="7" t="e">
        <f ca="1"/>
        <v>#NAME?</v>
      </c>
      <c r="P10" s="7" t="e">
        <f ca="1"/>
        <v>#NAME?</v>
      </c>
      <c r="Q10" s="215" t="e">
        <f ca="1"/>
        <v>#NAME?</v>
      </c>
    </row>
    <row r="11" spans="1:22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  <c r="G11" s="421">
        <f t="shared" si="1"/>
        <v>8</v>
      </c>
      <c r="H11" s="214" t="e">
        <f ca="1"/>
        <v>#NAME?</v>
      </c>
      <c r="I11" s="7" t="e">
        <f ca="1"/>
        <v>#NAME?</v>
      </c>
      <c r="J11" s="7" t="e">
        <f ca="1"/>
        <v>#NAME?</v>
      </c>
      <c r="K11" s="215" t="e">
        <f ca="1"/>
        <v>#NAME?</v>
      </c>
      <c r="M11" s="421">
        <f t="shared" si="2"/>
        <v>8</v>
      </c>
      <c r="N11" s="214" t="e">
        <f ca="1"/>
        <v>#NAME?</v>
      </c>
      <c r="O11" s="7" t="e">
        <f ca="1"/>
        <v>#NAME?</v>
      </c>
      <c r="P11" s="7" t="e">
        <f ca="1"/>
        <v>#NAME?</v>
      </c>
      <c r="Q11" s="215" t="e">
        <f ca="1"/>
        <v>#NAME?</v>
      </c>
    </row>
    <row r="12" spans="1:22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G12" s="421">
        <f t="shared" si="1"/>
        <v>9</v>
      </c>
      <c r="H12" s="214" t="e">
        <f ca="1"/>
        <v>#NAME?</v>
      </c>
      <c r="I12" s="7" t="e">
        <f ca="1"/>
        <v>#NAME?</v>
      </c>
      <c r="J12" s="7" t="e">
        <f ca="1"/>
        <v>#NAME?</v>
      </c>
      <c r="K12" s="215" t="e">
        <f ca="1"/>
        <v>#NAME?</v>
      </c>
      <c r="M12" s="421">
        <f t="shared" si="2"/>
        <v>9</v>
      </c>
      <c r="N12" s="214" t="e">
        <f ca="1"/>
        <v>#NAME?</v>
      </c>
      <c r="O12" s="7" t="e">
        <f ca="1"/>
        <v>#NAME?</v>
      </c>
      <c r="P12" s="7" t="e">
        <f ca="1"/>
        <v>#NAME?</v>
      </c>
      <c r="Q12" s="215" t="e">
        <f ca="1"/>
        <v>#NAME?</v>
      </c>
    </row>
    <row r="13" spans="1:22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s="421">
        <f t="shared" si="1"/>
        <v>10</v>
      </c>
      <c r="H13" s="214" t="e">
        <f ca="1"/>
        <v>#NAME?</v>
      </c>
      <c r="I13" s="7" t="e">
        <f ca="1"/>
        <v>#NAME?</v>
      </c>
      <c r="J13" s="7" t="e">
        <f ca="1"/>
        <v>#NAME?</v>
      </c>
      <c r="K13" s="215" t="e">
        <f ca="1"/>
        <v>#NAME?</v>
      </c>
      <c r="M13" s="421">
        <f t="shared" si="2"/>
        <v>10</v>
      </c>
      <c r="N13" s="214" t="e">
        <f ca="1"/>
        <v>#NAME?</v>
      </c>
      <c r="O13" s="7" t="e">
        <f ca="1"/>
        <v>#NAME?</v>
      </c>
      <c r="P13" s="7" t="e">
        <f ca="1"/>
        <v>#NAME?</v>
      </c>
      <c r="Q13" s="215" t="e">
        <f ca="1"/>
        <v>#NAME?</v>
      </c>
    </row>
    <row r="14" spans="1:22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s="421">
        <f t="shared" si="1"/>
        <v>11</v>
      </c>
      <c r="H14" s="214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  <c r="M14" s="421">
        <f t="shared" si="2"/>
        <v>11</v>
      </c>
      <c r="N14" s="214" t="e">
        <f ca="1"/>
        <v>#NAME?</v>
      </c>
      <c r="O14" s="7" t="e">
        <f ca="1"/>
        <v>#NAME?</v>
      </c>
      <c r="P14" s="7" t="e">
        <f ca="1"/>
        <v>#NAME?</v>
      </c>
      <c r="Q14" s="215" t="e">
        <f ca="1"/>
        <v>#NAME?</v>
      </c>
    </row>
    <row r="15" spans="1:22" x14ac:dyDescent="0.25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G15" s="421">
        <f t="shared" si="1"/>
        <v>12</v>
      </c>
      <c r="H15" s="214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  <c r="M15" s="421">
        <f t="shared" si="2"/>
        <v>12</v>
      </c>
      <c r="N15" s="214" t="e">
        <f ca="1"/>
        <v>#NAME?</v>
      </c>
      <c r="O15" s="7" t="e">
        <f ca="1"/>
        <v>#NAME?</v>
      </c>
      <c r="P15" s="7" t="e">
        <f ca="1"/>
        <v>#NAME?</v>
      </c>
      <c r="Q15" s="215" t="e">
        <f ca="1"/>
        <v>#NAME?</v>
      </c>
    </row>
    <row r="16" spans="1:22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s="421">
        <f t="shared" si="1"/>
        <v>13</v>
      </c>
      <c r="H16" s="214" t="e">
        <f ca="1"/>
        <v>#NAME?</v>
      </c>
      <c r="I16" s="7" t="e">
        <f ca="1"/>
        <v>#NAME?</v>
      </c>
      <c r="J16" s="7" t="e">
        <f ca="1"/>
        <v>#NAME?</v>
      </c>
      <c r="K16" s="215" t="e">
        <f ca="1"/>
        <v>#NAME?</v>
      </c>
      <c r="M16" s="421">
        <f t="shared" si="2"/>
        <v>13</v>
      </c>
      <c r="N16" s="214" t="e">
        <f ca="1"/>
        <v>#NAME?</v>
      </c>
      <c r="O16" s="7" t="e">
        <f ca="1"/>
        <v>#NAME?</v>
      </c>
      <c r="P16" s="435" t="e">
        <f ca="1"/>
        <v>#NAME?</v>
      </c>
      <c r="Q16" s="215" t="e">
        <f ca="1"/>
        <v>#NAME?</v>
      </c>
    </row>
    <row r="17" spans="1:17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  <c r="G17" s="421">
        <f t="shared" si="1"/>
        <v>14</v>
      </c>
      <c r="H17" s="214" t="e">
        <f ca="1"/>
        <v>#NAME?</v>
      </c>
      <c r="I17" s="7" t="e">
        <f ca="1"/>
        <v>#NAME?</v>
      </c>
      <c r="J17" s="7" t="e">
        <f ca="1"/>
        <v>#NAME?</v>
      </c>
      <c r="K17" s="215" t="e">
        <f ca="1"/>
        <v>#NAME?</v>
      </c>
      <c r="M17" s="421">
        <f t="shared" si="2"/>
        <v>14</v>
      </c>
      <c r="N17" s="214" t="e">
        <f ca="1"/>
        <v>#NAME?</v>
      </c>
      <c r="O17" s="7" t="e">
        <f ca="1"/>
        <v>#NAME?</v>
      </c>
      <c r="P17" s="7" t="e">
        <f ca="1"/>
        <v>#NAME?</v>
      </c>
      <c r="Q17" s="215" t="e">
        <f ca="1"/>
        <v>#NAME?</v>
      </c>
    </row>
    <row r="18" spans="1:17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421">
        <f t="shared" si="1"/>
        <v>15</v>
      </c>
      <c r="H18" s="214" t="e">
        <f ca="1"/>
        <v>#NAME?</v>
      </c>
      <c r="I18" s="7" t="e">
        <f ca="1"/>
        <v>#NAME?</v>
      </c>
      <c r="J18" s="7" t="e">
        <f ca="1"/>
        <v>#NAME?</v>
      </c>
      <c r="K18" s="215" t="e">
        <f ca="1"/>
        <v>#NAME?</v>
      </c>
      <c r="M18" s="421">
        <f t="shared" si="2"/>
        <v>15</v>
      </c>
      <c r="N18" s="214" t="e">
        <f ca="1"/>
        <v>#NAME?</v>
      </c>
      <c r="O18" s="7" t="e">
        <f ca="1"/>
        <v>#NAME?</v>
      </c>
      <c r="P18" s="7" t="e">
        <f ca="1"/>
        <v>#NAME?</v>
      </c>
      <c r="Q18" s="215" t="e">
        <f ca="1"/>
        <v>#NAME?</v>
      </c>
    </row>
    <row r="19" spans="1:17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G19" s="421">
        <f t="shared" si="1"/>
        <v>16</v>
      </c>
      <c r="H19" s="214" t="e">
        <f ca="1"/>
        <v>#NAME?</v>
      </c>
      <c r="I19" s="7" t="e">
        <f ca="1"/>
        <v>#NAME?</v>
      </c>
      <c r="J19" s="7" t="e">
        <f ca="1"/>
        <v>#NAME?</v>
      </c>
      <c r="K19" s="215" t="e">
        <f ca="1"/>
        <v>#NAME?</v>
      </c>
      <c r="M19" s="421">
        <f t="shared" si="2"/>
        <v>16</v>
      </c>
      <c r="N19" s="214" t="e">
        <f ca="1"/>
        <v>#NAME?</v>
      </c>
      <c r="O19" s="7" t="e">
        <f ca="1"/>
        <v>#NAME?</v>
      </c>
      <c r="P19" s="7" t="e">
        <f ca="1"/>
        <v>#NAME?</v>
      </c>
      <c r="Q19" s="215" t="e">
        <f ca="1"/>
        <v>#NAME?</v>
      </c>
    </row>
    <row r="20" spans="1:17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G20" s="421">
        <f t="shared" si="1"/>
        <v>17</v>
      </c>
      <c r="H20" s="214" t="e">
        <f ca="1"/>
        <v>#NAME?</v>
      </c>
      <c r="I20" s="7" t="e">
        <f ca="1"/>
        <v>#NAME?</v>
      </c>
      <c r="J20" s="7" t="e">
        <f ca="1"/>
        <v>#NAME?</v>
      </c>
      <c r="K20" s="215" t="e">
        <f ca="1"/>
        <v>#NAME?</v>
      </c>
      <c r="M20" s="421">
        <f t="shared" si="2"/>
        <v>17</v>
      </c>
      <c r="N20" s="214" t="e">
        <f ca="1"/>
        <v>#NAME?</v>
      </c>
      <c r="O20" s="7" t="e">
        <f ca="1"/>
        <v>#NAME?</v>
      </c>
      <c r="P20" s="7" t="e">
        <f ca="1"/>
        <v>#NAME?</v>
      </c>
      <c r="Q20" s="215" t="e">
        <f ca="1"/>
        <v>#NAME?</v>
      </c>
    </row>
    <row r="21" spans="1:17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421">
        <f t="shared" si="1"/>
        <v>18</v>
      </c>
      <c r="H21" s="214" t="e">
        <f ca="1"/>
        <v>#NAME?</v>
      </c>
      <c r="I21" s="7" t="e">
        <f ca="1"/>
        <v>#NAME?</v>
      </c>
      <c r="J21" s="7" t="e">
        <f ca="1"/>
        <v>#NAME?</v>
      </c>
      <c r="K21" s="215" t="e">
        <f ca="1"/>
        <v>#NAME?</v>
      </c>
      <c r="M21" s="421">
        <f t="shared" si="2"/>
        <v>18</v>
      </c>
      <c r="N21" s="214" t="e">
        <f ca="1"/>
        <v>#NAME?</v>
      </c>
      <c r="O21" s="7" t="e">
        <f ca="1"/>
        <v>#NAME?</v>
      </c>
      <c r="P21" s="7" t="e">
        <f ca="1"/>
        <v>#NAME?</v>
      </c>
      <c r="Q21" s="215" t="e">
        <f ca="1"/>
        <v>#NAME?</v>
      </c>
    </row>
    <row r="22" spans="1:17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G22" s="421">
        <f t="shared" si="1"/>
        <v>19</v>
      </c>
      <c r="H22" s="214" t="e">
        <f ca="1"/>
        <v>#NAME?</v>
      </c>
      <c r="I22" s="7" t="e">
        <f ca="1"/>
        <v>#NAME?</v>
      </c>
      <c r="J22" s="7" t="e">
        <f ca="1"/>
        <v>#NAME?</v>
      </c>
      <c r="K22" s="215" t="e">
        <f ca="1"/>
        <v>#NAME?</v>
      </c>
      <c r="M22" s="421">
        <f t="shared" si="2"/>
        <v>19</v>
      </c>
      <c r="N22" s="214" t="e">
        <f ca="1"/>
        <v>#NAME?</v>
      </c>
      <c r="O22" s="7" t="e">
        <f ca="1"/>
        <v>#NAME?</v>
      </c>
      <c r="P22" s="7" t="e">
        <f ca="1"/>
        <v>#NAME?</v>
      </c>
      <c r="Q22" s="215" t="e">
        <f ca="1"/>
        <v>#NAME?</v>
      </c>
    </row>
    <row r="23" spans="1:17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G23" s="421">
        <f t="shared" si="1"/>
        <v>20</v>
      </c>
      <c r="H23" s="112" t="e">
        <f ca="1"/>
        <v>#NAME?</v>
      </c>
      <c r="I23" s="354" t="e">
        <f ca="1"/>
        <v>#NAME?</v>
      </c>
      <c r="J23" s="354" t="e">
        <f ca="1"/>
        <v>#NAME?</v>
      </c>
      <c r="K23" s="120" t="e">
        <f ca="1"/>
        <v>#NAME?</v>
      </c>
      <c r="M23" s="421">
        <f t="shared" si="2"/>
        <v>20</v>
      </c>
      <c r="N23" s="112" t="e">
        <f ca="1"/>
        <v>#NAME?</v>
      </c>
      <c r="O23" s="354" t="e">
        <f ca="1"/>
        <v>#NAME?</v>
      </c>
      <c r="P23" s="354" t="e">
        <f ca="1"/>
        <v>#NAME?</v>
      </c>
      <c r="Q23" s="120" t="e">
        <f ca="1"/>
        <v>#NAME?</v>
      </c>
    </row>
    <row r="24" spans="1:17" x14ac:dyDescent="0.25">
      <c r="A24" s="421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421" t="s">
        <v>6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s="421" t="s">
        <v>6</v>
      </c>
      <c r="N24" t="e">
        <f ca="1">AVERAGE(N4:N23)</f>
        <v>#NAME?</v>
      </c>
      <c r="O24" t="e">
        <f ca="1">AVERAGE(O4:O23)</f>
        <v>#NAME?</v>
      </c>
      <c r="P24" t="e">
        <f ca="1">AVERAGE(P4:P23)</f>
        <v>#NAME?</v>
      </c>
      <c r="Q24" t="e">
        <f ca="1">AVERAGE(Q4:Q23)</f>
        <v>#NAME?</v>
      </c>
    </row>
    <row r="25" spans="1:17" x14ac:dyDescent="0.25">
      <c r="A25" s="421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421" t="s">
        <v>8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s="421" t="s">
        <v>8</v>
      </c>
      <c r="N25" t="e">
        <f ca="1">STDEV(N4:N23)</f>
        <v>#NAME?</v>
      </c>
      <c r="O25" t="e">
        <f ca="1">STDEV(O4:O23)</f>
        <v>#NAME?</v>
      </c>
      <c r="P25" t="e">
        <f ca="1">STDEV(P4:P23)</f>
        <v>#NAME?</v>
      </c>
      <c r="Q25" t="e">
        <f ca="1">STDEV(Q4:Q23)</f>
        <v>#NAME?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AH25"/>
  <sheetViews>
    <sheetView workbookViewId="0"/>
  </sheetViews>
  <sheetFormatPr defaultRowHeight="15" x14ac:dyDescent="0.25"/>
  <cols>
    <col min="6" max="6" width="5.140625" customWidth="1"/>
    <col min="7" max="7" width="9.140625" style="421"/>
    <col min="12" max="12" width="4.85546875" customWidth="1"/>
    <col min="13" max="13" width="17.140625" customWidth="1"/>
    <col min="16" max="16" width="9.28515625" bestFit="1" customWidth="1"/>
    <col min="17" max="18" width="9.140625" customWidth="1"/>
    <col min="19" max="19" width="9.28515625" bestFit="1" customWidth="1"/>
    <col min="20" max="20" width="5.5703125" customWidth="1"/>
    <col min="25" max="25" width="5.7109375" customWidth="1"/>
    <col min="29" max="29" width="6.42578125" customWidth="1"/>
    <col min="30" max="30" width="9.140625" style="421"/>
  </cols>
  <sheetData>
    <row r="1" spans="1:34" x14ac:dyDescent="0.25">
      <c r="A1" s="1" t="s">
        <v>1054</v>
      </c>
      <c r="G1" s="39" t="s">
        <v>1020</v>
      </c>
      <c r="AD1" s="39" t="s">
        <v>1053</v>
      </c>
    </row>
    <row r="3" spans="1:34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s="421" t="str">
        <f>'MI 3'!G3</f>
        <v>id</v>
      </c>
      <c r="H3" s="421" t="str">
        <f>'MI 3'!H3</f>
        <v>read</v>
      </c>
      <c r="I3" s="421" t="str">
        <f>'MI 3'!I3</f>
        <v>science</v>
      </c>
      <c r="J3" s="421" t="str">
        <f>'MI 3'!J3</f>
        <v>math</v>
      </c>
      <c r="K3" s="421" t="str">
        <f>'MI 3'!K3</f>
        <v>medicine</v>
      </c>
      <c r="M3" t="s">
        <v>798</v>
      </c>
      <c r="U3" t="s">
        <v>1048</v>
      </c>
      <c r="AD3" s="421" t="str">
        <f>G3</f>
        <v>id</v>
      </c>
      <c r="AE3" s="421" t="str">
        <f>H3</f>
        <v>read</v>
      </c>
      <c r="AF3" s="421" t="str">
        <f>I3</f>
        <v>science</v>
      </c>
      <c r="AG3" s="421" t="str">
        <f>J3</f>
        <v>math</v>
      </c>
      <c r="AH3" s="421" t="str">
        <f>K3</f>
        <v>medicine</v>
      </c>
    </row>
    <row r="4" spans="1:34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s="421">
        <f>'MI 3'!G4</f>
        <v>1</v>
      </c>
      <c r="H4" s="418" t="e">
        <f ca="1">'MI 3'!H4</f>
        <v>#NAME?</v>
      </c>
      <c r="I4" s="416" t="e">
        <f ca="1">'MI 3'!I4</f>
        <v>#NAME?</v>
      </c>
      <c r="J4" s="416" t="e">
        <f ca="1">'MI 3'!J4</f>
        <v>#NAME?</v>
      </c>
      <c r="K4" s="419" t="e">
        <f ca="1">'MI 3'!K4</f>
        <v>#NAME?</v>
      </c>
      <c r="U4" s="418" t="e">
        <f t="array" aca="1" ref="U4:X7" ca="1">CORE(I4:K23)</f>
        <v>#NAME?</v>
      </c>
      <c r="V4" s="416" t="e">
        <f ca="1"/>
        <v>#NAME?</v>
      </c>
      <c r="W4" s="416" t="e">
        <f ca="1"/>
        <v>#NAME?</v>
      </c>
      <c r="X4" s="419" t="e">
        <f ca="1"/>
        <v>#NAME?</v>
      </c>
      <c r="Z4" t="s">
        <v>1012</v>
      </c>
      <c r="AA4" s="417" t="e">
        <f ca="1">O15</f>
        <v>#NAME?</v>
      </c>
      <c r="AD4" s="421">
        <f t="shared" ref="AD4:AD18" si="0">G4</f>
        <v>1</v>
      </c>
      <c r="AE4" s="418" t="e">
        <f t="shared" ref="AE4:AE16" ca="1" si="1">H4</f>
        <v>#NAME?</v>
      </c>
      <c r="AF4" s="416" t="e">
        <f t="shared" ref="AF4:AF18" ca="1" si="2">I4</f>
        <v>#NAME?</v>
      </c>
      <c r="AG4" s="416" t="e">
        <f t="shared" ref="AG4:AG18" ca="1" si="3">J4</f>
        <v>#NAME?</v>
      </c>
      <c r="AH4" s="419" t="e">
        <f t="shared" ref="AH4:AH18" ca="1" si="4">K4</f>
        <v>#NAME?</v>
      </c>
    </row>
    <row r="5" spans="1:34" ht="15.75" thickBot="1" x14ac:dyDescent="0.3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s="421">
        <f>'MI 3'!G5</f>
        <v>2</v>
      </c>
      <c r="H5" s="214" t="e">
        <f ca="1">'MI 3'!H5</f>
        <v>#NAME?</v>
      </c>
      <c r="I5" s="7" t="e">
        <f ca="1">'MI 3'!I5</f>
        <v>#NAME?</v>
      </c>
      <c r="J5" s="7" t="e">
        <f ca="1">'MI 3'!J5</f>
        <v>#NAME?</v>
      </c>
      <c r="K5" s="215" t="e">
        <f ca="1">'MI 3'!K5</f>
        <v>#NAME?</v>
      </c>
      <c r="M5" s="342" t="s">
        <v>799</v>
      </c>
      <c r="N5" s="342"/>
      <c r="U5" s="214" t="e">
        <f ca="1"/>
        <v>#NAME?</v>
      </c>
      <c r="V5" s="7" t="e">
        <f ca="1"/>
        <v>#NAME?</v>
      </c>
      <c r="W5" s="7" t="e">
        <f ca="1"/>
        <v>#NAME?</v>
      </c>
      <c r="X5" s="215" t="e">
        <f ca="1"/>
        <v>#NAME?</v>
      </c>
      <c r="Z5" t="s">
        <v>788</v>
      </c>
      <c r="AA5" s="185" t="e">
        <f ca="1">CHIINV(RAND(),N15)</f>
        <v>#NUM!</v>
      </c>
      <c r="AD5" s="421">
        <f t="shared" si="0"/>
        <v>2</v>
      </c>
      <c r="AE5" s="214" t="e">
        <f ca="1">H5</f>
        <v>#NAME?</v>
      </c>
      <c r="AF5" s="7" t="e">
        <f t="shared" ca="1" si="2"/>
        <v>#NAME?</v>
      </c>
      <c r="AG5" s="7" t="e">
        <f t="shared" ca="1" si="3"/>
        <v>#NAME?</v>
      </c>
      <c r="AH5" s="215" t="e">
        <f t="shared" ca="1" si="4"/>
        <v>#NAME?</v>
      </c>
    </row>
    <row r="6" spans="1:34" ht="15.75" thickTop="1" x14ac:dyDescent="0.25">
      <c r="A6" s="421">
        <f t="shared" ref="A6:A23" si="5">A5+1</f>
        <v>3</v>
      </c>
      <c r="B6" s="256" t="s">
        <v>4</v>
      </c>
      <c r="C6" s="20">
        <v>56</v>
      </c>
      <c r="D6" s="20">
        <v>23</v>
      </c>
      <c r="E6" s="269">
        <v>60</v>
      </c>
      <c r="G6" s="421">
        <f>'MI 3'!G6</f>
        <v>3</v>
      </c>
      <c r="H6" s="214" t="e">
        <f ca="1">'MI 3'!H6</f>
        <v>#NAME?</v>
      </c>
      <c r="I6" s="7" t="e">
        <f ca="1">'MI 3'!I6</f>
        <v>#NAME?</v>
      </c>
      <c r="J6" s="7" t="e">
        <f ca="1">'MI 3'!J6</f>
        <v>#NAME?</v>
      </c>
      <c r="K6" s="215" t="e">
        <f ca="1">'MI 3'!K6</f>
        <v>#NAME?</v>
      </c>
      <c r="M6" t="s">
        <v>123</v>
      </c>
      <c r="N6" t="e">
        <f ca="1">SQRT(N7)</f>
        <v>#NAME?</v>
      </c>
      <c r="U6" s="214" t="e">
        <f ca="1"/>
        <v>#NAME?</v>
      </c>
      <c r="V6" s="7" t="e">
        <f ca="1"/>
        <v>#NAME?</v>
      </c>
      <c r="W6" s="7" t="e">
        <f ca="1"/>
        <v>#NAME?</v>
      </c>
      <c r="X6" s="215" t="e">
        <f ca="1"/>
        <v>#NAME?</v>
      </c>
      <c r="Z6" s="74" t="s">
        <v>1049</v>
      </c>
      <c r="AA6" s="185" t="e">
        <f ca="1">AA4/AA5</f>
        <v>#NAME?</v>
      </c>
      <c r="AD6" s="421">
        <f t="shared" si="0"/>
        <v>3</v>
      </c>
      <c r="AE6" s="214" t="e">
        <f ca="1">AB$10+MMULT(AF6:AH6,AB$11:AB$13)+NORMSINV(RAND())</f>
        <v>#NAME?</v>
      </c>
      <c r="AF6" s="7" t="e">
        <f t="shared" ca="1" si="2"/>
        <v>#NAME?</v>
      </c>
      <c r="AG6" s="7" t="e">
        <f t="shared" ca="1" si="3"/>
        <v>#NAME?</v>
      </c>
      <c r="AH6" s="215" t="e">
        <f t="shared" ca="1" si="4"/>
        <v>#NAME?</v>
      </c>
    </row>
    <row r="7" spans="1:34" x14ac:dyDescent="0.25">
      <c r="A7" s="421">
        <f t="shared" si="5"/>
        <v>4</v>
      </c>
      <c r="B7" s="256">
        <v>15</v>
      </c>
      <c r="C7" s="20">
        <v>37</v>
      </c>
      <c r="D7" s="20">
        <v>19</v>
      </c>
      <c r="E7" s="269">
        <v>52</v>
      </c>
      <c r="G7" s="421">
        <f>'MI 3'!G7</f>
        <v>4</v>
      </c>
      <c r="H7" s="214" t="e">
        <f ca="1">'MI 3'!H7</f>
        <v>#NAME?</v>
      </c>
      <c r="I7" s="7" t="e">
        <f ca="1">'MI 3'!I7</f>
        <v>#NAME?</v>
      </c>
      <c r="J7" s="7" t="e">
        <f ca="1">'MI 3'!J7</f>
        <v>#NAME?</v>
      </c>
      <c r="K7" s="215" t="e">
        <f ca="1">'MI 3'!K7</f>
        <v>#NAME?</v>
      </c>
      <c r="M7" t="s">
        <v>120</v>
      </c>
      <c r="N7" t="e">
        <f ca="1">O14/O16</f>
        <v>#NAME?</v>
      </c>
      <c r="U7" s="112" t="e">
        <f ca="1"/>
        <v>#NAME?</v>
      </c>
      <c r="V7" s="354" t="e">
        <f ca="1"/>
        <v>#NAME?</v>
      </c>
      <c r="W7" s="354" t="e">
        <f ca="1"/>
        <v>#NAME?</v>
      </c>
      <c r="X7" s="120" t="e">
        <f ca="1"/>
        <v>#NAME?</v>
      </c>
      <c r="Z7" t="s">
        <v>1052</v>
      </c>
      <c r="AA7" s="123" t="e">
        <f ca="1">SQRT(AA6)</f>
        <v>#NAME?</v>
      </c>
      <c r="AD7" s="421">
        <f t="shared" si="0"/>
        <v>4</v>
      </c>
      <c r="AE7" s="214" t="e">
        <f t="shared" ca="1" si="1"/>
        <v>#NAME?</v>
      </c>
      <c r="AF7" s="7" t="e">
        <f t="shared" ca="1" si="2"/>
        <v>#NAME?</v>
      </c>
      <c r="AG7" s="7" t="e">
        <f t="shared" ca="1" si="3"/>
        <v>#NAME?</v>
      </c>
      <c r="AH7" s="215" t="e">
        <f t="shared" ca="1" si="4"/>
        <v>#NAME?</v>
      </c>
    </row>
    <row r="8" spans="1:34" x14ac:dyDescent="0.25">
      <c r="A8" s="421">
        <f t="shared" si="5"/>
        <v>5</v>
      </c>
      <c r="B8" s="256">
        <v>10</v>
      </c>
      <c r="C8" s="20">
        <v>31</v>
      </c>
      <c r="D8" s="20">
        <v>21</v>
      </c>
      <c r="E8" s="269" t="s">
        <v>4</v>
      </c>
      <c r="G8" s="421">
        <f>'MI 3'!G8</f>
        <v>5</v>
      </c>
      <c r="H8" s="214" t="e">
        <f ca="1">'MI 3'!H8</f>
        <v>#NAME?</v>
      </c>
      <c r="I8" s="7" t="e">
        <f ca="1">'MI 3'!I8</f>
        <v>#NAME?</v>
      </c>
      <c r="J8" s="7" t="e">
        <f ca="1">'MI 3'!J8</f>
        <v>#NAME?</v>
      </c>
      <c r="K8" s="215" t="e">
        <f ca="1">'MI 3'!K8</f>
        <v>#NAME?</v>
      </c>
      <c r="M8" t="s">
        <v>124</v>
      </c>
      <c r="N8" t="e">
        <f ca="1">1-(1-N7)*(N10-1)/(N10-N14-1)</f>
        <v>#NAME?</v>
      </c>
      <c r="AD8" s="421">
        <f t="shared" si="0"/>
        <v>5</v>
      </c>
      <c r="AE8" s="214" t="e">
        <f t="shared" ca="1" si="1"/>
        <v>#NAME?</v>
      </c>
      <c r="AF8" s="7" t="e">
        <f t="shared" ca="1" si="2"/>
        <v>#NAME?</v>
      </c>
      <c r="AG8" s="7" t="e">
        <f t="shared" ca="1" si="3"/>
        <v>#NAME?</v>
      </c>
      <c r="AH8" s="215" t="e">
        <f t="shared" ca="1" si="4"/>
        <v>#NAME?</v>
      </c>
    </row>
    <row r="9" spans="1:34" x14ac:dyDescent="0.25">
      <c r="A9" s="421">
        <f t="shared" si="5"/>
        <v>6</v>
      </c>
      <c r="B9" s="256">
        <v>18</v>
      </c>
      <c r="C9" s="20">
        <v>40</v>
      </c>
      <c r="D9" s="20">
        <v>22</v>
      </c>
      <c r="E9" s="269">
        <v>43</v>
      </c>
      <c r="G9" s="421">
        <f>'MI 3'!G9</f>
        <v>6</v>
      </c>
      <c r="H9" s="214" t="e">
        <f ca="1">'MI 3'!H9</f>
        <v>#NAME?</v>
      </c>
      <c r="I9" s="7" t="e">
        <f ca="1">'MI 3'!I9</f>
        <v>#NAME?</v>
      </c>
      <c r="J9" s="7" t="e">
        <f ca="1">'MI 3'!J9</f>
        <v>#NAME?</v>
      </c>
      <c r="K9" s="215" t="e">
        <f ca="1">'MI 3'!K9</f>
        <v>#NAME?</v>
      </c>
      <c r="M9" t="s">
        <v>10</v>
      </c>
      <c r="N9" t="e">
        <f ca="1">SQRT(P15)</f>
        <v>#NAME?</v>
      </c>
      <c r="U9" t="s">
        <v>1050</v>
      </c>
      <c r="Z9" s="421" t="s">
        <v>1051</v>
      </c>
      <c r="AA9" s="421" t="s">
        <v>437</v>
      </c>
      <c r="AB9" s="421" t="s">
        <v>1013</v>
      </c>
      <c r="AD9" s="421">
        <f t="shared" si="0"/>
        <v>6</v>
      </c>
      <c r="AE9" s="214" t="e">
        <f t="shared" ca="1" si="1"/>
        <v>#NAME?</v>
      </c>
      <c r="AF9" s="7" t="e">
        <f t="shared" ca="1" si="2"/>
        <v>#NAME?</v>
      </c>
      <c r="AG9" s="7" t="e">
        <f t="shared" ca="1" si="3"/>
        <v>#NAME?</v>
      </c>
      <c r="AH9" s="215" t="e">
        <f t="shared" ca="1" si="4"/>
        <v>#NAME?</v>
      </c>
    </row>
    <row r="10" spans="1:34" x14ac:dyDescent="0.25">
      <c r="A10" s="421">
        <f t="shared" si="5"/>
        <v>7</v>
      </c>
      <c r="B10" s="256">
        <v>15</v>
      </c>
      <c r="C10" s="20">
        <v>50</v>
      </c>
      <c r="D10" s="20">
        <v>28</v>
      </c>
      <c r="E10" s="269">
        <v>56</v>
      </c>
      <c r="G10" s="421">
        <f>'MI 3'!G10</f>
        <v>7</v>
      </c>
      <c r="H10" s="214" t="e">
        <f ca="1">'MI 3'!H10</f>
        <v>#NAME?</v>
      </c>
      <c r="I10" s="7" t="e">
        <f ca="1">'MI 3'!I10</f>
        <v>#NAME?</v>
      </c>
      <c r="J10" s="7" t="e">
        <f ca="1">'MI 3'!J10</f>
        <v>#NAME?</v>
      </c>
      <c r="K10" s="215" t="e">
        <f ca="1">'MI 3'!K10</f>
        <v>#NAME?</v>
      </c>
      <c r="M10" s="354" t="s">
        <v>55</v>
      </c>
      <c r="N10" s="354">
        <f ca="1">COUNT(H4:H23)</f>
        <v>0</v>
      </c>
      <c r="U10" s="418" t="e">
        <f t="array" aca="1" ref="U10:X13" ca="1">CHOL(U4:X7)</f>
        <v>#NAME?</v>
      </c>
      <c r="V10" s="416" t="e">
        <f ca="1"/>
        <v>#NAME?</v>
      </c>
      <c r="W10" s="416" t="e">
        <f ca="1"/>
        <v>#NAME?</v>
      </c>
      <c r="X10" s="419" t="e">
        <f ca="1"/>
        <v>#NAME?</v>
      </c>
      <c r="Z10" s="418" t="e">
        <f ca="1">N19</f>
        <v>#NAME?</v>
      </c>
      <c r="AA10" s="416">
        <f ca="1">NORMSINV(RAND())</f>
        <v>0.99187726136765852</v>
      </c>
      <c r="AB10" s="419" t="e">
        <f t="array" aca="1" ref="AB10:AB13" ca="1">Z10:Z13+AA7*MMULT(U10:X13,AA10:AA13)</f>
        <v>#NAME?</v>
      </c>
      <c r="AD10" s="421">
        <f t="shared" si="0"/>
        <v>7</v>
      </c>
      <c r="AE10" s="214" t="e">
        <f t="shared" ca="1" si="1"/>
        <v>#NAME?</v>
      </c>
      <c r="AF10" s="7" t="e">
        <f t="shared" ca="1" si="2"/>
        <v>#NAME?</v>
      </c>
      <c r="AG10" s="7" t="e">
        <f t="shared" ca="1" si="3"/>
        <v>#NAME?</v>
      </c>
      <c r="AH10" s="215" t="e">
        <f t="shared" ca="1" si="4"/>
        <v>#NAME?</v>
      </c>
    </row>
    <row r="11" spans="1:34" x14ac:dyDescent="0.25">
      <c r="A11" s="421">
        <f t="shared" si="5"/>
        <v>8</v>
      </c>
      <c r="B11" s="256">
        <v>21</v>
      </c>
      <c r="C11" s="20" t="s">
        <v>4</v>
      </c>
      <c r="D11" s="20" t="s">
        <v>4</v>
      </c>
      <c r="E11" s="269">
        <v>46</v>
      </c>
      <c r="G11" s="421">
        <f>'MI 3'!G11</f>
        <v>8</v>
      </c>
      <c r="H11" s="214" t="e">
        <f ca="1">'MI 3'!H11</f>
        <v>#NAME?</v>
      </c>
      <c r="I11" s="7" t="e">
        <f ca="1">'MI 3'!I11</f>
        <v>#NAME?</v>
      </c>
      <c r="J11" s="7" t="e">
        <f ca="1">'MI 3'!J11</f>
        <v>#NAME?</v>
      </c>
      <c r="K11" s="215" t="e">
        <f ca="1">'MI 3'!K11</f>
        <v>#NAME?</v>
      </c>
      <c r="U11" s="214" t="e">
        <f ca="1"/>
        <v>#NAME?</v>
      </c>
      <c r="V11" s="7" t="e">
        <f ca="1"/>
        <v>#NAME?</v>
      </c>
      <c r="W11" s="7" t="e">
        <f ca="1"/>
        <v>#NAME?</v>
      </c>
      <c r="X11" s="215" t="e">
        <f ca="1"/>
        <v>#NAME?</v>
      </c>
      <c r="Z11" s="214" t="e">
        <f ca="1">N20</f>
        <v>#NAME?</v>
      </c>
      <c r="AA11" s="7">
        <f t="array" aca="1" ref="AA11" ca="1">NORMSINV(RAND())</f>
        <v>-1.7739572584279546</v>
      </c>
      <c r="AB11" s="215" t="e">
        <f ca="1"/>
        <v>#NAME?</v>
      </c>
      <c r="AD11" s="421">
        <f t="shared" si="0"/>
        <v>8</v>
      </c>
      <c r="AE11" s="214" t="e">
        <f t="shared" ca="1" si="1"/>
        <v>#NAME?</v>
      </c>
      <c r="AF11" s="7" t="e">
        <f t="shared" ca="1" si="2"/>
        <v>#NAME?</v>
      </c>
      <c r="AG11" s="7" t="e">
        <f t="shared" ca="1" si="3"/>
        <v>#NAME?</v>
      </c>
      <c r="AH11" s="215" t="e">
        <f t="shared" ca="1" si="4"/>
        <v>#NAME?</v>
      </c>
    </row>
    <row r="12" spans="1:34" ht="15.75" thickBot="1" x14ac:dyDescent="0.3">
      <c r="A12" s="421">
        <f t="shared" si="5"/>
        <v>9</v>
      </c>
      <c r="B12" s="256">
        <v>20</v>
      </c>
      <c r="C12" s="20">
        <v>39</v>
      </c>
      <c r="D12" s="20">
        <v>25</v>
      </c>
      <c r="E12" s="269">
        <v>51</v>
      </c>
      <c r="G12" s="421">
        <f>'MI 3'!G12</f>
        <v>9</v>
      </c>
      <c r="H12" s="214" t="e">
        <f ca="1">'MI 3'!H12</f>
        <v>#NAME?</v>
      </c>
      <c r="I12" s="7" t="e">
        <f ca="1">'MI 3'!I12</f>
        <v>#NAME?</v>
      </c>
      <c r="J12" s="7" t="e">
        <f ca="1">'MI 3'!J12</f>
        <v>#NAME?</v>
      </c>
      <c r="K12" s="215" t="e">
        <f ca="1">'MI 3'!K12</f>
        <v>#NAME?</v>
      </c>
      <c r="M12" t="s">
        <v>125</v>
      </c>
      <c r="Q12" s="421" t="s">
        <v>18</v>
      </c>
      <c r="R12" s="421">
        <v>0.05</v>
      </c>
      <c r="U12" s="214" t="e">
        <f ca="1"/>
        <v>#NAME?</v>
      </c>
      <c r="V12" s="7" t="e">
        <f ca="1"/>
        <v>#NAME?</v>
      </c>
      <c r="W12" s="7" t="e">
        <f ca="1"/>
        <v>#NAME?</v>
      </c>
      <c r="X12" s="215" t="e">
        <f ca="1"/>
        <v>#NAME?</v>
      </c>
      <c r="Z12" s="214" t="e">
        <f ca="1">N21</f>
        <v>#NAME?</v>
      </c>
      <c r="AA12" s="7">
        <f t="array" aca="1" ref="AA12" ca="1">NORMSINV(RAND())</f>
        <v>-0.52690730528604079</v>
      </c>
      <c r="AB12" s="215" t="e">
        <f ca="1"/>
        <v>#NAME?</v>
      </c>
      <c r="AD12" s="421">
        <f t="shared" si="0"/>
        <v>9</v>
      </c>
      <c r="AE12" s="214" t="e">
        <f t="shared" ca="1" si="1"/>
        <v>#NAME?</v>
      </c>
      <c r="AF12" s="7" t="e">
        <f t="shared" ca="1" si="2"/>
        <v>#NAME?</v>
      </c>
      <c r="AG12" s="7" t="e">
        <f t="shared" ca="1" si="3"/>
        <v>#NAME?</v>
      </c>
      <c r="AH12" s="215" t="e">
        <f t="shared" ca="1" si="4"/>
        <v>#NAME?</v>
      </c>
    </row>
    <row r="13" spans="1:34" ht="15.75" thickTop="1" x14ac:dyDescent="0.25">
      <c r="A13" s="421">
        <f t="shared" si="5"/>
        <v>10</v>
      </c>
      <c r="B13" s="256" t="s">
        <v>4</v>
      </c>
      <c r="C13" s="20">
        <v>36</v>
      </c>
      <c r="D13" s="20">
        <v>23</v>
      </c>
      <c r="E13" s="269">
        <v>56</v>
      </c>
      <c r="G13" s="421">
        <f>'MI 3'!G13</f>
        <v>10</v>
      </c>
      <c r="H13" s="214" t="e">
        <f ca="1">'MI 3'!H13</f>
        <v>#NAME?</v>
      </c>
      <c r="I13" s="7" t="e">
        <f ca="1">'MI 3'!I13</f>
        <v>#NAME?</v>
      </c>
      <c r="J13" s="7" t="e">
        <f ca="1">'MI 3'!J13</f>
        <v>#NAME?</v>
      </c>
      <c r="K13" s="215" t="e">
        <f ca="1">'MI 3'!K13</f>
        <v>#NAME?</v>
      </c>
      <c r="M13" s="386"/>
      <c r="N13" s="386" t="s">
        <v>41</v>
      </c>
      <c r="O13" s="386" t="s">
        <v>111</v>
      </c>
      <c r="P13" s="386" t="s">
        <v>115</v>
      </c>
      <c r="Q13" s="386" t="s">
        <v>98</v>
      </c>
      <c r="R13" s="386" t="s">
        <v>48</v>
      </c>
      <c r="S13" s="386" t="s">
        <v>164</v>
      </c>
      <c r="U13" s="112" t="e">
        <f ca="1"/>
        <v>#NAME?</v>
      </c>
      <c r="V13" s="354" t="e">
        <f ca="1"/>
        <v>#NAME?</v>
      </c>
      <c r="W13" s="354" t="e">
        <f ca="1"/>
        <v>#NAME?</v>
      </c>
      <c r="X13" s="120" t="e">
        <f ca="1"/>
        <v>#NAME?</v>
      </c>
      <c r="Z13" s="112" t="e">
        <f ca="1">N22</f>
        <v>#NAME?</v>
      </c>
      <c r="AA13" s="354">
        <f t="array" aca="1" ref="AA13" ca="1">NORMSINV(RAND())</f>
        <v>1.5609501348427275</v>
      </c>
      <c r="AB13" s="120" t="e">
        <f ca="1"/>
        <v>#NAME?</v>
      </c>
      <c r="AD13" s="421">
        <f t="shared" si="0"/>
        <v>10</v>
      </c>
      <c r="AE13" s="214" t="e">
        <f ca="1">AB$10+MMULT(AF13:AH13,AB$11:AB$13)+NORMSINV(RAND())</f>
        <v>#NAME?</v>
      </c>
      <c r="AF13" s="7" t="e">
        <f t="shared" ca="1" si="2"/>
        <v>#NAME?</v>
      </c>
      <c r="AG13" s="7" t="e">
        <f t="shared" ca="1" si="3"/>
        <v>#NAME?</v>
      </c>
      <c r="AH13" s="215" t="e">
        <f t="shared" ca="1" si="4"/>
        <v>#NAME?</v>
      </c>
    </row>
    <row r="14" spans="1:34" x14ac:dyDescent="0.25">
      <c r="A14" s="421">
        <f t="shared" si="5"/>
        <v>11</v>
      </c>
      <c r="B14" s="256" t="s">
        <v>4</v>
      </c>
      <c r="C14" s="20">
        <v>27</v>
      </c>
      <c r="D14" s="20">
        <v>21</v>
      </c>
      <c r="E14" s="269">
        <v>39</v>
      </c>
      <c r="G14" s="421">
        <f>'MI 3'!G14</f>
        <v>11</v>
      </c>
      <c r="H14" s="214" t="e">
        <f ca="1">'MI 3'!H14</f>
        <v>#NAME?</v>
      </c>
      <c r="I14" s="7" t="e">
        <f ca="1">'MI 3'!I14</f>
        <v>#NAME?</v>
      </c>
      <c r="J14" s="7" t="e">
        <f ca="1">'MI 3'!J14</f>
        <v>#NAME?</v>
      </c>
      <c r="K14" s="215" t="e">
        <f ca="1">'MI 3'!K14</f>
        <v>#NAME?</v>
      </c>
      <c r="M14" t="s">
        <v>113</v>
      </c>
      <c r="N14">
        <f ca="1">COUNT(I4:K4)</f>
        <v>0</v>
      </c>
      <c r="O14" t="e">
        <f ca="1">DEVSQ(MMULT(DESIGN(I4:K23),N19:N22))</f>
        <v>#NAME?</v>
      </c>
      <c r="P14" t="e">
        <f ca="1">O14/N14</f>
        <v>#NAME?</v>
      </c>
      <c r="Q14" t="e">
        <f ca="1">P14/P15</f>
        <v>#NAME?</v>
      </c>
      <c r="R14" t="e">
        <f ca="1">FDIST(Q14,N14,N15)</f>
        <v>#NAME?</v>
      </c>
      <c r="S14" s="421" t="e">
        <f ca="1">IF(R14&lt;R12,"yes","no")</f>
        <v>#NAME?</v>
      </c>
      <c r="AD14" s="421">
        <f t="shared" si="0"/>
        <v>11</v>
      </c>
      <c r="AE14" s="214" t="e">
        <f ca="1">AB$10+MMULT(AF14:AH14,AB$11:AB$13)+NORMSINV(RAND())</f>
        <v>#NAME?</v>
      </c>
      <c r="AF14" s="7" t="e">
        <f t="shared" ca="1" si="2"/>
        <v>#NAME?</v>
      </c>
      <c r="AG14" s="7" t="e">
        <f t="shared" ca="1" si="3"/>
        <v>#NAME?</v>
      </c>
      <c r="AH14" s="215" t="e">
        <f t="shared" ca="1" si="4"/>
        <v>#NAME?</v>
      </c>
    </row>
    <row r="15" spans="1:34" x14ac:dyDescent="0.25">
      <c r="A15" s="421">
        <f t="shared" si="5"/>
        <v>12</v>
      </c>
      <c r="B15" s="256">
        <v>14</v>
      </c>
      <c r="C15" s="20">
        <v>32</v>
      </c>
      <c r="D15" s="20">
        <v>20</v>
      </c>
      <c r="E15" s="269">
        <v>46</v>
      </c>
      <c r="G15" s="421">
        <f>'MI 3'!G15</f>
        <v>12</v>
      </c>
      <c r="H15" s="214" t="e">
        <f ca="1">'MI 3'!H15</f>
        <v>#NAME?</v>
      </c>
      <c r="I15" s="7" t="e">
        <f ca="1">'MI 3'!I15</f>
        <v>#NAME?</v>
      </c>
      <c r="J15" s="7" t="e">
        <f ca="1">'MI 3'!J15</f>
        <v>#NAME?</v>
      </c>
      <c r="K15" s="215" t="e">
        <f ca="1">'MI 3'!K15</f>
        <v>#NAME?</v>
      </c>
      <c r="M15" t="s">
        <v>126</v>
      </c>
      <c r="N15">
        <f ca="1">N16-N14</f>
        <v>-1</v>
      </c>
      <c r="O15" t="e">
        <f ca="1">O16-O14</f>
        <v>#NAME?</v>
      </c>
      <c r="P15" t="e">
        <f ca="1">O15/N15</f>
        <v>#NAME?</v>
      </c>
      <c r="AD15" s="421">
        <f t="shared" si="0"/>
        <v>12</v>
      </c>
      <c r="AE15" s="214" t="e">
        <f t="shared" ca="1" si="1"/>
        <v>#NAME?</v>
      </c>
      <c r="AF15" s="7" t="e">
        <f t="shared" ca="1" si="2"/>
        <v>#NAME?</v>
      </c>
      <c r="AG15" s="7" t="e">
        <f t="shared" ca="1" si="3"/>
        <v>#NAME?</v>
      </c>
      <c r="AH15" s="215" t="e">
        <f t="shared" ca="1" si="4"/>
        <v>#NAME?</v>
      </c>
    </row>
    <row r="16" spans="1:34" x14ac:dyDescent="0.25">
      <c r="A16" s="421">
        <f t="shared" si="5"/>
        <v>13</v>
      </c>
      <c r="B16" s="256">
        <v>22</v>
      </c>
      <c r="C16" s="20">
        <v>40</v>
      </c>
      <c r="D16" s="20" t="s">
        <v>4</v>
      </c>
      <c r="E16" s="269">
        <v>49</v>
      </c>
      <c r="G16" s="421">
        <f>'MI 3'!G16</f>
        <v>13</v>
      </c>
      <c r="H16" s="214" t="e">
        <f ca="1">'MI 3'!H16</f>
        <v>#NAME?</v>
      </c>
      <c r="I16" s="7" t="e">
        <f ca="1">'MI 3'!I16</f>
        <v>#NAME?</v>
      </c>
      <c r="J16" s="7" t="e">
        <f ca="1">'MI 3'!J16</f>
        <v>#NAME?</v>
      </c>
      <c r="K16" s="215" t="e">
        <f ca="1">'MI 3'!K16</f>
        <v>#NAME?</v>
      </c>
      <c r="M16" s="354" t="s">
        <v>1</v>
      </c>
      <c r="N16" s="354">
        <f ca="1">N10-1</f>
        <v>-1</v>
      </c>
      <c r="O16" s="354" t="e">
        <f ca="1">DEVSQ(H4:H23)</f>
        <v>#NAME?</v>
      </c>
      <c r="P16" s="354"/>
      <c r="Q16" s="354"/>
      <c r="R16" s="354"/>
      <c r="S16" s="354"/>
      <c r="AD16" s="421">
        <f t="shared" si="0"/>
        <v>13</v>
      </c>
      <c r="AE16" s="214" t="e">
        <f t="shared" ca="1" si="1"/>
        <v>#NAME?</v>
      </c>
      <c r="AF16" s="7" t="e">
        <f t="shared" ca="1" si="2"/>
        <v>#NAME?</v>
      </c>
      <c r="AG16" s="7" t="e">
        <f t="shared" ca="1" si="3"/>
        <v>#NAME?</v>
      </c>
      <c r="AH16" s="215" t="e">
        <f t="shared" ca="1" si="4"/>
        <v>#NAME?</v>
      </c>
    </row>
    <row r="17" spans="1:34" ht="15.75" thickBot="1" x14ac:dyDescent="0.3">
      <c r="A17" s="421">
        <f t="shared" si="5"/>
        <v>14</v>
      </c>
      <c r="B17" s="256" t="s">
        <v>4</v>
      </c>
      <c r="C17" s="20">
        <v>31</v>
      </c>
      <c r="D17" s="20" t="s">
        <v>4</v>
      </c>
      <c r="E17" s="269">
        <v>44</v>
      </c>
      <c r="G17" s="421">
        <f>'MI 3'!G17</f>
        <v>14</v>
      </c>
      <c r="H17" s="214" t="e">
        <f ca="1">'MI 3'!H17</f>
        <v>#NAME?</v>
      </c>
      <c r="I17" s="7" t="e">
        <f ca="1">'MI 3'!I17</f>
        <v>#NAME?</v>
      </c>
      <c r="J17" s="7" t="e">
        <f ca="1">'MI 3'!J17</f>
        <v>#NAME?</v>
      </c>
      <c r="K17" s="215" t="e">
        <f ca="1">'MI 3'!K17</f>
        <v>#NAME?</v>
      </c>
      <c r="AD17" s="421">
        <f t="shared" si="0"/>
        <v>14</v>
      </c>
      <c r="AE17" s="214" t="e">
        <f ca="1">AB$10+MMULT(AF17:AH17,AB$11:AB$13)+NORMSINV(RAND())</f>
        <v>#NAME?</v>
      </c>
      <c r="AF17" s="7" t="e">
        <f t="shared" ca="1" si="2"/>
        <v>#NAME?</v>
      </c>
      <c r="AG17" s="7" t="e">
        <f t="shared" ca="1" si="3"/>
        <v>#NAME?</v>
      </c>
      <c r="AH17" s="215" t="e">
        <f t="shared" ca="1" si="4"/>
        <v>#NAME?</v>
      </c>
    </row>
    <row r="18" spans="1:34" ht="15.75" thickTop="1" x14ac:dyDescent="0.25">
      <c r="A18" s="421">
        <f t="shared" si="5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421">
        <f>'MI 3'!G18</f>
        <v>15</v>
      </c>
      <c r="H18" s="214" t="e">
        <f ca="1">'MI 3'!H18</f>
        <v>#NAME?</v>
      </c>
      <c r="I18" s="7" t="e">
        <f ca="1">'MI 3'!I18</f>
        <v>#NAME?</v>
      </c>
      <c r="J18" s="7" t="e">
        <f ca="1">'MI 3'!J18</f>
        <v>#NAME?</v>
      </c>
      <c r="K18" s="215" t="e">
        <f ca="1">'MI 3'!K18</f>
        <v>#NAME?</v>
      </c>
      <c r="M18" s="386"/>
      <c r="N18" s="386" t="s">
        <v>797</v>
      </c>
      <c r="O18" s="386" t="s">
        <v>390</v>
      </c>
      <c r="P18" s="386" t="s">
        <v>42</v>
      </c>
      <c r="Q18" s="386" t="s">
        <v>48</v>
      </c>
      <c r="R18" s="386" t="s">
        <v>15</v>
      </c>
      <c r="S18" s="386" t="s">
        <v>16</v>
      </c>
      <c r="AD18" s="421">
        <f t="shared" si="0"/>
        <v>15</v>
      </c>
      <c r="AE18" s="214" t="e">
        <f ca="1">AB$10+MMULT(AF18:AH18,AB$11:AB$13)+NORMSINV(RAND())</f>
        <v>#NAME?</v>
      </c>
      <c r="AF18" s="7" t="e">
        <f t="shared" ca="1" si="2"/>
        <v>#NAME?</v>
      </c>
      <c r="AG18" s="7" t="e">
        <f t="shared" ca="1" si="3"/>
        <v>#NAME?</v>
      </c>
      <c r="AH18" s="215" t="e">
        <f t="shared" ca="1" si="4"/>
        <v>#NAME?</v>
      </c>
    </row>
    <row r="19" spans="1:34" x14ac:dyDescent="0.25">
      <c r="A19" s="421">
        <f t="shared" si="5"/>
        <v>16</v>
      </c>
      <c r="B19" s="256">
        <v>16</v>
      </c>
      <c r="C19" s="20">
        <v>23</v>
      </c>
      <c r="D19" s="20">
        <v>21</v>
      </c>
      <c r="E19" s="269">
        <v>34</v>
      </c>
      <c r="G19" s="421">
        <f>'MI 3'!G19</f>
        <v>16</v>
      </c>
      <c r="H19" s="214" t="e">
        <f ca="1">'MI 3'!H19</f>
        <v>#NAME?</v>
      </c>
      <c r="I19" s="7" t="e">
        <f ca="1">'MI 3'!I19</f>
        <v>#NAME?</v>
      </c>
      <c r="J19" s="7" t="e">
        <f ca="1">'MI 3'!J19</f>
        <v>#NAME?</v>
      </c>
      <c r="K19" s="215" t="e">
        <f ca="1">'MI 3'!K19</f>
        <v>#NAME?</v>
      </c>
      <c r="M19" t="s">
        <v>127</v>
      </c>
      <c r="N19" t="e">
        <f t="array" aca="1" ref="N19:N22" ca="1">RegCoeff(I4:K23,H4:H23)</f>
        <v>#NAME?</v>
      </c>
      <c r="O19" t="e">
        <f t="array" aca="1" ref="O19:O22" ca="1">RegCoeffSE(I4:K23,H4:H23)</f>
        <v>#NAME?</v>
      </c>
      <c r="P19" t="e">
        <f ca="1">N19/O19</f>
        <v>#NAME?</v>
      </c>
      <c r="Q19" t="e">
        <f ca="1">TDIST(ABS(P19),$N$15,2)</f>
        <v>#NAME?</v>
      </c>
      <c r="R19" t="e">
        <f ca="1">N19-TINV(R$12,$N$15)*O19</f>
        <v>#NAME?</v>
      </c>
      <c r="S19" t="e">
        <f ca="1">N19+TINV(R$12,$N$15)*O19</f>
        <v>#NAME?</v>
      </c>
      <c r="AD19" s="421">
        <f t="shared" ref="AD19:AH23" si="6">G19</f>
        <v>16</v>
      </c>
      <c r="AE19" s="214" t="e">
        <f t="shared" ca="1" si="6"/>
        <v>#NAME?</v>
      </c>
      <c r="AF19" s="7" t="e">
        <f t="shared" ca="1" si="6"/>
        <v>#NAME?</v>
      </c>
      <c r="AG19" s="7" t="e">
        <f t="shared" ca="1" si="6"/>
        <v>#NAME?</v>
      </c>
      <c r="AH19" s="215" t="e">
        <f t="shared" ca="1" si="6"/>
        <v>#NAME?</v>
      </c>
    </row>
    <row r="20" spans="1:34" x14ac:dyDescent="0.25">
      <c r="A20" s="421">
        <f t="shared" si="5"/>
        <v>17</v>
      </c>
      <c r="B20" s="256">
        <v>27</v>
      </c>
      <c r="C20" s="20">
        <v>26</v>
      </c>
      <c r="D20" s="20">
        <v>23</v>
      </c>
      <c r="E20" s="269">
        <v>59</v>
      </c>
      <c r="G20" s="421">
        <f>'MI 3'!G20</f>
        <v>17</v>
      </c>
      <c r="H20" s="214" t="e">
        <f ca="1">'MI 3'!H20</f>
        <v>#NAME?</v>
      </c>
      <c r="I20" s="7" t="e">
        <f ca="1">'MI 3'!I20</f>
        <v>#NAME?</v>
      </c>
      <c r="J20" s="7" t="e">
        <f ca="1">'MI 3'!J20</f>
        <v>#NAME?</v>
      </c>
      <c r="K20" s="215" t="e">
        <f ca="1">'MI 3'!K20</f>
        <v>#NAME?</v>
      </c>
      <c r="M20" t="str">
        <f t="array" ref="M20:M22">TRANSPOSE(I3:K3)</f>
        <v>science</v>
      </c>
      <c r="N20" t="e">
        <f ca="1"/>
        <v>#NAME?</v>
      </c>
      <c r="O20" t="e">
        <f ca="1"/>
        <v>#NAME?</v>
      </c>
      <c r="P20" t="e">
        <f ca="1">N20/O20</f>
        <v>#NAME?</v>
      </c>
      <c r="Q20" t="e">
        <f ca="1">TDIST(ABS(P20),$N$15,2)</f>
        <v>#NAME?</v>
      </c>
      <c r="R20" t="e">
        <f ca="1">N20-TINV(R$12,$N$15)*O20</f>
        <v>#NAME?</v>
      </c>
      <c r="S20" t="e">
        <f ca="1">N20+TINV(R$12,$N$15)*O20</f>
        <v>#NAME?</v>
      </c>
      <c r="AD20" s="421">
        <f t="shared" si="6"/>
        <v>17</v>
      </c>
      <c r="AE20" s="214" t="e">
        <f t="shared" ca="1" si="6"/>
        <v>#NAME?</v>
      </c>
      <c r="AF20" s="7" t="e">
        <f t="shared" ca="1" si="6"/>
        <v>#NAME?</v>
      </c>
      <c r="AG20" s="7" t="e">
        <f t="shared" ca="1" si="6"/>
        <v>#NAME?</v>
      </c>
      <c r="AH20" s="215" t="e">
        <f t="shared" ca="1" si="6"/>
        <v>#NAME?</v>
      </c>
    </row>
    <row r="21" spans="1:34" x14ac:dyDescent="0.25">
      <c r="A21" s="421">
        <f t="shared" si="5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421">
        <f>'MI 3'!G21</f>
        <v>18</v>
      </c>
      <c r="H21" s="214" t="e">
        <f ca="1">'MI 3'!H21</f>
        <v>#NAME?</v>
      </c>
      <c r="I21" s="7" t="e">
        <f ca="1">'MI 3'!I21</f>
        <v>#NAME?</v>
      </c>
      <c r="J21" s="7" t="e">
        <f ca="1">'MI 3'!J21</f>
        <v>#NAME?</v>
      </c>
      <c r="K21" s="215" t="e">
        <f ca="1">'MI 3'!K21</f>
        <v>#NAME?</v>
      </c>
      <c r="M21" t="str">
        <v>math</v>
      </c>
      <c r="N21" t="e">
        <f ca="1"/>
        <v>#NAME?</v>
      </c>
      <c r="O21" t="e">
        <f ca="1"/>
        <v>#NAME?</v>
      </c>
      <c r="P21" t="e">
        <f ca="1">N21/O21</f>
        <v>#NAME?</v>
      </c>
      <c r="Q21" t="e">
        <f ca="1">TDIST(ABS(P21),$N$15,2)</f>
        <v>#NAME?</v>
      </c>
      <c r="R21" t="e">
        <f ca="1">N21-TINV(R$12,$N$15)*O21</f>
        <v>#NAME?</v>
      </c>
      <c r="S21" t="e">
        <f ca="1">N21+TINV(R$12,$N$15)*O21</f>
        <v>#NAME?</v>
      </c>
      <c r="AD21" s="421">
        <f t="shared" si="6"/>
        <v>18</v>
      </c>
      <c r="AE21" s="214" t="e">
        <f t="shared" ca="1" si="6"/>
        <v>#NAME?</v>
      </c>
      <c r="AF21" s="7" t="e">
        <f t="shared" ca="1" si="6"/>
        <v>#NAME?</v>
      </c>
      <c r="AG21" s="7" t="e">
        <f t="shared" ca="1" si="6"/>
        <v>#NAME?</v>
      </c>
      <c r="AH21" s="215" t="e">
        <f t="shared" ca="1" si="6"/>
        <v>#NAME?</v>
      </c>
    </row>
    <row r="22" spans="1:34" x14ac:dyDescent="0.25">
      <c r="A22" s="421">
        <f t="shared" si="5"/>
        <v>19</v>
      </c>
      <c r="B22" s="256">
        <v>13</v>
      </c>
      <c r="C22" s="20">
        <v>21</v>
      </c>
      <c r="D22" s="20">
        <v>20</v>
      </c>
      <c r="E22" s="269">
        <v>48</v>
      </c>
      <c r="G22" s="421">
        <f>'MI 3'!G22</f>
        <v>19</v>
      </c>
      <c r="H22" s="214" t="e">
        <f ca="1">'MI 3'!H22</f>
        <v>#NAME?</v>
      </c>
      <c r="I22" s="7" t="e">
        <f ca="1">'MI 3'!I22</f>
        <v>#NAME?</v>
      </c>
      <c r="J22" s="7" t="e">
        <f ca="1">'MI 3'!J22</f>
        <v>#NAME?</v>
      </c>
      <c r="K22" s="215" t="e">
        <f ca="1">'MI 3'!K22</f>
        <v>#NAME?</v>
      </c>
      <c r="M22" s="354" t="str">
        <v>medicine</v>
      </c>
      <c r="N22" s="354" t="e">
        <f ca="1"/>
        <v>#NAME?</v>
      </c>
      <c r="O22" s="354" t="e">
        <f ca="1"/>
        <v>#NAME?</v>
      </c>
      <c r="P22" s="354" t="e">
        <f ca="1">N22/O22</f>
        <v>#NAME?</v>
      </c>
      <c r="Q22" s="354" t="e">
        <f ca="1">TDIST(ABS(P22),$N$15,2)</f>
        <v>#NAME?</v>
      </c>
      <c r="R22" s="354" t="e">
        <f ca="1">N22-TINV(R$12,$N$15)*O22</f>
        <v>#NAME?</v>
      </c>
      <c r="S22" s="354" t="e">
        <f ca="1">N22+TINV(R$12,$N$15)*O22</f>
        <v>#NAME?</v>
      </c>
      <c r="AD22" s="421">
        <f t="shared" si="6"/>
        <v>19</v>
      </c>
      <c r="AE22" s="214" t="e">
        <f t="shared" ca="1" si="6"/>
        <v>#NAME?</v>
      </c>
      <c r="AF22" s="7" t="e">
        <f t="shared" ca="1" si="6"/>
        <v>#NAME?</v>
      </c>
      <c r="AG22" s="7" t="e">
        <f t="shared" ca="1" si="6"/>
        <v>#NAME?</v>
      </c>
      <c r="AH22" s="215" t="e">
        <f t="shared" ca="1" si="6"/>
        <v>#NAME?</v>
      </c>
    </row>
    <row r="23" spans="1:34" x14ac:dyDescent="0.25">
      <c r="A23" s="421">
        <f t="shared" si="5"/>
        <v>20</v>
      </c>
      <c r="B23" s="425">
        <v>11</v>
      </c>
      <c r="C23" s="428">
        <v>51</v>
      </c>
      <c r="D23" s="428">
        <v>18</v>
      </c>
      <c r="E23" s="426">
        <v>54</v>
      </c>
      <c r="G23" s="421">
        <f>'MI 3'!G23</f>
        <v>20</v>
      </c>
      <c r="H23" s="112" t="e">
        <f ca="1">'MI 3'!H23</f>
        <v>#NAME?</v>
      </c>
      <c r="I23" s="354" t="e">
        <f ca="1">'MI 3'!I23</f>
        <v>#NAME?</v>
      </c>
      <c r="J23" s="354" t="e">
        <f ca="1">'MI 3'!J23</f>
        <v>#NAME?</v>
      </c>
      <c r="K23" s="120" t="e">
        <f ca="1">'MI 3'!K23</f>
        <v>#NAME?</v>
      </c>
      <c r="AD23" s="421">
        <f t="shared" si="6"/>
        <v>20</v>
      </c>
      <c r="AE23" s="112" t="e">
        <f t="shared" ca="1" si="6"/>
        <v>#NAME?</v>
      </c>
      <c r="AF23" s="354" t="e">
        <f t="shared" ca="1" si="6"/>
        <v>#NAME?</v>
      </c>
      <c r="AG23" s="354" t="e">
        <f t="shared" ca="1" si="6"/>
        <v>#NAME?</v>
      </c>
      <c r="AH23" s="120" t="e">
        <f t="shared" ca="1" si="6"/>
        <v>#NAME?</v>
      </c>
    </row>
    <row r="24" spans="1:34" x14ac:dyDescent="0.25">
      <c r="A24" s="421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421" t="s">
        <v>6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AD24" s="421" t="s">
        <v>6</v>
      </c>
      <c r="AE24" t="e">
        <f ca="1">AVERAGE(AE4:AE23)</f>
        <v>#NAME?</v>
      </c>
      <c r="AF24" t="e">
        <f ca="1">AVERAGE(AF4:AF23)</f>
        <v>#NAME?</v>
      </c>
      <c r="AG24" t="e">
        <f ca="1">AVERAGE(AG4:AG23)</f>
        <v>#NAME?</v>
      </c>
      <c r="AH24" t="e">
        <f ca="1">AVERAGE(AH4:AH23)</f>
        <v>#NAME?</v>
      </c>
    </row>
    <row r="25" spans="1:34" x14ac:dyDescent="0.25">
      <c r="A25" s="421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421" t="s">
        <v>8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AD25" s="421" t="s">
        <v>8</v>
      </c>
      <c r="AE25" t="e">
        <f ca="1">STDEV(AE4:AE23)</f>
        <v>#NAME?</v>
      </c>
      <c r="AF25" t="e">
        <f ca="1">STDEV(AF4:AF23)</f>
        <v>#NAME?</v>
      </c>
      <c r="AG25" t="e">
        <f ca="1">STDEV(AG4:AG23)</f>
        <v>#NAME?</v>
      </c>
      <c r="AH25" t="e">
        <f ca="1">STDEV(AH4:AH23)</f>
        <v>#NAME?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U25"/>
  <sheetViews>
    <sheetView workbookViewId="0"/>
  </sheetViews>
  <sheetFormatPr defaultRowHeight="15" x14ac:dyDescent="0.25"/>
  <cols>
    <col min="1" max="1" width="6.28515625" customWidth="1"/>
    <col min="6" max="6" width="3.7109375" customWidth="1"/>
    <col min="7" max="7" width="6.28515625" customWidth="1"/>
    <col min="12" max="12" width="4.7109375" customWidth="1"/>
    <col min="13" max="13" width="6.28515625" customWidth="1"/>
    <col min="18" max="18" width="5.42578125" customWidth="1"/>
    <col min="19" max="21" width="6.85546875" customWidth="1"/>
  </cols>
  <sheetData>
    <row r="1" spans="1:21" x14ac:dyDescent="0.25">
      <c r="A1" s="1" t="s">
        <v>1108</v>
      </c>
      <c r="G1" t="s">
        <v>1025</v>
      </c>
      <c r="M1" t="s">
        <v>1026</v>
      </c>
    </row>
    <row r="2" spans="1:21" x14ac:dyDescent="0.25">
      <c r="S2" s="421" t="s">
        <v>1021</v>
      </c>
      <c r="T2" s="421" t="s">
        <v>1022</v>
      </c>
      <c r="U2" s="421" t="s">
        <v>1023</v>
      </c>
    </row>
    <row r="3" spans="1:21" x14ac:dyDescent="0.25">
      <c r="A3" s="421" t="s">
        <v>1017</v>
      </c>
      <c r="B3" s="422" t="s">
        <v>1015</v>
      </c>
      <c r="C3" s="422" t="s">
        <v>997</v>
      </c>
      <c r="D3" s="422" t="s">
        <v>996</v>
      </c>
      <c r="E3" s="422" t="s">
        <v>1016</v>
      </c>
      <c r="G3" s="421" t="s">
        <v>1017</v>
      </c>
      <c r="H3" s="422" t="s">
        <v>1015</v>
      </c>
      <c r="I3" s="422" t="s">
        <v>997</v>
      </c>
      <c r="J3" s="422" t="s">
        <v>996</v>
      </c>
      <c r="K3" s="422" t="s">
        <v>1016</v>
      </c>
      <c r="M3" s="421" t="s">
        <v>1017</v>
      </c>
      <c r="N3" s="422" t="e">
        <f t="array" aca="1" ref="N3:Q23" ca="1">ImputeReg(B3:E23,1,TRUE,S3:U3)</f>
        <v>#NAME?</v>
      </c>
      <c r="O3" s="422" t="e">
        <f ca="1"/>
        <v>#NAME?</v>
      </c>
      <c r="P3" s="422" t="e">
        <f ca="1"/>
        <v>#NAME?</v>
      </c>
      <c r="Q3" s="422" t="e">
        <f ca="1"/>
        <v>#NAME?</v>
      </c>
      <c r="S3" s="275">
        <v>10</v>
      </c>
      <c r="T3" s="263">
        <v>30</v>
      </c>
      <c r="U3" s="276" t="b">
        <v>1</v>
      </c>
    </row>
    <row r="4" spans="1:21" x14ac:dyDescent="0.25">
      <c r="A4" s="421">
        <v>1</v>
      </c>
      <c r="B4" s="423">
        <v>12</v>
      </c>
      <c r="C4" s="387">
        <v>27</v>
      </c>
      <c r="D4" s="387">
        <v>19</v>
      </c>
      <c r="E4" s="419">
        <v>44</v>
      </c>
      <c r="G4" s="421">
        <v>1</v>
      </c>
      <c r="H4" s="418" t="e">
        <f t="array" aca="1" ref="H4:K23" ca="1">ImputeReg(B4:E23,1,FALSE)</f>
        <v>#NAME?</v>
      </c>
      <c r="I4" s="387" t="e">
        <f ca="1"/>
        <v>#NAME?</v>
      </c>
      <c r="J4" s="387" t="e">
        <f ca="1"/>
        <v>#NAME?</v>
      </c>
      <c r="K4" s="419" t="e">
        <f ca="1"/>
        <v>#NAME?</v>
      </c>
      <c r="M4" s="421">
        <v>1</v>
      </c>
      <c r="N4" s="418" t="e">
        <f ca="1"/>
        <v>#NAME?</v>
      </c>
      <c r="O4" s="387" t="e">
        <f ca="1"/>
        <v>#NAME?</v>
      </c>
      <c r="P4" s="387" t="e">
        <f ca="1"/>
        <v>#NAME?</v>
      </c>
      <c r="Q4" s="419" t="e">
        <f ca="1"/>
        <v>#NAME?</v>
      </c>
    </row>
    <row r="5" spans="1:21" x14ac:dyDescent="0.25">
      <c r="A5" s="421">
        <v>2</v>
      </c>
      <c r="B5" s="256">
        <v>11</v>
      </c>
      <c r="C5" s="7">
        <v>43</v>
      </c>
      <c r="D5" s="7">
        <v>13</v>
      </c>
      <c r="E5" s="215">
        <v>43</v>
      </c>
      <c r="G5" s="421">
        <v>2</v>
      </c>
      <c r="H5" s="214" t="e">
        <f ca="1"/>
        <v>#NAME?</v>
      </c>
      <c r="I5" s="7" t="e">
        <f ca="1"/>
        <v>#NAME?</v>
      </c>
      <c r="J5" s="7" t="e">
        <f ca="1"/>
        <v>#NAME?</v>
      </c>
      <c r="K5" s="215" t="e">
        <f ca="1"/>
        <v>#NAME?</v>
      </c>
      <c r="M5" s="421">
        <v>2</v>
      </c>
      <c r="N5" s="214" t="e">
        <f ca="1"/>
        <v>#NAME?</v>
      </c>
      <c r="O5" s="7" t="e">
        <f ca="1"/>
        <v>#NAME?</v>
      </c>
      <c r="P5" s="7" t="e">
        <f ca="1"/>
        <v>#NAME?</v>
      </c>
      <c r="Q5" s="215" t="e">
        <f ca="1"/>
        <v>#NAME?</v>
      </c>
    </row>
    <row r="6" spans="1:21" x14ac:dyDescent="0.25">
      <c r="A6" s="421">
        <v>3</v>
      </c>
      <c r="B6" s="256" t="s">
        <v>4</v>
      </c>
      <c r="C6" s="7">
        <v>56</v>
      </c>
      <c r="D6" s="7">
        <v>23</v>
      </c>
      <c r="E6" s="215">
        <v>60</v>
      </c>
      <c r="G6" s="421">
        <v>3</v>
      </c>
      <c r="H6" s="214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M6" s="421">
        <v>3</v>
      </c>
      <c r="N6" s="214" t="e">
        <f ca="1"/>
        <v>#NAME?</v>
      </c>
      <c r="O6" s="7" t="e">
        <f ca="1"/>
        <v>#NAME?</v>
      </c>
      <c r="P6" s="7" t="e">
        <f ca="1"/>
        <v>#NAME?</v>
      </c>
      <c r="Q6" s="215" t="e">
        <f ca="1"/>
        <v>#NAME?</v>
      </c>
    </row>
    <row r="7" spans="1:21" x14ac:dyDescent="0.25">
      <c r="A7" s="421">
        <v>4</v>
      </c>
      <c r="B7" s="256">
        <v>15</v>
      </c>
      <c r="C7" s="7">
        <v>37</v>
      </c>
      <c r="D7" s="7">
        <v>19</v>
      </c>
      <c r="E7" s="215">
        <v>52</v>
      </c>
      <c r="G7" s="421">
        <v>4</v>
      </c>
      <c r="H7" s="214" t="e">
        <f ca="1"/>
        <v>#NAME?</v>
      </c>
      <c r="I7" s="7" t="e">
        <f ca="1"/>
        <v>#NAME?</v>
      </c>
      <c r="J7" s="7" t="e">
        <f ca="1"/>
        <v>#NAME?</v>
      </c>
      <c r="K7" s="215" t="e">
        <f ca="1"/>
        <v>#NAME?</v>
      </c>
      <c r="M7" s="421">
        <v>4</v>
      </c>
      <c r="N7" s="214" t="e">
        <f ca="1"/>
        <v>#NAME?</v>
      </c>
      <c r="O7" s="7" t="e">
        <f ca="1"/>
        <v>#NAME?</v>
      </c>
      <c r="P7" s="7" t="e">
        <f ca="1"/>
        <v>#NAME?</v>
      </c>
      <c r="Q7" s="215" t="e">
        <f ca="1"/>
        <v>#NAME?</v>
      </c>
    </row>
    <row r="8" spans="1:21" x14ac:dyDescent="0.25">
      <c r="A8" s="421">
        <v>5</v>
      </c>
      <c r="B8" s="256">
        <v>10</v>
      </c>
      <c r="C8" s="7">
        <v>31</v>
      </c>
      <c r="D8" s="7">
        <v>21</v>
      </c>
      <c r="E8" s="215">
        <v>56.055107634636713</v>
      </c>
      <c r="G8" s="421">
        <v>5</v>
      </c>
      <c r="H8" s="214" t="e">
        <f ca="1"/>
        <v>#NAME?</v>
      </c>
      <c r="I8" s="7" t="e">
        <f ca="1"/>
        <v>#NAME?</v>
      </c>
      <c r="J8" s="7" t="e">
        <f ca="1"/>
        <v>#NAME?</v>
      </c>
      <c r="K8" s="215" t="e">
        <f ca="1"/>
        <v>#NAME?</v>
      </c>
      <c r="M8" s="421">
        <v>5</v>
      </c>
      <c r="N8" s="214" t="e">
        <f ca="1"/>
        <v>#NAME?</v>
      </c>
      <c r="O8" s="7" t="e">
        <f ca="1"/>
        <v>#NAME?</v>
      </c>
      <c r="P8" s="7" t="e">
        <f ca="1"/>
        <v>#NAME?</v>
      </c>
      <c r="Q8" s="215" t="e">
        <f ca="1"/>
        <v>#NAME?</v>
      </c>
    </row>
    <row r="9" spans="1:21" x14ac:dyDescent="0.25">
      <c r="A9" s="421">
        <v>6</v>
      </c>
      <c r="B9" s="256">
        <v>18</v>
      </c>
      <c r="C9" s="7">
        <v>40</v>
      </c>
      <c r="D9" s="7">
        <v>22</v>
      </c>
      <c r="E9" s="215">
        <v>43</v>
      </c>
      <c r="G9" s="421">
        <v>6</v>
      </c>
      <c r="H9" s="214" t="e">
        <f ca="1"/>
        <v>#NAME?</v>
      </c>
      <c r="I9" s="7" t="e">
        <f ca="1"/>
        <v>#NAME?</v>
      </c>
      <c r="J9" s="7" t="e">
        <f ca="1"/>
        <v>#NAME?</v>
      </c>
      <c r="K9" s="215" t="e">
        <f ca="1"/>
        <v>#NAME?</v>
      </c>
      <c r="M9" s="421">
        <v>6</v>
      </c>
      <c r="N9" s="214" t="e">
        <f ca="1"/>
        <v>#NAME?</v>
      </c>
      <c r="O9" s="7" t="e">
        <f ca="1"/>
        <v>#NAME?</v>
      </c>
      <c r="P9" s="7" t="e">
        <f ca="1"/>
        <v>#NAME?</v>
      </c>
      <c r="Q9" s="215" t="e">
        <f ca="1"/>
        <v>#NAME?</v>
      </c>
    </row>
    <row r="10" spans="1:21" x14ac:dyDescent="0.25">
      <c r="A10" s="421">
        <v>7</v>
      </c>
      <c r="B10" s="256">
        <v>15</v>
      </c>
      <c r="C10" s="7">
        <v>50</v>
      </c>
      <c r="D10" s="7">
        <v>28</v>
      </c>
      <c r="E10" s="215">
        <v>56</v>
      </c>
      <c r="G10" s="421">
        <v>7</v>
      </c>
      <c r="H10" s="214" t="e">
        <f ca="1"/>
        <v>#NAME?</v>
      </c>
      <c r="I10" s="7" t="e">
        <f ca="1"/>
        <v>#NAME?</v>
      </c>
      <c r="J10" s="7" t="e">
        <f ca="1"/>
        <v>#NAME?</v>
      </c>
      <c r="K10" s="215" t="e">
        <f ca="1"/>
        <v>#NAME?</v>
      </c>
      <c r="M10" s="421">
        <v>7</v>
      </c>
      <c r="N10" s="214" t="e">
        <f ca="1"/>
        <v>#NAME?</v>
      </c>
      <c r="O10" s="7" t="e">
        <f ca="1"/>
        <v>#NAME?</v>
      </c>
      <c r="P10" s="7" t="e">
        <f ca="1"/>
        <v>#NAME?</v>
      </c>
      <c r="Q10" s="215" t="e">
        <f ca="1"/>
        <v>#NAME?</v>
      </c>
    </row>
    <row r="11" spans="1:21" x14ac:dyDescent="0.25">
      <c r="A11" s="421">
        <v>8</v>
      </c>
      <c r="B11" s="256">
        <v>21</v>
      </c>
      <c r="C11" s="7">
        <v>20</v>
      </c>
      <c r="D11" s="7">
        <v>23.992682255872598</v>
      </c>
      <c r="E11" s="215">
        <v>46</v>
      </c>
      <c r="G11" s="421">
        <v>8</v>
      </c>
      <c r="H11" s="214" t="e">
        <f ca="1"/>
        <v>#NAME?</v>
      </c>
      <c r="I11" s="7" t="e">
        <f ca="1"/>
        <v>#NAME?</v>
      </c>
      <c r="J11" s="7" t="e">
        <f ca="1"/>
        <v>#NAME?</v>
      </c>
      <c r="K11" s="215" t="e">
        <f ca="1"/>
        <v>#NAME?</v>
      </c>
      <c r="M11" s="421">
        <v>8</v>
      </c>
      <c r="N11" s="214" t="e">
        <f ca="1"/>
        <v>#NAME?</v>
      </c>
      <c r="O11" s="7" t="e">
        <f ca="1"/>
        <v>#NAME?</v>
      </c>
      <c r="P11" s="7" t="e">
        <f ca="1"/>
        <v>#NAME?</v>
      </c>
      <c r="Q11" s="215" t="e">
        <f ca="1"/>
        <v>#NAME?</v>
      </c>
    </row>
    <row r="12" spans="1:21" x14ac:dyDescent="0.25">
      <c r="A12" s="421">
        <v>9</v>
      </c>
      <c r="B12" s="256">
        <v>20</v>
      </c>
      <c r="C12" s="7">
        <v>39</v>
      </c>
      <c r="D12" s="7">
        <v>25</v>
      </c>
      <c r="E12" s="215">
        <v>51</v>
      </c>
      <c r="G12" s="421">
        <v>9</v>
      </c>
      <c r="H12" s="214" t="e">
        <f ca="1"/>
        <v>#NAME?</v>
      </c>
      <c r="I12" s="7" t="e">
        <f ca="1"/>
        <v>#NAME?</v>
      </c>
      <c r="J12" s="7" t="e">
        <f ca="1"/>
        <v>#NAME?</v>
      </c>
      <c r="K12" s="215" t="e">
        <f ca="1"/>
        <v>#NAME?</v>
      </c>
      <c r="M12" s="421">
        <v>9</v>
      </c>
      <c r="N12" s="214" t="e">
        <f ca="1"/>
        <v>#NAME?</v>
      </c>
      <c r="O12" s="7" t="e">
        <f ca="1"/>
        <v>#NAME?</v>
      </c>
      <c r="P12" s="7" t="e">
        <f ca="1"/>
        <v>#NAME?</v>
      </c>
      <c r="Q12" s="215" t="e">
        <f ca="1"/>
        <v>#NAME?</v>
      </c>
    </row>
    <row r="13" spans="1:21" x14ac:dyDescent="0.25">
      <c r="A13" s="421">
        <v>10</v>
      </c>
      <c r="B13" s="256" t="s">
        <v>4</v>
      </c>
      <c r="C13" s="7">
        <v>36</v>
      </c>
      <c r="D13" s="7">
        <v>23</v>
      </c>
      <c r="E13" s="215">
        <v>56</v>
      </c>
      <c r="G13" s="421">
        <v>10</v>
      </c>
      <c r="H13" s="214" t="e">
        <f ca="1"/>
        <v>#NAME?</v>
      </c>
      <c r="I13" s="7" t="e">
        <f ca="1"/>
        <v>#NAME?</v>
      </c>
      <c r="J13" s="7" t="e">
        <f ca="1"/>
        <v>#NAME?</v>
      </c>
      <c r="K13" s="215" t="e">
        <f ca="1"/>
        <v>#NAME?</v>
      </c>
      <c r="M13" s="421">
        <v>10</v>
      </c>
      <c r="N13" s="214" t="e">
        <f ca="1"/>
        <v>#NAME?</v>
      </c>
      <c r="O13" s="7" t="e">
        <f ca="1"/>
        <v>#NAME?</v>
      </c>
      <c r="P13" s="7" t="e">
        <f ca="1"/>
        <v>#NAME?</v>
      </c>
      <c r="Q13" s="215" t="e">
        <f ca="1"/>
        <v>#NAME?</v>
      </c>
    </row>
    <row r="14" spans="1:21" x14ac:dyDescent="0.25">
      <c r="A14" s="421">
        <v>11</v>
      </c>
      <c r="B14" s="256" t="s">
        <v>4</v>
      </c>
      <c r="C14" s="7">
        <v>27</v>
      </c>
      <c r="D14" s="7">
        <v>21</v>
      </c>
      <c r="E14" s="215">
        <v>39</v>
      </c>
      <c r="G14" s="421">
        <v>11</v>
      </c>
      <c r="H14" s="214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  <c r="M14" s="421">
        <v>11</v>
      </c>
      <c r="N14" s="214" t="e">
        <f ca="1"/>
        <v>#NAME?</v>
      </c>
      <c r="O14" s="7" t="e">
        <f ca="1"/>
        <v>#NAME?</v>
      </c>
      <c r="P14" s="7" t="e">
        <f ca="1"/>
        <v>#NAME?</v>
      </c>
      <c r="Q14" s="215" t="e">
        <f ca="1"/>
        <v>#NAME?</v>
      </c>
    </row>
    <row r="15" spans="1:21" x14ac:dyDescent="0.25">
      <c r="A15" s="421">
        <v>12</v>
      </c>
      <c r="B15" s="256">
        <v>14</v>
      </c>
      <c r="C15" s="7">
        <v>32</v>
      </c>
      <c r="D15" s="7">
        <v>20</v>
      </c>
      <c r="E15" s="215">
        <v>46</v>
      </c>
      <c r="G15" s="421">
        <v>12</v>
      </c>
      <c r="H15" s="214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  <c r="M15" s="421">
        <v>12</v>
      </c>
      <c r="N15" s="214" t="e">
        <f ca="1"/>
        <v>#NAME?</v>
      </c>
      <c r="O15" s="7" t="e">
        <f ca="1"/>
        <v>#NAME?</v>
      </c>
      <c r="P15" s="7" t="e">
        <f ca="1"/>
        <v>#NAME?</v>
      </c>
      <c r="Q15" s="215" t="e">
        <f ca="1"/>
        <v>#NAME?</v>
      </c>
    </row>
    <row r="16" spans="1:21" x14ac:dyDescent="0.25">
      <c r="A16" s="421">
        <v>13</v>
      </c>
      <c r="B16" s="256">
        <v>22</v>
      </c>
      <c r="C16" s="7">
        <v>40</v>
      </c>
      <c r="D16" s="435">
        <v>22.865934865971205</v>
      </c>
      <c r="E16" s="215">
        <v>49</v>
      </c>
      <c r="G16" s="421">
        <v>13</v>
      </c>
      <c r="H16" s="214" t="e">
        <f ca="1"/>
        <v>#NAME?</v>
      </c>
      <c r="I16" s="7" t="e">
        <f ca="1"/>
        <v>#NAME?</v>
      </c>
      <c r="J16" s="7" t="e">
        <f ca="1"/>
        <v>#NAME?</v>
      </c>
      <c r="K16" s="215" t="e">
        <f ca="1"/>
        <v>#NAME?</v>
      </c>
      <c r="M16" s="421">
        <v>13</v>
      </c>
      <c r="N16" s="214" t="e">
        <f ca="1"/>
        <v>#NAME?</v>
      </c>
      <c r="O16" s="7" t="e">
        <f ca="1"/>
        <v>#NAME?</v>
      </c>
      <c r="P16" s="7" t="e">
        <f ca="1"/>
        <v>#NAME?</v>
      </c>
      <c r="Q16" s="215" t="e">
        <f ca="1"/>
        <v>#NAME?</v>
      </c>
    </row>
    <row r="17" spans="1:17" x14ac:dyDescent="0.25">
      <c r="A17" s="421">
        <v>14</v>
      </c>
      <c r="B17" s="256" t="s">
        <v>4</v>
      </c>
      <c r="C17" s="7">
        <v>31</v>
      </c>
      <c r="D17" s="7">
        <v>15.521307782236867</v>
      </c>
      <c r="E17" s="215">
        <v>44</v>
      </c>
      <c r="G17" s="421">
        <v>14</v>
      </c>
      <c r="H17" s="214" t="e">
        <f ca="1"/>
        <v>#NAME?</v>
      </c>
      <c r="I17" s="7" t="e">
        <f ca="1"/>
        <v>#NAME?</v>
      </c>
      <c r="J17" s="7" t="e">
        <f ca="1"/>
        <v>#NAME?</v>
      </c>
      <c r="K17" s="215" t="e">
        <f ca="1"/>
        <v>#NAME?</v>
      </c>
      <c r="M17" s="421">
        <v>14</v>
      </c>
      <c r="N17" s="214" t="e">
        <f ca="1"/>
        <v>#NAME?</v>
      </c>
      <c r="O17" s="7" t="e">
        <f ca="1"/>
        <v>#NAME?</v>
      </c>
      <c r="P17" s="7" t="e">
        <f ca="1"/>
        <v>#NAME?</v>
      </c>
      <c r="Q17" s="215" t="e">
        <f ca="1"/>
        <v>#NAME?</v>
      </c>
    </row>
    <row r="18" spans="1:17" x14ac:dyDescent="0.25">
      <c r="A18" s="421">
        <v>15</v>
      </c>
      <c r="B18" s="256" t="s">
        <v>4</v>
      </c>
      <c r="C18" s="7">
        <v>18</v>
      </c>
      <c r="D18" s="7">
        <v>21</v>
      </c>
      <c r="E18" s="215">
        <v>53.887695806493305</v>
      </c>
      <c r="G18" s="421">
        <v>15</v>
      </c>
      <c r="H18" s="214" t="e">
        <f ca="1"/>
        <v>#NAME?</v>
      </c>
      <c r="I18" s="7" t="e">
        <f ca="1"/>
        <v>#NAME?</v>
      </c>
      <c r="J18" s="7" t="e">
        <f ca="1"/>
        <v>#NAME?</v>
      </c>
      <c r="K18" s="215" t="e">
        <f ca="1"/>
        <v>#NAME?</v>
      </c>
      <c r="M18" s="421">
        <v>15</v>
      </c>
      <c r="N18" s="214" t="e">
        <f ca="1"/>
        <v>#NAME?</v>
      </c>
      <c r="O18" s="7" t="e">
        <f ca="1"/>
        <v>#NAME?</v>
      </c>
      <c r="P18" s="7" t="e">
        <f ca="1"/>
        <v>#NAME?</v>
      </c>
      <c r="Q18" s="215" t="e">
        <f ca="1"/>
        <v>#NAME?</v>
      </c>
    </row>
    <row r="19" spans="1:17" x14ac:dyDescent="0.25">
      <c r="A19" s="421">
        <v>16</v>
      </c>
      <c r="B19" s="256">
        <v>16</v>
      </c>
      <c r="C19" s="7">
        <v>23</v>
      </c>
      <c r="D19" s="7">
        <v>21</v>
      </c>
      <c r="E19" s="215">
        <v>34</v>
      </c>
      <c r="G19" s="421">
        <v>16</v>
      </c>
      <c r="H19" s="214" t="e">
        <f ca="1"/>
        <v>#NAME?</v>
      </c>
      <c r="I19" s="7" t="e">
        <f ca="1"/>
        <v>#NAME?</v>
      </c>
      <c r="J19" s="7" t="e">
        <f ca="1"/>
        <v>#NAME?</v>
      </c>
      <c r="K19" s="215" t="e">
        <f ca="1"/>
        <v>#NAME?</v>
      </c>
      <c r="M19" s="421">
        <v>16</v>
      </c>
      <c r="N19" s="214" t="e">
        <f ca="1"/>
        <v>#NAME?</v>
      </c>
      <c r="O19" s="7" t="e">
        <f ca="1"/>
        <v>#NAME?</v>
      </c>
      <c r="P19" s="7" t="e">
        <f ca="1"/>
        <v>#NAME?</v>
      </c>
      <c r="Q19" s="215" t="e">
        <f ca="1"/>
        <v>#NAME?</v>
      </c>
    </row>
    <row r="20" spans="1:17" x14ac:dyDescent="0.25">
      <c r="A20" s="421">
        <v>17</v>
      </c>
      <c r="B20" s="256">
        <v>27</v>
      </c>
      <c r="C20" s="7">
        <v>26</v>
      </c>
      <c r="D20" s="7">
        <v>23</v>
      </c>
      <c r="E20" s="215">
        <v>59</v>
      </c>
      <c r="G20" s="421">
        <v>17</v>
      </c>
      <c r="H20" s="214" t="e">
        <f ca="1"/>
        <v>#NAME?</v>
      </c>
      <c r="I20" s="7" t="e">
        <f ca="1"/>
        <v>#NAME?</v>
      </c>
      <c r="J20" s="7" t="e">
        <f ca="1"/>
        <v>#NAME?</v>
      </c>
      <c r="K20" s="215" t="e">
        <f ca="1"/>
        <v>#NAME?</v>
      </c>
      <c r="M20" s="421">
        <v>17</v>
      </c>
      <c r="N20" s="214" t="e">
        <f ca="1"/>
        <v>#NAME?</v>
      </c>
      <c r="O20" s="7" t="e">
        <f ca="1"/>
        <v>#NAME?</v>
      </c>
      <c r="P20" s="7" t="e">
        <f ca="1"/>
        <v>#NAME?</v>
      </c>
      <c r="Q20" s="215" t="e">
        <f ca="1"/>
        <v>#NAME?</v>
      </c>
    </row>
    <row r="21" spans="1:17" x14ac:dyDescent="0.25">
      <c r="A21" s="421">
        <v>18</v>
      </c>
      <c r="B21" s="256">
        <v>17</v>
      </c>
      <c r="C21" s="7">
        <v>42</v>
      </c>
      <c r="D21" s="7">
        <v>20.351106833854086</v>
      </c>
      <c r="E21" s="215">
        <v>35</v>
      </c>
      <c r="G21" s="421">
        <v>18</v>
      </c>
      <c r="H21" s="214" t="e">
        <f ca="1"/>
        <v>#NAME?</v>
      </c>
      <c r="I21" s="7" t="e">
        <f ca="1"/>
        <v>#NAME?</v>
      </c>
      <c r="J21" s="7" t="e">
        <f ca="1"/>
        <v>#NAME?</v>
      </c>
      <c r="K21" s="215" t="e">
        <f ca="1"/>
        <v>#NAME?</v>
      </c>
      <c r="M21" s="421">
        <v>18</v>
      </c>
      <c r="N21" s="214" t="e">
        <f ca="1"/>
        <v>#NAME?</v>
      </c>
      <c r="O21" s="7" t="e">
        <f ca="1"/>
        <v>#NAME?</v>
      </c>
      <c r="P21" s="7" t="e">
        <f ca="1"/>
        <v>#NAME?</v>
      </c>
      <c r="Q21" s="215" t="e">
        <f ca="1"/>
        <v>#NAME?</v>
      </c>
    </row>
    <row r="22" spans="1:17" x14ac:dyDescent="0.25">
      <c r="A22" s="421">
        <v>19</v>
      </c>
      <c r="B22" s="256">
        <v>13</v>
      </c>
      <c r="C22" s="7">
        <v>21</v>
      </c>
      <c r="D22" s="7">
        <v>20</v>
      </c>
      <c r="E22" s="215">
        <v>48</v>
      </c>
      <c r="G22" s="421">
        <v>19</v>
      </c>
      <c r="H22" s="214" t="e">
        <f ca="1"/>
        <v>#NAME?</v>
      </c>
      <c r="I22" s="7" t="e">
        <f ca="1"/>
        <v>#NAME?</v>
      </c>
      <c r="J22" s="7" t="e">
        <f ca="1"/>
        <v>#NAME?</v>
      </c>
      <c r="K22" s="215" t="e">
        <f ca="1"/>
        <v>#NAME?</v>
      </c>
      <c r="M22" s="421">
        <v>19</v>
      </c>
      <c r="N22" s="214" t="e">
        <f ca="1"/>
        <v>#NAME?</v>
      </c>
      <c r="O22" s="7" t="e">
        <f ca="1"/>
        <v>#NAME?</v>
      </c>
      <c r="P22" s="7" t="e">
        <f ca="1"/>
        <v>#NAME?</v>
      </c>
      <c r="Q22" s="215" t="e">
        <f ca="1"/>
        <v>#NAME?</v>
      </c>
    </row>
    <row r="23" spans="1:17" x14ac:dyDescent="0.25">
      <c r="A23" s="421">
        <v>20</v>
      </c>
      <c r="B23" s="425">
        <v>11</v>
      </c>
      <c r="C23" s="354">
        <v>51</v>
      </c>
      <c r="D23" s="354">
        <v>18</v>
      </c>
      <c r="E23" s="120">
        <v>54</v>
      </c>
      <c r="G23" s="421">
        <v>20</v>
      </c>
      <c r="H23" s="112" t="e">
        <f ca="1"/>
        <v>#NAME?</v>
      </c>
      <c r="I23" s="354" t="e">
        <f ca="1"/>
        <v>#NAME?</v>
      </c>
      <c r="J23" s="354" t="e">
        <f ca="1"/>
        <v>#NAME?</v>
      </c>
      <c r="K23" s="120" t="e">
        <f ca="1"/>
        <v>#NAME?</v>
      </c>
      <c r="M23" s="421">
        <v>20</v>
      </c>
      <c r="N23" s="112" t="e">
        <f ca="1"/>
        <v>#NAME?</v>
      </c>
      <c r="O23" s="354" t="e">
        <f ca="1"/>
        <v>#NAME?</v>
      </c>
      <c r="P23" s="354" t="e">
        <f ca="1"/>
        <v>#NAME?</v>
      </c>
      <c r="Q23" s="120" t="e">
        <f ca="1"/>
        <v>#NAME?</v>
      </c>
    </row>
    <row r="24" spans="1:17" x14ac:dyDescent="0.25">
      <c r="A24" s="421" t="s">
        <v>6</v>
      </c>
      <c r="B24">
        <f>AVERAGE(B4:B23)</f>
        <v>16.133333333333333</v>
      </c>
      <c r="C24">
        <f>AVERAGE(C4:C23)</f>
        <v>34.5</v>
      </c>
      <c r="D24">
        <f>AVERAGE(D4:D23)</f>
        <v>20.986551586896741</v>
      </c>
      <c r="E24">
        <f>AVERAGE(E4:E23)</f>
        <v>48.4471401720565</v>
      </c>
      <c r="G24" s="421" t="s">
        <v>6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s="421" t="s">
        <v>6</v>
      </c>
      <c r="N24" t="e">
        <f ca="1">AVERAGE(N4:N23)</f>
        <v>#NAME?</v>
      </c>
      <c r="O24" t="e">
        <f ca="1">AVERAGE(O4:O23)</f>
        <v>#NAME?</v>
      </c>
      <c r="P24" t="e">
        <f ca="1">AVERAGE(P4:P23)</f>
        <v>#NAME?</v>
      </c>
      <c r="Q24" t="e">
        <f ca="1">AVERAGE(Q4:Q23)</f>
        <v>#NAME?</v>
      </c>
    </row>
    <row r="25" spans="1:17" x14ac:dyDescent="0.25">
      <c r="A25" s="421" t="s">
        <v>8</v>
      </c>
      <c r="B25">
        <f>STDEV(B4:B23)</f>
        <v>4.7789219744724045</v>
      </c>
      <c r="C25">
        <f>STDEV(C4:C23)</f>
        <v>10.772772696894117</v>
      </c>
      <c r="D25">
        <f>STDEV(D4:D23)</f>
        <v>3.2756789056895297</v>
      </c>
      <c r="E25">
        <f>STDEV(E4:E23)</f>
        <v>7.5622018314288626</v>
      </c>
      <c r="G25" s="421" t="s">
        <v>8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s="421" t="s">
        <v>8</v>
      </c>
      <c r="N25" t="e">
        <f ca="1">STDEV(N4:N23)</f>
        <v>#NAME?</v>
      </c>
      <c r="O25" t="e">
        <f ca="1">STDEV(O4:O23)</f>
        <v>#NAME?</v>
      </c>
      <c r="P25" t="e">
        <f ca="1">STDEV(P4:P23)</f>
        <v>#NAME?</v>
      </c>
      <c r="Q25" t="e">
        <f ca="1">STDEV(Q4:Q23)</f>
        <v>#NAME?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V25"/>
  <sheetViews>
    <sheetView workbookViewId="0"/>
  </sheetViews>
  <sheetFormatPr defaultRowHeight="15" x14ac:dyDescent="0.25"/>
  <sheetData>
    <row r="1" spans="1:22" x14ac:dyDescent="0.25">
      <c r="A1" s="1" t="s">
        <v>1029</v>
      </c>
      <c r="G1" t="s">
        <v>1027</v>
      </c>
      <c r="M1" t="s">
        <v>1028</v>
      </c>
    </row>
    <row r="2" spans="1:22" x14ac:dyDescent="0.25">
      <c r="T2" t="s">
        <v>1021</v>
      </c>
      <c r="U2" t="s">
        <v>1022</v>
      </c>
      <c r="V2" t="s">
        <v>1023</v>
      </c>
    </row>
    <row r="3" spans="1:22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s="421" t="s">
        <v>1017</v>
      </c>
      <c r="H3" s="421" t="s">
        <v>1015</v>
      </c>
      <c r="I3" s="421" t="s">
        <v>997</v>
      </c>
      <c r="J3" s="421" t="s">
        <v>996</v>
      </c>
      <c r="K3" s="421" t="s">
        <v>1016</v>
      </c>
      <c r="M3" s="421" t="s">
        <v>1017</v>
      </c>
      <c r="N3" s="421" t="e">
        <f t="array" aca="1" ref="N3:Q23" ca="1">ImputeFCS(B3:E23,TRUE,,S3:V4)</f>
        <v>#NAME?</v>
      </c>
      <c r="O3" s="421" t="e">
        <f ca="1"/>
        <v>#NAME?</v>
      </c>
      <c r="P3" s="421" t="e">
        <f ca="1"/>
        <v>#NAME?</v>
      </c>
      <c r="Q3" s="421" t="e">
        <f ca="1"/>
        <v>#NAME?</v>
      </c>
      <c r="S3" t="s">
        <v>997</v>
      </c>
      <c r="T3" s="418">
        <v>20</v>
      </c>
      <c r="U3" s="387">
        <v>50.4</v>
      </c>
      <c r="V3" s="419" t="b">
        <v>1</v>
      </c>
    </row>
    <row r="4" spans="1:22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s="421">
        <v>1</v>
      </c>
      <c r="H4" s="418" t="e">
        <f t="array" aca="1" ref="H4:K23" ca="1">ImputeFCS(B4:E23,FALSE)</f>
        <v>#NAME?</v>
      </c>
      <c r="I4" s="387" t="e">
        <f ca="1"/>
        <v>#NAME?</v>
      </c>
      <c r="J4" s="387" t="e">
        <f ca="1"/>
        <v>#NAME?</v>
      </c>
      <c r="K4" s="419" t="e">
        <f ca="1"/>
        <v>#NAME?</v>
      </c>
      <c r="M4" s="421">
        <v>1</v>
      </c>
      <c r="N4" s="418" t="e">
        <f ca="1"/>
        <v>#NAME?</v>
      </c>
      <c r="O4" s="387" t="e">
        <f ca="1"/>
        <v>#NAME?</v>
      </c>
      <c r="P4" s="387" t="e">
        <f ca="1"/>
        <v>#NAME?</v>
      </c>
      <c r="Q4" s="419" t="e">
        <f ca="1"/>
        <v>#NAME?</v>
      </c>
      <c r="S4" t="s">
        <v>996</v>
      </c>
      <c r="T4" s="112"/>
      <c r="U4" s="354">
        <v>28.5</v>
      </c>
      <c r="V4" s="120"/>
    </row>
    <row r="5" spans="1:22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s="421">
        <f>G4+1</f>
        <v>2</v>
      </c>
      <c r="H5" s="214" t="e">
        <f ca="1"/>
        <v>#NAME?</v>
      </c>
      <c r="I5" s="7" t="e">
        <f ca="1"/>
        <v>#NAME?</v>
      </c>
      <c r="J5" s="7" t="e">
        <f ca="1"/>
        <v>#NAME?</v>
      </c>
      <c r="K5" s="215" t="e">
        <f ca="1"/>
        <v>#NAME?</v>
      </c>
      <c r="M5" s="421">
        <f>M4+1</f>
        <v>2</v>
      </c>
      <c r="N5" s="214" t="e">
        <f ca="1"/>
        <v>#NAME?</v>
      </c>
      <c r="O5" s="7" t="e">
        <f ca="1"/>
        <v>#NAME?</v>
      </c>
      <c r="P5" s="7" t="e">
        <f ca="1"/>
        <v>#NAME?</v>
      </c>
      <c r="Q5" s="215" t="e">
        <f ca="1"/>
        <v>#NAME?</v>
      </c>
    </row>
    <row r="6" spans="1:22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s="421">
        <f t="shared" ref="G6:G23" si="1">G5+1</f>
        <v>3</v>
      </c>
      <c r="H6" s="214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M6" s="421">
        <f t="shared" ref="M6:M23" si="2">M5+1</f>
        <v>3</v>
      </c>
      <c r="N6" s="214" t="e">
        <f ca="1"/>
        <v>#NAME?</v>
      </c>
      <c r="O6" s="7" t="e">
        <f ca="1"/>
        <v>#NAME?</v>
      </c>
      <c r="P6" s="7" t="e">
        <f ca="1"/>
        <v>#NAME?</v>
      </c>
      <c r="Q6" s="215" t="e">
        <f ca="1"/>
        <v>#NAME?</v>
      </c>
    </row>
    <row r="7" spans="1:22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s="421">
        <f t="shared" si="1"/>
        <v>4</v>
      </c>
      <c r="H7" s="214" t="e">
        <f ca="1"/>
        <v>#NAME?</v>
      </c>
      <c r="I7" s="7" t="e">
        <f ca="1"/>
        <v>#NAME?</v>
      </c>
      <c r="J7" s="7" t="e">
        <f ca="1"/>
        <v>#NAME?</v>
      </c>
      <c r="K7" s="215" t="e">
        <f ca="1"/>
        <v>#NAME?</v>
      </c>
      <c r="M7" s="421">
        <f t="shared" si="2"/>
        <v>4</v>
      </c>
      <c r="N7" s="214" t="e">
        <f ca="1"/>
        <v>#NAME?</v>
      </c>
      <c r="O7" s="7" t="e">
        <f ca="1"/>
        <v>#NAME?</v>
      </c>
      <c r="P7" s="7" t="e">
        <f ca="1"/>
        <v>#NAME?</v>
      </c>
      <c r="Q7" s="215" t="e">
        <f ca="1"/>
        <v>#NAME?</v>
      </c>
    </row>
    <row r="8" spans="1:22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G8" s="421">
        <f t="shared" si="1"/>
        <v>5</v>
      </c>
      <c r="H8" s="214" t="e">
        <f ca="1"/>
        <v>#NAME?</v>
      </c>
      <c r="I8" s="7" t="e">
        <f ca="1"/>
        <v>#NAME?</v>
      </c>
      <c r="J8" s="7" t="e">
        <f ca="1"/>
        <v>#NAME?</v>
      </c>
      <c r="K8" s="215" t="e">
        <f ca="1"/>
        <v>#NAME?</v>
      </c>
      <c r="M8" s="421">
        <f t="shared" si="2"/>
        <v>5</v>
      </c>
      <c r="N8" s="214" t="e">
        <f ca="1"/>
        <v>#NAME?</v>
      </c>
      <c r="O8" s="7" t="e">
        <f ca="1"/>
        <v>#NAME?</v>
      </c>
      <c r="P8" s="7" t="e">
        <f ca="1"/>
        <v>#NAME?</v>
      </c>
      <c r="Q8" s="215" t="e">
        <f ca="1"/>
        <v>#NAME?</v>
      </c>
    </row>
    <row r="9" spans="1:22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  <c r="G9" s="421">
        <f t="shared" si="1"/>
        <v>6</v>
      </c>
      <c r="H9" s="214" t="e">
        <f ca="1"/>
        <v>#NAME?</v>
      </c>
      <c r="I9" s="7" t="e">
        <f ca="1"/>
        <v>#NAME?</v>
      </c>
      <c r="J9" s="7" t="e">
        <f ca="1"/>
        <v>#NAME?</v>
      </c>
      <c r="K9" s="215" t="e">
        <f ca="1"/>
        <v>#NAME?</v>
      </c>
      <c r="M9" s="421">
        <f t="shared" si="2"/>
        <v>6</v>
      </c>
      <c r="N9" s="214" t="e">
        <f ca="1"/>
        <v>#NAME?</v>
      </c>
      <c r="O9" s="7" t="e">
        <f ca="1"/>
        <v>#NAME?</v>
      </c>
      <c r="P9" s="7" t="e">
        <f ca="1"/>
        <v>#NAME?</v>
      </c>
      <c r="Q9" s="215" t="e">
        <f ca="1"/>
        <v>#NAME?</v>
      </c>
    </row>
    <row r="10" spans="1:22" x14ac:dyDescent="0.25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G10" s="421">
        <f t="shared" si="1"/>
        <v>7</v>
      </c>
      <c r="H10" s="214" t="e">
        <f ca="1"/>
        <v>#NAME?</v>
      </c>
      <c r="I10" s="7" t="e">
        <f ca="1"/>
        <v>#NAME?</v>
      </c>
      <c r="J10" s="7" t="e">
        <f ca="1"/>
        <v>#NAME?</v>
      </c>
      <c r="K10" s="215" t="e">
        <f ca="1"/>
        <v>#NAME?</v>
      </c>
      <c r="M10" s="421">
        <f t="shared" si="2"/>
        <v>7</v>
      </c>
      <c r="N10" s="214" t="e">
        <f ca="1"/>
        <v>#NAME?</v>
      </c>
      <c r="O10" s="7" t="e">
        <f ca="1"/>
        <v>#NAME?</v>
      </c>
      <c r="P10" s="7" t="e">
        <f ca="1"/>
        <v>#NAME?</v>
      </c>
      <c r="Q10" s="215" t="e">
        <f ca="1"/>
        <v>#NAME?</v>
      </c>
    </row>
    <row r="11" spans="1:22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  <c r="G11" s="421">
        <f t="shared" si="1"/>
        <v>8</v>
      </c>
      <c r="H11" s="214" t="e">
        <f ca="1"/>
        <v>#NAME?</v>
      </c>
      <c r="I11" s="7" t="e">
        <f ca="1"/>
        <v>#NAME?</v>
      </c>
      <c r="J11" s="7" t="e">
        <f ca="1"/>
        <v>#NAME?</v>
      </c>
      <c r="K11" s="215" t="e">
        <f ca="1"/>
        <v>#NAME?</v>
      </c>
      <c r="M11" s="421">
        <f t="shared" si="2"/>
        <v>8</v>
      </c>
      <c r="N11" s="214" t="e">
        <f ca="1"/>
        <v>#NAME?</v>
      </c>
      <c r="O11" s="7" t="e">
        <f ca="1"/>
        <v>#NAME?</v>
      </c>
      <c r="P11" s="7" t="e">
        <f ca="1"/>
        <v>#NAME?</v>
      </c>
      <c r="Q11" s="215" t="e">
        <f ca="1"/>
        <v>#NAME?</v>
      </c>
    </row>
    <row r="12" spans="1:22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G12" s="421">
        <f t="shared" si="1"/>
        <v>9</v>
      </c>
      <c r="H12" s="214" t="e">
        <f ca="1"/>
        <v>#NAME?</v>
      </c>
      <c r="I12" s="7" t="e">
        <f ca="1"/>
        <v>#NAME?</v>
      </c>
      <c r="J12" s="7" t="e">
        <f ca="1"/>
        <v>#NAME?</v>
      </c>
      <c r="K12" s="215" t="e">
        <f ca="1"/>
        <v>#NAME?</v>
      </c>
      <c r="M12" s="421">
        <f t="shared" si="2"/>
        <v>9</v>
      </c>
      <c r="N12" s="214" t="e">
        <f ca="1"/>
        <v>#NAME?</v>
      </c>
      <c r="O12" s="7" t="e">
        <f ca="1"/>
        <v>#NAME?</v>
      </c>
      <c r="P12" s="7" t="e">
        <f ca="1"/>
        <v>#NAME?</v>
      </c>
      <c r="Q12" s="215" t="e">
        <f ca="1"/>
        <v>#NAME?</v>
      </c>
    </row>
    <row r="13" spans="1:22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s="421">
        <f t="shared" si="1"/>
        <v>10</v>
      </c>
      <c r="H13" s="214" t="e">
        <f ca="1"/>
        <v>#NAME?</v>
      </c>
      <c r="I13" s="7" t="e">
        <f ca="1"/>
        <v>#NAME?</v>
      </c>
      <c r="J13" s="7" t="e">
        <f ca="1"/>
        <v>#NAME?</v>
      </c>
      <c r="K13" s="215" t="e">
        <f ca="1"/>
        <v>#NAME?</v>
      </c>
      <c r="M13" s="421">
        <f t="shared" si="2"/>
        <v>10</v>
      </c>
      <c r="N13" s="214" t="e">
        <f ca="1"/>
        <v>#NAME?</v>
      </c>
      <c r="O13" s="7" t="e">
        <f ca="1"/>
        <v>#NAME?</v>
      </c>
      <c r="P13" s="7" t="e">
        <f ca="1"/>
        <v>#NAME?</v>
      </c>
      <c r="Q13" s="215" t="e">
        <f ca="1"/>
        <v>#NAME?</v>
      </c>
    </row>
    <row r="14" spans="1:22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s="421">
        <f t="shared" si="1"/>
        <v>11</v>
      </c>
      <c r="H14" s="214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  <c r="M14" s="421">
        <f t="shared" si="2"/>
        <v>11</v>
      </c>
      <c r="N14" s="214" t="e">
        <f ca="1"/>
        <v>#NAME?</v>
      </c>
      <c r="O14" s="7" t="e">
        <f ca="1"/>
        <v>#NAME?</v>
      </c>
      <c r="P14" s="7" t="e">
        <f ca="1"/>
        <v>#NAME?</v>
      </c>
      <c r="Q14" s="215" t="e">
        <f ca="1"/>
        <v>#NAME?</v>
      </c>
    </row>
    <row r="15" spans="1:22" x14ac:dyDescent="0.25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G15" s="421">
        <f t="shared" si="1"/>
        <v>12</v>
      </c>
      <c r="H15" s="214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  <c r="M15" s="421">
        <f t="shared" si="2"/>
        <v>12</v>
      </c>
      <c r="N15" s="214" t="e">
        <f ca="1"/>
        <v>#NAME?</v>
      </c>
      <c r="O15" s="7" t="e">
        <f ca="1"/>
        <v>#NAME?</v>
      </c>
      <c r="P15" s="7" t="e">
        <f ca="1"/>
        <v>#NAME?</v>
      </c>
      <c r="Q15" s="215" t="e">
        <f ca="1"/>
        <v>#NAME?</v>
      </c>
    </row>
    <row r="16" spans="1:22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s="421">
        <f t="shared" si="1"/>
        <v>13</v>
      </c>
      <c r="H16" s="214" t="e">
        <f ca="1"/>
        <v>#NAME?</v>
      </c>
      <c r="I16" s="7" t="e">
        <f ca="1"/>
        <v>#NAME?</v>
      </c>
      <c r="J16" s="7" t="e">
        <f ca="1"/>
        <v>#NAME?</v>
      </c>
      <c r="K16" s="215" t="e">
        <f ca="1"/>
        <v>#NAME?</v>
      </c>
      <c r="M16" s="421">
        <f t="shared" si="2"/>
        <v>13</v>
      </c>
      <c r="N16" s="214" t="e">
        <f ca="1"/>
        <v>#NAME?</v>
      </c>
      <c r="O16" s="7" t="e">
        <f ca="1"/>
        <v>#NAME?</v>
      </c>
      <c r="P16" s="7" t="e">
        <f ca="1"/>
        <v>#NAME?</v>
      </c>
      <c r="Q16" s="215" t="e">
        <f ca="1"/>
        <v>#NAME?</v>
      </c>
    </row>
    <row r="17" spans="1:17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  <c r="G17" s="421">
        <f t="shared" si="1"/>
        <v>14</v>
      </c>
      <c r="H17" s="214" t="e">
        <f ca="1"/>
        <v>#NAME?</v>
      </c>
      <c r="I17" s="7" t="e">
        <f ca="1"/>
        <v>#NAME?</v>
      </c>
      <c r="J17" s="7" t="e">
        <f ca="1"/>
        <v>#NAME?</v>
      </c>
      <c r="K17" s="215" t="e">
        <f ca="1"/>
        <v>#NAME?</v>
      </c>
      <c r="M17" s="421">
        <f t="shared" si="2"/>
        <v>14</v>
      </c>
      <c r="N17" s="214" t="e">
        <f ca="1"/>
        <v>#NAME?</v>
      </c>
      <c r="O17" s="7" t="e">
        <f ca="1"/>
        <v>#NAME?</v>
      </c>
      <c r="P17" s="7" t="e">
        <f ca="1"/>
        <v>#NAME?</v>
      </c>
      <c r="Q17" s="215" t="e">
        <f ca="1"/>
        <v>#NAME?</v>
      </c>
    </row>
    <row r="18" spans="1:17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421">
        <f t="shared" si="1"/>
        <v>15</v>
      </c>
      <c r="H18" s="214" t="e">
        <f ca="1"/>
        <v>#NAME?</v>
      </c>
      <c r="I18" s="7" t="e">
        <f ca="1"/>
        <v>#NAME?</v>
      </c>
      <c r="J18" s="7" t="e">
        <f ca="1"/>
        <v>#NAME?</v>
      </c>
      <c r="K18" s="215" t="e">
        <f ca="1"/>
        <v>#NAME?</v>
      </c>
      <c r="M18" s="421">
        <f t="shared" si="2"/>
        <v>15</v>
      </c>
      <c r="N18" s="214" t="e">
        <f ca="1"/>
        <v>#NAME?</v>
      </c>
      <c r="O18" s="7" t="e">
        <f ca="1"/>
        <v>#NAME?</v>
      </c>
      <c r="P18" s="7" t="e">
        <f ca="1"/>
        <v>#NAME?</v>
      </c>
      <c r="Q18" s="215" t="e">
        <f ca="1"/>
        <v>#NAME?</v>
      </c>
    </row>
    <row r="19" spans="1:17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G19" s="421">
        <f t="shared" si="1"/>
        <v>16</v>
      </c>
      <c r="H19" s="214" t="e">
        <f ca="1"/>
        <v>#NAME?</v>
      </c>
      <c r="I19" s="7" t="e">
        <f ca="1"/>
        <v>#NAME?</v>
      </c>
      <c r="J19" s="7" t="e">
        <f ca="1"/>
        <v>#NAME?</v>
      </c>
      <c r="K19" s="215" t="e">
        <f ca="1"/>
        <v>#NAME?</v>
      </c>
      <c r="M19" s="421">
        <f t="shared" si="2"/>
        <v>16</v>
      </c>
      <c r="N19" s="214" t="e">
        <f ca="1"/>
        <v>#NAME?</v>
      </c>
      <c r="O19" s="7" t="e">
        <f ca="1"/>
        <v>#NAME?</v>
      </c>
      <c r="P19" s="7" t="e">
        <f ca="1"/>
        <v>#NAME?</v>
      </c>
      <c r="Q19" s="215" t="e">
        <f ca="1"/>
        <v>#NAME?</v>
      </c>
    </row>
    <row r="20" spans="1:17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G20" s="421">
        <f t="shared" si="1"/>
        <v>17</v>
      </c>
      <c r="H20" s="214" t="e">
        <f ca="1"/>
        <v>#NAME?</v>
      </c>
      <c r="I20" s="7" t="e">
        <f ca="1"/>
        <v>#NAME?</v>
      </c>
      <c r="J20" s="7" t="e">
        <f ca="1"/>
        <v>#NAME?</v>
      </c>
      <c r="K20" s="215" t="e">
        <f ca="1"/>
        <v>#NAME?</v>
      </c>
      <c r="M20" s="421">
        <f t="shared" si="2"/>
        <v>17</v>
      </c>
      <c r="N20" s="214" t="e">
        <f ca="1"/>
        <v>#NAME?</v>
      </c>
      <c r="O20" s="7" t="e">
        <f ca="1"/>
        <v>#NAME?</v>
      </c>
      <c r="P20" s="7" t="e">
        <f ca="1"/>
        <v>#NAME?</v>
      </c>
      <c r="Q20" s="215" t="e">
        <f ca="1"/>
        <v>#NAME?</v>
      </c>
    </row>
    <row r="21" spans="1:17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421">
        <f t="shared" si="1"/>
        <v>18</v>
      </c>
      <c r="H21" s="214" t="e">
        <f ca="1"/>
        <v>#NAME?</v>
      </c>
      <c r="I21" s="7" t="e">
        <f ca="1"/>
        <v>#NAME?</v>
      </c>
      <c r="J21" s="7" t="e">
        <f ca="1"/>
        <v>#NAME?</v>
      </c>
      <c r="K21" s="215" t="e">
        <f ca="1"/>
        <v>#NAME?</v>
      </c>
      <c r="M21" s="421">
        <f t="shared" si="2"/>
        <v>18</v>
      </c>
      <c r="N21" s="214" t="e">
        <f ca="1"/>
        <v>#NAME?</v>
      </c>
      <c r="O21" s="7" t="e">
        <f ca="1"/>
        <v>#NAME?</v>
      </c>
      <c r="P21" s="7" t="e">
        <f ca="1"/>
        <v>#NAME?</v>
      </c>
      <c r="Q21" s="215" t="e">
        <f ca="1"/>
        <v>#NAME?</v>
      </c>
    </row>
    <row r="22" spans="1:17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G22" s="421">
        <f t="shared" si="1"/>
        <v>19</v>
      </c>
      <c r="H22" s="214" t="e">
        <f ca="1"/>
        <v>#NAME?</v>
      </c>
      <c r="I22" s="7" t="e">
        <f ca="1"/>
        <v>#NAME?</v>
      </c>
      <c r="J22" s="7" t="e">
        <f ca="1"/>
        <v>#NAME?</v>
      </c>
      <c r="K22" s="215" t="e">
        <f ca="1"/>
        <v>#NAME?</v>
      </c>
      <c r="M22" s="421">
        <f t="shared" si="2"/>
        <v>19</v>
      </c>
      <c r="N22" s="214" t="e">
        <f ca="1"/>
        <v>#NAME?</v>
      </c>
      <c r="O22" s="7" t="e">
        <f ca="1"/>
        <v>#NAME?</v>
      </c>
      <c r="P22" s="7" t="e">
        <f ca="1"/>
        <v>#NAME?</v>
      </c>
      <c r="Q22" s="215" t="e">
        <f ca="1"/>
        <v>#NAME?</v>
      </c>
    </row>
    <row r="23" spans="1:17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G23" s="421">
        <f t="shared" si="1"/>
        <v>20</v>
      </c>
      <c r="H23" s="112" t="e">
        <f ca="1"/>
        <v>#NAME?</v>
      </c>
      <c r="I23" s="354" t="e">
        <f ca="1"/>
        <v>#NAME?</v>
      </c>
      <c r="J23" s="354" t="e">
        <f ca="1"/>
        <v>#NAME?</v>
      </c>
      <c r="K23" s="120" t="e">
        <f ca="1"/>
        <v>#NAME?</v>
      </c>
      <c r="M23" s="421">
        <f t="shared" si="2"/>
        <v>20</v>
      </c>
      <c r="N23" s="112" t="e">
        <f ca="1"/>
        <v>#NAME?</v>
      </c>
      <c r="O23" s="354" t="e">
        <f ca="1"/>
        <v>#NAME?</v>
      </c>
      <c r="P23" s="354" t="e">
        <f ca="1"/>
        <v>#NAME?</v>
      </c>
      <c r="Q23" s="120" t="e">
        <f ca="1"/>
        <v>#NAME?</v>
      </c>
    </row>
    <row r="24" spans="1:17" x14ac:dyDescent="0.25">
      <c r="A24" s="421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421" t="s">
        <v>6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s="421" t="s">
        <v>6</v>
      </c>
      <c r="N24" t="e">
        <f ca="1">AVERAGE(N4:N23)</f>
        <v>#NAME?</v>
      </c>
      <c r="O24" t="e">
        <f ca="1">AVERAGE(O4:O23)</f>
        <v>#NAME?</v>
      </c>
      <c r="P24" t="e">
        <f ca="1">AVERAGE(P4:P23)</f>
        <v>#NAME?</v>
      </c>
      <c r="Q24" t="e">
        <f ca="1">AVERAGE(Q4:Q23)</f>
        <v>#NAME?</v>
      </c>
    </row>
    <row r="25" spans="1:17" x14ac:dyDescent="0.25">
      <c r="A25" s="421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421" t="s">
        <v>8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s="421" t="s">
        <v>8</v>
      </c>
      <c r="N25" t="e">
        <f ca="1">STDEV(N4:N23)</f>
        <v>#NAME?</v>
      </c>
      <c r="O25" t="e">
        <f ca="1">STDEV(O4:O23)</f>
        <v>#NAME?</v>
      </c>
      <c r="P25" t="e">
        <f ca="1">STDEV(P4:P23)</f>
        <v>#NAME?</v>
      </c>
      <c r="Q25" t="e">
        <f ca="1">STDEV(Q4:Q23)</f>
        <v>#NAME?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V35"/>
  <sheetViews>
    <sheetView zoomScaleNormal="100" workbookViewId="0"/>
  </sheetViews>
  <sheetFormatPr defaultRowHeight="15" x14ac:dyDescent="0.25"/>
  <sheetData>
    <row r="1" spans="1:22" x14ac:dyDescent="0.25">
      <c r="A1" s="1" t="s">
        <v>1035</v>
      </c>
      <c r="G1" t="s">
        <v>1037</v>
      </c>
      <c r="M1" t="s">
        <v>1044</v>
      </c>
      <c r="S1" t="s">
        <v>1036</v>
      </c>
    </row>
    <row r="3" spans="1:22" x14ac:dyDescent="0.25">
      <c r="A3" s="421" t="str">
        <f>'MI 4'!A3</f>
        <v>id</v>
      </c>
      <c r="B3" s="421" t="str">
        <f>'MI 4'!B3</f>
        <v>read</v>
      </c>
      <c r="C3" s="421" t="str">
        <f>'MI 4'!C3</f>
        <v>science</v>
      </c>
      <c r="D3" s="421" t="str">
        <f>'MI 4'!D3</f>
        <v>math</v>
      </c>
      <c r="E3" s="421" t="str">
        <f>'MI 4'!E3</f>
        <v>medicine</v>
      </c>
      <c r="G3" s="421" t="s">
        <v>1017</v>
      </c>
      <c r="H3" s="421" t="s">
        <v>1015</v>
      </c>
      <c r="I3" s="421" t="s">
        <v>997</v>
      </c>
      <c r="J3" s="421" t="s">
        <v>996</v>
      </c>
      <c r="K3" s="421" t="s">
        <v>1016</v>
      </c>
      <c r="N3" s="421" t="e">
        <f t="array" aca="1" ref="N3:Q8" ca="1">MISummary(H3:K23,TRUE)</f>
        <v>#NAME?</v>
      </c>
      <c r="O3" s="421" t="e">
        <f ca="1"/>
        <v>#NAME?</v>
      </c>
      <c r="P3" s="421" t="e">
        <f ca="1"/>
        <v>#NAME?</v>
      </c>
      <c r="Q3" s="421" t="e">
        <f ca="1"/>
        <v>#NAME?</v>
      </c>
      <c r="S3" s="421" t="e">
        <f t="array" aca="1" ref="S3:V23" ca="1">ImputedData(B3:E23,H3:K23,TRUE)</f>
        <v>#NAME?</v>
      </c>
      <c r="T3" s="421" t="e">
        <f ca="1"/>
        <v>#NAME?</v>
      </c>
      <c r="U3" s="421" t="e">
        <f ca="1"/>
        <v>#NAME?</v>
      </c>
      <c r="V3" s="421" t="e">
        <f ca="1"/>
        <v>#NAME?</v>
      </c>
    </row>
    <row r="4" spans="1:22" x14ac:dyDescent="0.25">
      <c r="A4" s="421">
        <f>'MI 4'!A4</f>
        <v>1</v>
      </c>
      <c r="B4" s="423">
        <f>'MI 4'!B4</f>
        <v>12</v>
      </c>
      <c r="C4" s="429">
        <f>'MI 4'!C4</f>
        <v>27</v>
      </c>
      <c r="D4" s="429">
        <f>'MI 4'!D4</f>
        <v>19</v>
      </c>
      <c r="E4" s="424">
        <f>'MI 4'!E4</f>
        <v>44</v>
      </c>
      <c r="G4" s="421">
        <v>1</v>
      </c>
      <c r="H4" s="418" t="e">
        <f t="array" ref="H4:K23" ca="1">'MI 4'!H4:K23</f>
        <v>#NAME?</v>
      </c>
      <c r="I4" s="387" t="e">
        <f ca="1"/>
        <v>#NAME?</v>
      </c>
      <c r="J4" s="387" t="e">
        <f ca="1"/>
        <v>#NAME?</v>
      </c>
      <c r="K4" s="419" t="e">
        <f ca="1"/>
        <v>#NAME?</v>
      </c>
      <c r="M4" t="s">
        <v>797</v>
      </c>
      <c r="N4" s="418" t="e">
        <f ca="1"/>
        <v>#NAME?</v>
      </c>
      <c r="O4" s="416" t="e">
        <f ca="1"/>
        <v>#NAME?</v>
      </c>
      <c r="P4" s="416" t="e">
        <f ca="1"/>
        <v>#NAME?</v>
      </c>
      <c r="Q4" s="419" t="e">
        <f ca="1"/>
        <v>#NAME?</v>
      </c>
      <c r="S4" s="418" t="e">
        <f ca="1"/>
        <v>#NAME?</v>
      </c>
      <c r="T4" s="387" t="e">
        <f ca="1"/>
        <v>#NAME?</v>
      </c>
      <c r="U4" s="387" t="e">
        <f ca="1"/>
        <v>#NAME?</v>
      </c>
      <c r="V4" s="419" t="e">
        <f ca="1"/>
        <v>#NAME?</v>
      </c>
    </row>
    <row r="5" spans="1:22" x14ac:dyDescent="0.25">
      <c r="A5" s="421">
        <f>'MI 4'!A5</f>
        <v>2</v>
      </c>
      <c r="B5" s="256">
        <f>'MI 4'!B5</f>
        <v>11</v>
      </c>
      <c r="C5" s="20" t="str">
        <f>'MI 4'!C5</f>
        <v>x</v>
      </c>
      <c r="D5" s="20">
        <f>'MI 4'!D5</f>
        <v>13</v>
      </c>
      <c r="E5" s="269">
        <f>'MI 4'!E5</f>
        <v>43</v>
      </c>
      <c r="G5" s="421">
        <f>G4+1</f>
        <v>2</v>
      </c>
      <c r="H5" s="214" t="e">
        <f ca="1"/>
        <v>#NAME?</v>
      </c>
      <c r="I5" s="7" t="e">
        <f ca="1"/>
        <v>#NAME?</v>
      </c>
      <c r="J5" s="7" t="e">
        <f ca="1"/>
        <v>#NAME?</v>
      </c>
      <c r="K5" s="215" t="e">
        <f ca="1"/>
        <v>#NAME?</v>
      </c>
      <c r="M5" t="s">
        <v>992</v>
      </c>
      <c r="N5" s="214" t="e">
        <f ca="1"/>
        <v>#NAME?</v>
      </c>
      <c r="O5" s="7" t="e">
        <f ca="1"/>
        <v>#NAME?</v>
      </c>
      <c r="P5" s="7" t="e">
        <f ca="1"/>
        <v>#NAME?</v>
      </c>
      <c r="Q5" s="215" t="e">
        <f ca="1"/>
        <v>#NAME?</v>
      </c>
      <c r="S5" s="214" t="e">
        <f ca="1"/>
        <v>#NAME?</v>
      </c>
      <c r="T5" s="7" t="e">
        <f ca="1"/>
        <v>#NAME?</v>
      </c>
      <c r="U5" s="7" t="e">
        <f ca="1"/>
        <v>#NAME?</v>
      </c>
      <c r="V5" s="215" t="e">
        <f ca="1"/>
        <v>#NAME?</v>
      </c>
    </row>
    <row r="6" spans="1:22" x14ac:dyDescent="0.25">
      <c r="A6" s="421">
        <f>'MI 4'!A6</f>
        <v>3</v>
      </c>
      <c r="B6" s="256" t="str">
        <f>'MI 4'!B6</f>
        <v>x</v>
      </c>
      <c r="C6" s="20">
        <f>'MI 4'!C6</f>
        <v>56</v>
      </c>
      <c r="D6" s="20">
        <f>'MI 4'!D6</f>
        <v>23</v>
      </c>
      <c r="E6" s="269">
        <f>'MI 4'!E6</f>
        <v>60</v>
      </c>
      <c r="G6" s="421">
        <f t="shared" ref="G6:G23" si="0">G5+1</f>
        <v>3</v>
      </c>
      <c r="H6" s="214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M6" t="s">
        <v>6</v>
      </c>
      <c r="N6" s="214" t="e">
        <f ca="1"/>
        <v>#NAME?</v>
      </c>
      <c r="O6" s="7" t="e">
        <f ca="1"/>
        <v>#NAME?</v>
      </c>
      <c r="P6" s="7" t="e">
        <f ca="1"/>
        <v>#NAME?</v>
      </c>
      <c r="Q6" s="215" t="e">
        <f ca="1"/>
        <v>#NAME?</v>
      </c>
      <c r="S6" s="214" t="e">
        <f ca="1"/>
        <v>#NAME?</v>
      </c>
      <c r="T6" s="7" t="e">
        <f ca="1"/>
        <v>#NAME?</v>
      </c>
      <c r="U6" s="7" t="e">
        <f ca="1"/>
        <v>#NAME?</v>
      </c>
      <c r="V6" s="215" t="e">
        <f ca="1"/>
        <v>#NAME?</v>
      </c>
    </row>
    <row r="7" spans="1:22" x14ac:dyDescent="0.25">
      <c r="A7" s="421">
        <f>'MI 4'!A7</f>
        <v>4</v>
      </c>
      <c r="B7" s="256">
        <f>'MI 4'!B7</f>
        <v>15</v>
      </c>
      <c r="C7" s="20">
        <f>'MI 4'!C7</f>
        <v>37</v>
      </c>
      <c r="D7" s="20">
        <f>'MI 4'!D7</f>
        <v>19</v>
      </c>
      <c r="E7" s="269">
        <f>'MI 4'!E7</f>
        <v>52</v>
      </c>
      <c r="G7" s="421">
        <f t="shared" si="0"/>
        <v>4</v>
      </c>
      <c r="H7" s="214" t="e">
        <f ca="1"/>
        <v>#NAME?</v>
      </c>
      <c r="I7" s="7" t="e">
        <f ca="1"/>
        <v>#NAME?</v>
      </c>
      <c r="J7" s="7" t="e">
        <f ca="1"/>
        <v>#NAME?</v>
      </c>
      <c r="K7" s="215" t="e">
        <f ca="1"/>
        <v>#NAME?</v>
      </c>
      <c r="M7" t="s">
        <v>8</v>
      </c>
      <c r="N7" s="214" t="e">
        <f ca="1"/>
        <v>#NAME?</v>
      </c>
      <c r="O7" s="7" t="e">
        <f ca="1"/>
        <v>#NAME?</v>
      </c>
      <c r="P7" s="7" t="e">
        <f ca="1"/>
        <v>#NAME?</v>
      </c>
      <c r="Q7" s="215" t="e">
        <f ca="1"/>
        <v>#NAME?</v>
      </c>
      <c r="S7" s="214" t="e">
        <f ca="1"/>
        <v>#NAME?</v>
      </c>
      <c r="T7" s="7" t="e">
        <f ca="1"/>
        <v>#NAME?</v>
      </c>
      <c r="U7" s="7" t="e">
        <f ca="1"/>
        <v>#NAME?</v>
      </c>
      <c r="V7" s="215" t="e">
        <f ca="1"/>
        <v>#NAME?</v>
      </c>
    </row>
    <row r="8" spans="1:22" x14ac:dyDescent="0.25">
      <c r="A8" s="421">
        <f>'MI 4'!A8</f>
        <v>5</v>
      </c>
      <c r="B8" s="256">
        <f>'MI 4'!B8</f>
        <v>10</v>
      </c>
      <c r="C8" s="20">
        <f>'MI 4'!C8</f>
        <v>31</v>
      </c>
      <c r="D8" s="20">
        <f>'MI 4'!D8</f>
        <v>21</v>
      </c>
      <c r="E8" s="269" t="str">
        <f>'MI 4'!E8</f>
        <v>x</v>
      </c>
      <c r="G8" s="421">
        <f t="shared" si="0"/>
        <v>5</v>
      </c>
      <c r="H8" s="214" t="e">
        <f ca="1"/>
        <v>#NAME?</v>
      </c>
      <c r="I8" s="7" t="e">
        <f ca="1"/>
        <v>#NAME?</v>
      </c>
      <c r="J8" s="7" t="e">
        <f ca="1"/>
        <v>#NAME?</v>
      </c>
      <c r="K8" s="215" t="e">
        <f ca="1"/>
        <v>#NAME?</v>
      </c>
      <c r="M8" t="s">
        <v>1034</v>
      </c>
      <c r="N8" s="112" t="e">
        <f ca="1"/>
        <v>#NAME?</v>
      </c>
      <c r="O8" s="354" t="e">
        <f ca="1"/>
        <v>#NAME?</v>
      </c>
      <c r="P8" s="354" t="e">
        <f ca="1"/>
        <v>#NAME?</v>
      </c>
      <c r="Q8" s="120" t="e">
        <f ca="1"/>
        <v>#NAME?</v>
      </c>
      <c r="S8" s="214" t="e">
        <f ca="1"/>
        <v>#NAME?</v>
      </c>
      <c r="T8" s="7" t="e">
        <f ca="1"/>
        <v>#NAME?</v>
      </c>
      <c r="U8" s="7" t="e">
        <f ca="1"/>
        <v>#NAME?</v>
      </c>
      <c r="V8" s="215" t="e">
        <f ca="1"/>
        <v>#NAME?</v>
      </c>
    </row>
    <row r="9" spans="1:22" x14ac:dyDescent="0.25">
      <c r="A9" s="421">
        <f>'MI 4'!A9</f>
        <v>6</v>
      </c>
      <c r="B9" s="256">
        <f>'MI 4'!B9</f>
        <v>18</v>
      </c>
      <c r="C9" s="20">
        <f>'MI 4'!C9</f>
        <v>40</v>
      </c>
      <c r="D9" s="20">
        <f>'MI 4'!D9</f>
        <v>22</v>
      </c>
      <c r="E9" s="269">
        <f>'MI 4'!E9</f>
        <v>43</v>
      </c>
      <c r="G9" s="421">
        <f t="shared" si="0"/>
        <v>6</v>
      </c>
      <c r="H9" s="214" t="e">
        <f ca="1"/>
        <v>#NAME?</v>
      </c>
      <c r="I9" s="7" t="e">
        <f ca="1"/>
        <v>#NAME?</v>
      </c>
      <c r="J9" s="7" t="e">
        <f ca="1"/>
        <v>#NAME?</v>
      </c>
      <c r="K9" s="215" t="e">
        <f ca="1"/>
        <v>#NAME?</v>
      </c>
      <c r="S9" s="214" t="e">
        <f ca="1"/>
        <v>#NAME?</v>
      </c>
      <c r="T9" s="7" t="e">
        <f ca="1"/>
        <v>#NAME?</v>
      </c>
      <c r="U9" s="7" t="e">
        <f ca="1"/>
        <v>#NAME?</v>
      </c>
      <c r="V9" s="215" t="e">
        <f ca="1"/>
        <v>#NAME?</v>
      </c>
    </row>
    <row r="10" spans="1:22" x14ac:dyDescent="0.25">
      <c r="A10" s="421">
        <f>'MI 4'!A10</f>
        <v>7</v>
      </c>
      <c r="B10" s="256">
        <f>'MI 4'!B10</f>
        <v>15</v>
      </c>
      <c r="C10" s="20">
        <f>'MI 4'!C10</f>
        <v>50</v>
      </c>
      <c r="D10" s="20">
        <f>'MI 4'!D10</f>
        <v>28</v>
      </c>
      <c r="E10" s="269">
        <f>'MI 4'!E10</f>
        <v>56</v>
      </c>
      <c r="G10" s="421">
        <f t="shared" si="0"/>
        <v>7</v>
      </c>
      <c r="H10" s="214" t="e">
        <f ca="1"/>
        <v>#NAME?</v>
      </c>
      <c r="I10" s="7" t="e">
        <f ca="1"/>
        <v>#NAME?</v>
      </c>
      <c r="J10" s="7" t="e">
        <f ca="1"/>
        <v>#NAME?</v>
      </c>
      <c r="K10" s="215" t="e">
        <f ca="1"/>
        <v>#NAME?</v>
      </c>
      <c r="M10" t="s">
        <v>1039</v>
      </c>
      <c r="S10" s="214" t="e">
        <f ca="1"/>
        <v>#NAME?</v>
      </c>
      <c r="T10" s="7" t="e">
        <f ca="1"/>
        <v>#NAME?</v>
      </c>
      <c r="U10" s="7" t="e">
        <f ca="1"/>
        <v>#NAME?</v>
      </c>
      <c r="V10" s="215" t="e">
        <f ca="1"/>
        <v>#NAME?</v>
      </c>
    </row>
    <row r="11" spans="1:22" x14ac:dyDescent="0.25">
      <c r="A11" s="421">
        <f>'MI 4'!A11</f>
        <v>8</v>
      </c>
      <c r="B11" s="256">
        <f>'MI 4'!B11</f>
        <v>21</v>
      </c>
      <c r="C11" s="20" t="str">
        <f>'MI 4'!C11</f>
        <v>x</v>
      </c>
      <c r="D11" s="20" t="str">
        <f>'MI 4'!D11</f>
        <v>x</v>
      </c>
      <c r="E11" s="269">
        <f>'MI 4'!E11</f>
        <v>46</v>
      </c>
      <c r="G11" s="421">
        <f t="shared" si="0"/>
        <v>8</v>
      </c>
      <c r="H11" s="214" t="e">
        <f ca="1"/>
        <v>#NAME?</v>
      </c>
      <c r="I11" s="7" t="e">
        <f ca="1"/>
        <v>#NAME?</v>
      </c>
      <c r="J11" s="7" t="e">
        <f ca="1"/>
        <v>#NAME?</v>
      </c>
      <c r="K11" s="215" t="e">
        <f ca="1"/>
        <v>#NAME?</v>
      </c>
      <c r="S11" s="214" t="e">
        <f ca="1"/>
        <v>#NAME?</v>
      </c>
      <c r="T11" s="7" t="e">
        <f ca="1"/>
        <v>#NAME?</v>
      </c>
      <c r="U11" s="7" t="e">
        <f ca="1"/>
        <v>#NAME?</v>
      </c>
      <c r="V11" s="215" t="e">
        <f ca="1"/>
        <v>#NAME?</v>
      </c>
    </row>
    <row r="12" spans="1:22" x14ac:dyDescent="0.25">
      <c r="A12" s="421">
        <f>'MI 4'!A12</f>
        <v>9</v>
      </c>
      <c r="B12" s="256">
        <f>'MI 4'!B12</f>
        <v>20</v>
      </c>
      <c r="C12" s="20">
        <f>'MI 4'!C12</f>
        <v>39</v>
      </c>
      <c r="D12" s="20">
        <f>'MI 4'!D12</f>
        <v>25</v>
      </c>
      <c r="E12" s="269">
        <f>'MI 4'!E12</f>
        <v>51</v>
      </c>
      <c r="G12" s="421">
        <f t="shared" si="0"/>
        <v>9</v>
      </c>
      <c r="H12" s="214" t="e">
        <f ca="1"/>
        <v>#NAME?</v>
      </c>
      <c r="I12" s="7" t="e">
        <f ca="1"/>
        <v>#NAME?</v>
      </c>
      <c r="J12" s="7" t="e">
        <f ca="1"/>
        <v>#NAME?</v>
      </c>
      <c r="K12" s="215" t="e">
        <f ca="1"/>
        <v>#NAME?</v>
      </c>
      <c r="M12" t="e">
        <f t="array" aca="1" ref="M12:Q17" ca="1">DescStats(H3:K23,TRUE,TRUE)</f>
        <v>#NAME?</v>
      </c>
      <c r="N12" t="e">
        <f ca="1"/>
        <v>#NAME?</v>
      </c>
      <c r="O12" t="e">
        <f ca="1"/>
        <v>#NAME?</v>
      </c>
      <c r="P12" t="e">
        <f ca="1"/>
        <v>#NAME?</v>
      </c>
      <c r="Q12" t="e">
        <f ca="1"/>
        <v>#NAME?</v>
      </c>
      <c r="S12" s="214" t="e">
        <f ca="1"/>
        <v>#NAME?</v>
      </c>
      <c r="T12" s="7" t="e">
        <f ca="1"/>
        <v>#NAME?</v>
      </c>
      <c r="U12" s="7" t="e">
        <f ca="1"/>
        <v>#NAME?</v>
      </c>
      <c r="V12" s="215" t="e">
        <f ca="1"/>
        <v>#NAME?</v>
      </c>
    </row>
    <row r="13" spans="1:22" x14ac:dyDescent="0.25">
      <c r="A13" s="421">
        <f>'MI 4'!A13</f>
        <v>10</v>
      </c>
      <c r="B13" s="256" t="str">
        <f>'MI 4'!B13</f>
        <v>x</v>
      </c>
      <c r="C13" s="20">
        <f>'MI 4'!C13</f>
        <v>36</v>
      </c>
      <c r="D13" s="20">
        <f>'MI 4'!D13</f>
        <v>23</v>
      </c>
      <c r="E13" s="269">
        <f>'MI 4'!E13</f>
        <v>56</v>
      </c>
      <c r="G13" s="421">
        <f t="shared" si="0"/>
        <v>10</v>
      </c>
      <c r="H13" s="214" t="e">
        <f ca="1"/>
        <v>#NAME?</v>
      </c>
      <c r="I13" s="7" t="e">
        <f ca="1"/>
        <v>#NAME?</v>
      </c>
      <c r="J13" s="7" t="e">
        <f ca="1"/>
        <v>#NAME?</v>
      </c>
      <c r="K13" s="215" t="e">
        <f ca="1"/>
        <v>#NAME?</v>
      </c>
      <c r="M13" t="e">
        <f ca="1"/>
        <v>#NAME?</v>
      </c>
      <c r="N13" s="418" t="e">
        <f ca="1"/>
        <v>#NAME?</v>
      </c>
      <c r="O13" s="387" t="e">
        <f ca="1"/>
        <v>#NAME?</v>
      </c>
      <c r="P13" s="387" t="e">
        <f ca="1"/>
        <v>#NAME?</v>
      </c>
      <c r="Q13" s="419" t="e">
        <f ca="1"/>
        <v>#NAME?</v>
      </c>
      <c r="S13" s="214" t="e">
        <f ca="1"/>
        <v>#NAME?</v>
      </c>
      <c r="T13" s="7" t="e">
        <f ca="1"/>
        <v>#NAME?</v>
      </c>
      <c r="U13" s="7" t="e">
        <f ca="1"/>
        <v>#NAME?</v>
      </c>
      <c r="V13" s="215" t="e">
        <f ca="1"/>
        <v>#NAME?</v>
      </c>
    </row>
    <row r="14" spans="1:22" x14ac:dyDescent="0.25">
      <c r="A14" s="421">
        <f>'MI 4'!A14</f>
        <v>11</v>
      </c>
      <c r="B14" s="256" t="str">
        <f>'MI 4'!B14</f>
        <v>x</v>
      </c>
      <c r="C14" s="20">
        <f>'MI 4'!C14</f>
        <v>27</v>
      </c>
      <c r="D14" s="20">
        <f>'MI 4'!D14</f>
        <v>21</v>
      </c>
      <c r="E14" s="269">
        <f>'MI 4'!E14</f>
        <v>39</v>
      </c>
      <c r="G14" s="421">
        <f t="shared" si="0"/>
        <v>11</v>
      </c>
      <c r="H14" s="214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  <c r="M14" t="e">
        <f ca="1"/>
        <v>#NAME?</v>
      </c>
      <c r="N14" s="214" t="e">
        <f ca="1"/>
        <v>#NAME?</v>
      </c>
      <c r="O14" s="7" t="e">
        <f ca="1"/>
        <v>#NAME?</v>
      </c>
      <c r="P14" s="7" t="e">
        <f ca="1"/>
        <v>#NAME?</v>
      </c>
      <c r="Q14" s="215" t="e">
        <f ca="1"/>
        <v>#NAME?</v>
      </c>
      <c r="S14" s="214" t="e">
        <f ca="1"/>
        <v>#NAME?</v>
      </c>
      <c r="T14" s="7" t="e">
        <f ca="1"/>
        <v>#NAME?</v>
      </c>
      <c r="U14" s="7" t="e">
        <f ca="1"/>
        <v>#NAME?</v>
      </c>
      <c r="V14" s="215" t="e">
        <f ca="1"/>
        <v>#NAME?</v>
      </c>
    </row>
    <row r="15" spans="1:22" x14ac:dyDescent="0.25">
      <c r="A15" s="421">
        <f>'MI 4'!A15</f>
        <v>12</v>
      </c>
      <c r="B15" s="256">
        <f>'MI 4'!B15</f>
        <v>14</v>
      </c>
      <c r="C15" s="20">
        <f>'MI 4'!C15</f>
        <v>32</v>
      </c>
      <c r="D15" s="20">
        <f>'MI 4'!D15</f>
        <v>20</v>
      </c>
      <c r="E15" s="269">
        <f>'MI 4'!E15</f>
        <v>46</v>
      </c>
      <c r="G15" s="421">
        <f t="shared" si="0"/>
        <v>12</v>
      </c>
      <c r="H15" s="214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  <c r="M15" t="e">
        <f ca="1"/>
        <v>#NAME?</v>
      </c>
      <c r="N15" s="214" t="e">
        <f ca="1"/>
        <v>#NAME?</v>
      </c>
      <c r="O15" s="7" t="e">
        <f ca="1"/>
        <v>#NAME?</v>
      </c>
      <c r="P15" s="7" t="e">
        <f ca="1"/>
        <v>#NAME?</v>
      </c>
      <c r="Q15" s="215" t="e">
        <f ca="1"/>
        <v>#NAME?</v>
      </c>
      <c r="S15" s="214" t="e">
        <f ca="1"/>
        <v>#NAME?</v>
      </c>
      <c r="T15" s="7" t="e">
        <f ca="1"/>
        <v>#NAME?</v>
      </c>
      <c r="U15" s="7" t="e">
        <f ca="1"/>
        <v>#NAME?</v>
      </c>
      <c r="V15" s="215" t="e">
        <f ca="1"/>
        <v>#NAME?</v>
      </c>
    </row>
    <row r="16" spans="1:22" x14ac:dyDescent="0.25">
      <c r="A16" s="421">
        <f>'MI 4'!A16</f>
        <v>13</v>
      </c>
      <c r="B16" s="256">
        <f>'MI 4'!B16</f>
        <v>22</v>
      </c>
      <c r="C16" s="20">
        <f>'MI 4'!C16</f>
        <v>40</v>
      </c>
      <c r="D16" s="20" t="str">
        <f>'MI 4'!D16</f>
        <v>x</v>
      </c>
      <c r="E16" s="269">
        <f>'MI 4'!E16</f>
        <v>49</v>
      </c>
      <c r="G16" s="421">
        <f t="shared" si="0"/>
        <v>13</v>
      </c>
      <c r="H16" s="214" t="e">
        <f ca="1"/>
        <v>#NAME?</v>
      </c>
      <c r="I16" s="7" t="e">
        <f ca="1"/>
        <v>#NAME?</v>
      </c>
      <c r="J16" s="7" t="e">
        <f ca="1"/>
        <v>#NAME?</v>
      </c>
      <c r="K16" s="215" t="e">
        <f ca="1"/>
        <v>#NAME?</v>
      </c>
      <c r="M16" t="e">
        <f ca="1"/>
        <v>#NAME?</v>
      </c>
      <c r="N16" s="214" t="e">
        <f ca="1"/>
        <v>#NAME?</v>
      </c>
      <c r="O16" s="7" t="e">
        <f ca="1"/>
        <v>#NAME?</v>
      </c>
      <c r="P16" s="7" t="e">
        <f ca="1"/>
        <v>#NAME?</v>
      </c>
      <c r="Q16" s="215" t="e">
        <f ca="1"/>
        <v>#NAME?</v>
      </c>
      <c r="S16" s="214" t="e">
        <f ca="1"/>
        <v>#NAME?</v>
      </c>
      <c r="T16" s="7" t="e">
        <f ca="1"/>
        <v>#NAME?</v>
      </c>
      <c r="U16" s="7" t="e">
        <f ca="1"/>
        <v>#NAME?</v>
      </c>
      <c r="V16" s="215" t="e">
        <f ca="1"/>
        <v>#NAME?</v>
      </c>
    </row>
    <row r="17" spans="1:22" x14ac:dyDescent="0.25">
      <c r="A17" s="421">
        <f>'MI 4'!A17</f>
        <v>14</v>
      </c>
      <c r="B17" s="256" t="str">
        <f>'MI 4'!B17</f>
        <v>x</v>
      </c>
      <c r="C17" s="20">
        <f>'MI 4'!C17</f>
        <v>31</v>
      </c>
      <c r="D17" s="20" t="str">
        <f>'MI 4'!D17</f>
        <v>x</v>
      </c>
      <c r="E17" s="269">
        <f>'MI 4'!E17</f>
        <v>44</v>
      </c>
      <c r="G17" s="421">
        <f t="shared" si="0"/>
        <v>14</v>
      </c>
      <c r="H17" s="214" t="e">
        <f ca="1"/>
        <v>#NAME?</v>
      </c>
      <c r="I17" s="7" t="e">
        <f ca="1"/>
        <v>#NAME?</v>
      </c>
      <c r="J17" s="7" t="e">
        <f ca="1"/>
        <v>#NAME?</v>
      </c>
      <c r="K17" s="215" t="e">
        <f ca="1"/>
        <v>#NAME?</v>
      </c>
      <c r="M17" t="e">
        <f ca="1"/>
        <v>#NAME?</v>
      </c>
      <c r="N17" s="112" t="e">
        <f ca="1"/>
        <v>#NAME?</v>
      </c>
      <c r="O17" s="354" t="e">
        <f ca="1"/>
        <v>#NAME?</v>
      </c>
      <c r="P17" s="354" t="e">
        <f ca="1"/>
        <v>#NAME?</v>
      </c>
      <c r="Q17" s="120" t="e">
        <f ca="1"/>
        <v>#NAME?</v>
      </c>
      <c r="S17" s="214" t="e">
        <f ca="1"/>
        <v>#NAME?</v>
      </c>
      <c r="T17" s="7" t="e">
        <f ca="1"/>
        <v>#NAME?</v>
      </c>
      <c r="U17" s="7" t="e">
        <f ca="1"/>
        <v>#NAME?</v>
      </c>
      <c r="V17" s="215" t="e">
        <f ca="1"/>
        <v>#NAME?</v>
      </c>
    </row>
    <row r="18" spans="1:22" x14ac:dyDescent="0.25">
      <c r="A18" s="421">
        <f>'MI 4'!A18</f>
        <v>15</v>
      </c>
      <c r="B18" s="256" t="str">
        <f>'MI 4'!B18</f>
        <v>x</v>
      </c>
      <c r="C18" s="20">
        <f>'MI 4'!C18</f>
        <v>18</v>
      </c>
      <c r="D18" s="20">
        <f>'MI 4'!D18</f>
        <v>21</v>
      </c>
      <c r="E18" s="269" t="str">
        <f>'MI 4'!E18</f>
        <v>x</v>
      </c>
      <c r="G18" s="421">
        <f t="shared" si="0"/>
        <v>15</v>
      </c>
      <c r="H18" s="214" t="e">
        <f ca="1"/>
        <v>#NAME?</v>
      </c>
      <c r="I18" s="7" t="e">
        <f ca="1"/>
        <v>#NAME?</v>
      </c>
      <c r="J18" s="7" t="e">
        <f ca="1"/>
        <v>#NAME?</v>
      </c>
      <c r="K18" s="215" t="e">
        <f ca="1"/>
        <v>#NAME?</v>
      </c>
      <c r="S18" s="214" t="e">
        <f ca="1"/>
        <v>#NAME?</v>
      </c>
      <c r="T18" s="7" t="e">
        <f ca="1"/>
        <v>#NAME?</v>
      </c>
      <c r="U18" s="7" t="e">
        <f ca="1"/>
        <v>#NAME?</v>
      </c>
      <c r="V18" s="215" t="e">
        <f ca="1"/>
        <v>#NAME?</v>
      </c>
    </row>
    <row r="19" spans="1:22" x14ac:dyDescent="0.25">
      <c r="A19" s="421">
        <f>'MI 4'!A19</f>
        <v>16</v>
      </c>
      <c r="B19" s="256">
        <f>'MI 4'!B19</f>
        <v>16</v>
      </c>
      <c r="C19" s="20">
        <f>'MI 4'!C19</f>
        <v>23</v>
      </c>
      <c r="D19" s="20">
        <f>'MI 4'!D19</f>
        <v>21</v>
      </c>
      <c r="E19" s="269">
        <f>'MI 4'!E19</f>
        <v>34</v>
      </c>
      <c r="G19" s="421">
        <f t="shared" si="0"/>
        <v>16</v>
      </c>
      <c r="H19" s="214" t="e">
        <f ca="1"/>
        <v>#NAME?</v>
      </c>
      <c r="I19" s="7" t="e">
        <f ca="1"/>
        <v>#NAME?</v>
      </c>
      <c r="J19" s="7" t="e">
        <f ca="1"/>
        <v>#NAME?</v>
      </c>
      <c r="K19" s="215" t="e">
        <f ca="1"/>
        <v>#NAME?</v>
      </c>
      <c r="M19" t="s">
        <v>1040</v>
      </c>
      <c r="S19" s="214" t="e">
        <f ca="1"/>
        <v>#NAME?</v>
      </c>
      <c r="T19" s="7" t="e">
        <f ca="1"/>
        <v>#NAME?</v>
      </c>
      <c r="U19" s="7" t="e">
        <f ca="1"/>
        <v>#NAME?</v>
      </c>
      <c r="V19" s="215" t="e">
        <f ca="1"/>
        <v>#NAME?</v>
      </c>
    </row>
    <row r="20" spans="1:22" x14ac:dyDescent="0.25">
      <c r="A20" s="421">
        <f>'MI 4'!A20</f>
        <v>17</v>
      </c>
      <c r="B20" s="256">
        <f>'MI 4'!B20</f>
        <v>27</v>
      </c>
      <c r="C20" s="20">
        <f>'MI 4'!C20</f>
        <v>26</v>
      </c>
      <c r="D20" s="20">
        <f>'MI 4'!D20</f>
        <v>23</v>
      </c>
      <c r="E20" s="269">
        <f>'MI 4'!E20</f>
        <v>59</v>
      </c>
      <c r="G20" s="421">
        <f t="shared" si="0"/>
        <v>17</v>
      </c>
      <c r="H20" s="214" t="e">
        <f ca="1"/>
        <v>#NAME?</v>
      </c>
      <c r="I20" s="7" t="e">
        <f ca="1"/>
        <v>#NAME?</v>
      </c>
      <c r="J20" s="7" t="e">
        <f ca="1"/>
        <v>#NAME?</v>
      </c>
      <c r="K20" s="215" t="e">
        <f ca="1"/>
        <v>#NAME?</v>
      </c>
      <c r="S20" s="214" t="e">
        <f ca="1"/>
        <v>#NAME?</v>
      </c>
      <c r="T20" s="7" t="e">
        <f ca="1"/>
        <v>#NAME?</v>
      </c>
      <c r="U20" s="7" t="e">
        <f ca="1"/>
        <v>#NAME?</v>
      </c>
      <c r="V20" s="215" t="e">
        <f ca="1"/>
        <v>#NAME?</v>
      </c>
    </row>
    <row r="21" spans="1:22" x14ac:dyDescent="0.25">
      <c r="A21" s="421">
        <f>'MI 4'!A21</f>
        <v>18</v>
      </c>
      <c r="B21" s="256">
        <f>'MI 4'!B21</f>
        <v>17</v>
      </c>
      <c r="C21" s="20" t="str">
        <f>'MI 4'!C21</f>
        <v>x</v>
      </c>
      <c r="D21" s="20" t="str">
        <f>'MI 4'!D21</f>
        <v>x</v>
      </c>
      <c r="E21" s="269">
        <f>'MI 4'!E21</f>
        <v>35</v>
      </c>
      <c r="G21" s="421">
        <f t="shared" si="0"/>
        <v>18</v>
      </c>
      <c r="H21" s="214" t="e">
        <f ca="1"/>
        <v>#NAME?</v>
      </c>
      <c r="I21" s="7" t="e">
        <f ca="1"/>
        <v>#NAME?</v>
      </c>
      <c r="J21" s="7" t="e">
        <f ca="1"/>
        <v>#NAME?</v>
      </c>
      <c r="K21" s="215" t="e">
        <f ca="1"/>
        <v>#NAME?</v>
      </c>
      <c r="M21" t="e">
        <f t="array" aca="1" ref="M21:Q26" ca="1">DescStats(H3:K23,TRUE,TRUE,B3:E23)</f>
        <v>#NAME?</v>
      </c>
      <c r="N21" t="e">
        <f ca="1"/>
        <v>#NAME?</v>
      </c>
      <c r="O21" t="e">
        <f ca="1"/>
        <v>#NAME?</v>
      </c>
      <c r="P21" t="e">
        <f ca="1"/>
        <v>#NAME?</v>
      </c>
      <c r="Q21" t="e">
        <f ca="1"/>
        <v>#NAME?</v>
      </c>
      <c r="S21" s="214" t="e">
        <f ca="1"/>
        <v>#NAME?</v>
      </c>
      <c r="T21" s="7" t="e">
        <f ca="1"/>
        <v>#NAME?</v>
      </c>
      <c r="U21" s="7" t="e">
        <f ca="1"/>
        <v>#NAME?</v>
      </c>
      <c r="V21" s="215" t="e">
        <f ca="1"/>
        <v>#NAME?</v>
      </c>
    </row>
    <row r="22" spans="1:22" x14ac:dyDescent="0.25">
      <c r="A22" s="421">
        <f>'MI 4'!A22</f>
        <v>19</v>
      </c>
      <c r="B22" s="256">
        <f>'MI 4'!B22</f>
        <v>13</v>
      </c>
      <c r="C22" s="20">
        <f>'MI 4'!C22</f>
        <v>21</v>
      </c>
      <c r="D22" s="20">
        <f>'MI 4'!D22</f>
        <v>20</v>
      </c>
      <c r="E22" s="269">
        <f>'MI 4'!E22</f>
        <v>48</v>
      </c>
      <c r="G22" s="421">
        <f t="shared" si="0"/>
        <v>19</v>
      </c>
      <c r="H22" s="214" t="e">
        <f ca="1"/>
        <v>#NAME?</v>
      </c>
      <c r="I22" s="7" t="e">
        <f ca="1"/>
        <v>#NAME?</v>
      </c>
      <c r="J22" s="7" t="e">
        <f ca="1"/>
        <v>#NAME?</v>
      </c>
      <c r="K22" s="215" t="e">
        <f ca="1"/>
        <v>#NAME?</v>
      </c>
      <c r="M22" t="e">
        <f ca="1"/>
        <v>#NAME?</v>
      </c>
      <c r="N22" s="418" t="e">
        <f ca="1"/>
        <v>#NAME?</v>
      </c>
      <c r="O22" s="416" t="e">
        <f ca="1"/>
        <v>#NAME?</v>
      </c>
      <c r="P22" s="416" t="e">
        <f ca="1"/>
        <v>#NAME?</v>
      </c>
      <c r="Q22" s="419" t="e">
        <f ca="1"/>
        <v>#NAME?</v>
      </c>
      <c r="S22" s="214" t="e">
        <f ca="1"/>
        <v>#NAME?</v>
      </c>
      <c r="T22" s="7" t="e">
        <f ca="1"/>
        <v>#NAME?</v>
      </c>
      <c r="U22" s="7" t="e">
        <f ca="1"/>
        <v>#NAME?</v>
      </c>
      <c r="V22" s="215" t="e">
        <f ca="1"/>
        <v>#NAME?</v>
      </c>
    </row>
    <row r="23" spans="1:22" x14ac:dyDescent="0.25">
      <c r="A23" s="421">
        <f>'MI 4'!A23</f>
        <v>20</v>
      </c>
      <c r="B23" s="425">
        <f>'MI 4'!B23</f>
        <v>11</v>
      </c>
      <c r="C23" s="428">
        <f>'MI 4'!C23</f>
        <v>51</v>
      </c>
      <c r="D23" s="428">
        <f>'MI 4'!D23</f>
        <v>18</v>
      </c>
      <c r="E23" s="426">
        <f>'MI 4'!E23</f>
        <v>54</v>
      </c>
      <c r="G23" s="421">
        <f t="shared" si="0"/>
        <v>20</v>
      </c>
      <c r="H23" s="112" t="e">
        <f ca="1"/>
        <v>#NAME?</v>
      </c>
      <c r="I23" s="354" t="e">
        <f ca="1"/>
        <v>#NAME?</v>
      </c>
      <c r="J23" s="354" t="e">
        <f ca="1"/>
        <v>#NAME?</v>
      </c>
      <c r="K23" s="120" t="e">
        <f ca="1"/>
        <v>#NAME?</v>
      </c>
      <c r="M23" t="e">
        <f ca="1"/>
        <v>#NAME?</v>
      </c>
      <c r="N23" s="214" t="e">
        <f ca="1"/>
        <v>#NAME?</v>
      </c>
      <c r="O23" s="7" t="e">
        <f ca="1"/>
        <v>#NAME?</v>
      </c>
      <c r="P23" s="7" t="e">
        <f ca="1"/>
        <v>#NAME?</v>
      </c>
      <c r="Q23" s="215" t="e">
        <f ca="1"/>
        <v>#NAME?</v>
      </c>
      <c r="S23" s="112" t="e">
        <f ca="1"/>
        <v>#NAME?</v>
      </c>
      <c r="T23" s="354" t="e">
        <f ca="1"/>
        <v>#NAME?</v>
      </c>
      <c r="U23" s="354" t="e">
        <f ca="1"/>
        <v>#NAME?</v>
      </c>
      <c r="V23" s="120" t="e">
        <f ca="1"/>
        <v>#NAME?</v>
      </c>
    </row>
    <row r="24" spans="1:22" x14ac:dyDescent="0.25">
      <c r="A24" s="421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421" t="s">
        <v>6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t="e">
        <f ca="1"/>
        <v>#NAME?</v>
      </c>
      <c r="N24" s="214" t="e">
        <f ca="1"/>
        <v>#NAME?</v>
      </c>
      <c r="O24" s="7" t="e">
        <f ca="1"/>
        <v>#NAME?</v>
      </c>
      <c r="P24" s="7" t="e">
        <f ca="1"/>
        <v>#NAME?</v>
      </c>
      <c r="Q24" s="215" t="e">
        <f ca="1"/>
        <v>#NAME?</v>
      </c>
    </row>
    <row r="25" spans="1:22" x14ac:dyDescent="0.25">
      <c r="A25" s="421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421" t="s">
        <v>8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t="e">
        <f ca="1"/>
        <v>#NAME?</v>
      </c>
      <c r="N25" s="214" t="e">
        <f ca="1"/>
        <v>#NAME?</v>
      </c>
      <c r="O25" s="7" t="e">
        <f ca="1"/>
        <v>#NAME?</v>
      </c>
      <c r="P25" s="7" t="e">
        <f ca="1"/>
        <v>#NAME?</v>
      </c>
      <c r="Q25" s="215" t="e">
        <f ca="1"/>
        <v>#NAME?</v>
      </c>
    </row>
    <row r="26" spans="1:22" x14ac:dyDescent="0.25">
      <c r="M26" t="e">
        <f ca="1"/>
        <v>#NAME?</v>
      </c>
      <c r="N26" s="112" t="e">
        <f ca="1"/>
        <v>#NAME?</v>
      </c>
      <c r="O26" s="354" t="e">
        <f ca="1"/>
        <v>#NAME?</v>
      </c>
      <c r="P26" s="354" t="e">
        <f ca="1"/>
        <v>#NAME?</v>
      </c>
      <c r="Q26" s="120" t="e">
        <f ca="1"/>
        <v>#NAME?</v>
      </c>
    </row>
    <row r="28" spans="1:22" x14ac:dyDescent="0.25">
      <c r="M28" t="s">
        <v>1040</v>
      </c>
    </row>
    <row r="30" spans="1:22" x14ac:dyDescent="0.25">
      <c r="M30" t="e">
        <f t="array" aca="1" ref="M30:Q35" ca="1">DescStats(S3:V23,TRUE,TRUE)</f>
        <v>#NAME?</v>
      </c>
      <c r="N30" t="e">
        <f ca="1"/>
        <v>#NAME?</v>
      </c>
      <c r="O30" t="e">
        <f ca="1"/>
        <v>#NAME?</v>
      </c>
      <c r="P30" t="e">
        <f ca="1"/>
        <v>#NAME?</v>
      </c>
      <c r="Q30" t="e">
        <f ca="1"/>
        <v>#NAME?</v>
      </c>
    </row>
    <row r="31" spans="1:22" x14ac:dyDescent="0.25">
      <c r="M31" t="e">
        <f ca="1"/>
        <v>#NAME?</v>
      </c>
      <c r="N31" s="418" t="e">
        <f ca="1"/>
        <v>#NAME?</v>
      </c>
      <c r="O31" s="416" t="e">
        <f ca="1"/>
        <v>#NAME?</v>
      </c>
      <c r="P31" s="416" t="e">
        <f ca="1"/>
        <v>#NAME?</v>
      </c>
      <c r="Q31" s="419" t="e">
        <f ca="1"/>
        <v>#NAME?</v>
      </c>
    </row>
    <row r="32" spans="1:22" x14ac:dyDescent="0.25">
      <c r="M32" t="e">
        <f ca="1"/>
        <v>#NAME?</v>
      </c>
      <c r="N32" s="214" t="e">
        <f ca="1"/>
        <v>#NAME?</v>
      </c>
      <c r="O32" s="7" t="e">
        <f ca="1"/>
        <v>#NAME?</v>
      </c>
      <c r="P32" s="7" t="e">
        <f ca="1"/>
        <v>#NAME?</v>
      </c>
      <c r="Q32" s="215" t="e">
        <f ca="1"/>
        <v>#NAME?</v>
      </c>
    </row>
    <row r="33" spans="13:17" x14ac:dyDescent="0.25">
      <c r="M33" t="e">
        <f ca="1"/>
        <v>#NAME?</v>
      </c>
      <c r="N33" s="214" t="e">
        <f ca="1"/>
        <v>#NAME?</v>
      </c>
      <c r="O33" s="7" t="e">
        <f ca="1"/>
        <v>#NAME?</v>
      </c>
      <c r="P33" s="7" t="e">
        <f ca="1"/>
        <v>#NAME?</v>
      </c>
      <c r="Q33" s="215" t="e">
        <f ca="1"/>
        <v>#NAME?</v>
      </c>
    </row>
    <row r="34" spans="13:17" x14ac:dyDescent="0.25">
      <c r="M34" t="e">
        <f ca="1"/>
        <v>#NAME?</v>
      </c>
      <c r="N34" s="214" t="e">
        <f ca="1"/>
        <v>#NAME?</v>
      </c>
      <c r="O34" s="7" t="e">
        <f ca="1"/>
        <v>#NAME?</v>
      </c>
      <c r="P34" s="7" t="e">
        <f ca="1"/>
        <v>#NAME?</v>
      </c>
      <c r="Q34" s="215" t="e">
        <f ca="1"/>
        <v>#NAME?</v>
      </c>
    </row>
    <row r="35" spans="13:17" x14ac:dyDescent="0.25">
      <c r="M35" t="e">
        <f ca="1"/>
        <v>#NAME?</v>
      </c>
      <c r="N35" s="112" t="e">
        <f ca="1"/>
        <v>#NAME?</v>
      </c>
      <c r="O35" s="354" t="e">
        <f ca="1"/>
        <v>#NAME?</v>
      </c>
      <c r="P35" s="354" t="e">
        <f ca="1"/>
        <v>#NAME?</v>
      </c>
      <c r="Q35" s="120" t="e">
        <f ca="1"/>
        <v>#NAME?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O29"/>
  <sheetViews>
    <sheetView zoomScaleNormal="100" workbookViewId="0"/>
  </sheetViews>
  <sheetFormatPr defaultRowHeight="15" x14ac:dyDescent="0.25"/>
  <cols>
    <col min="6" max="6" width="6.7109375" customWidth="1"/>
    <col min="12" max="12" width="6.7109375" customWidth="1"/>
    <col min="18" max="18" width="6.7109375" customWidth="1"/>
    <col min="24" max="24" width="6.7109375" customWidth="1"/>
  </cols>
  <sheetData>
    <row r="1" spans="1:41" x14ac:dyDescent="0.25">
      <c r="A1" s="1" t="s">
        <v>1029</v>
      </c>
      <c r="G1" t="s">
        <v>1030</v>
      </c>
      <c r="M1" t="s">
        <v>1031</v>
      </c>
      <c r="S1" t="s">
        <v>1032</v>
      </c>
      <c r="Y1" t="s">
        <v>1033</v>
      </c>
      <c r="AE1" t="s">
        <v>1109</v>
      </c>
    </row>
    <row r="3" spans="1:41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s="421" t="s">
        <v>1017</v>
      </c>
      <c r="H3" s="421" t="s">
        <v>1015</v>
      </c>
      <c r="I3" s="421" t="s">
        <v>997</v>
      </c>
      <c r="J3" s="421" t="s">
        <v>996</v>
      </c>
      <c r="K3" s="421" t="s">
        <v>1016</v>
      </c>
      <c r="M3" s="421" t="s">
        <v>1017</v>
      </c>
      <c r="N3" s="421" t="s">
        <v>1015</v>
      </c>
      <c r="O3" s="421" t="s">
        <v>997</v>
      </c>
      <c r="P3" s="421" t="s">
        <v>996</v>
      </c>
      <c r="Q3" s="421" t="s">
        <v>1016</v>
      </c>
      <c r="S3" s="421" t="s">
        <v>1017</v>
      </c>
      <c r="T3" s="421" t="s">
        <v>1015</v>
      </c>
      <c r="U3" s="421" t="s">
        <v>997</v>
      </c>
      <c r="V3" s="421" t="s">
        <v>996</v>
      </c>
      <c r="W3" s="421" t="s">
        <v>1016</v>
      </c>
      <c r="Y3" s="421" t="s">
        <v>1017</v>
      </c>
      <c r="Z3" s="421" t="s">
        <v>1015</v>
      </c>
      <c r="AA3" s="421" t="s">
        <v>997</v>
      </c>
      <c r="AB3" s="421" t="s">
        <v>996</v>
      </c>
      <c r="AC3" s="421" t="s">
        <v>1016</v>
      </c>
      <c r="AF3" s="421">
        <v>1</v>
      </c>
      <c r="AG3" s="421">
        <v>2</v>
      </c>
      <c r="AH3" s="421">
        <v>3</v>
      </c>
      <c r="AI3" s="421">
        <v>4</v>
      </c>
    </row>
    <row r="4" spans="1:41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s="421">
        <v>1</v>
      </c>
      <c r="H4" s="418" t="e">
        <f t="array" aca="1" ref="H4:K23" ca="1">ImputeFCS($B$4:$E$23,FALSE)</f>
        <v>#NAME?</v>
      </c>
      <c r="I4" s="387" t="e">
        <f ca="1"/>
        <v>#NAME?</v>
      </c>
      <c r="J4" s="387" t="e">
        <f ca="1"/>
        <v>#NAME?</v>
      </c>
      <c r="K4" s="419" t="e">
        <f ca="1"/>
        <v>#NAME?</v>
      </c>
      <c r="M4" s="421">
        <v>1</v>
      </c>
      <c r="N4" s="418" t="e">
        <f t="array" aca="1" ref="N4:Q23" ca="1">ImputeFCS($B$4:$E$23,FALSE)</f>
        <v>#NAME?</v>
      </c>
      <c r="O4" s="387" t="e">
        <f ca="1"/>
        <v>#NAME?</v>
      </c>
      <c r="P4" s="387" t="e">
        <f ca="1"/>
        <v>#NAME?</v>
      </c>
      <c r="Q4" s="419" t="e">
        <f ca="1"/>
        <v>#NAME?</v>
      </c>
      <c r="S4" s="421">
        <v>1</v>
      </c>
      <c r="T4" s="418" t="e">
        <f t="array" aca="1" ref="T4:W23" ca="1">ImputeFCS($B$4:$E$23,FALSE)</f>
        <v>#NAME?</v>
      </c>
      <c r="U4" s="387" t="e">
        <f ca="1"/>
        <v>#NAME?</v>
      </c>
      <c r="V4" s="387" t="e">
        <f ca="1"/>
        <v>#NAME?</v>
      </c>
      <c r="W4" s="419" t="e">
        <f ca="1"/>
        <v>#NAME?</v>
      </c>
      <c r="Y4" s="421">
        <v>1</v>
      </c>
      <c r="Z4" s="418" t="e">
        <f t="array" aca="1" ref="Z4:AC23" ca="1">ImputeFCS($B$4:$E$23,FALSE)</f>
        <v>#NAME?</v>
      </c>
      <c r="AA4" s="387" t="e">
        <f ca="1"/>
        <v>#NAME?</v>
      </c>
      <c r="AB4" s="387" t="e">
        <f ca="1"/>
        <v>#NAME?</v>
      </c>
      <c r="AC4" s="419" t="e">
        <f ca="1"/>
        <v>#NAME?</v>
      </c>
      <c r="AE4" t="s">
        <v>1015</v>
      </c>
      <c r="AF4" s="418">
        <v>16.133333333333333</v>
      </c>
      <c r="AG4" s="387">
        <v>15.997640649054858</v>
      </c>
      <c r="AH4" s="387">
        <v>16.320781196305198</v>
      </c>
      <c r="AI4" s="419">
        <v>16.688484761863826</v>
      </c>
    </row>
    <row r="5" spans="1:41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s="421">
        <f>G4+1</f>
        <v>2</v>
      </c>
      <c r="H5" s="214" t="e">
        <f ca="1"/>
        <v>#NAME?</v>
      </c>
      <c r="I5" s="7" t="e">
        <f ca="1"/>
        <v>#NAME?</v>
      </c>
      <c r="J5" s="7" t="e">
        <f ca="1"/>
        <v>#NAME?</v>
      </c>
      <c r="K5" s="215" t="e">
        <f ca="1"/>
        <v>#NAME?</v>
      </c>
      <c r="M5" s="421">
        <f>M4+1</f>
        <v>2</v>
      </c>
      <c r="N5" s="214" t="e">
        <f ca="1"/>
        <v>#NAME?</v>
      </c>
      <c r="O5" s="7" t="e">
        <f ca="1"/>
        <v>#NAME?</v>
      </c>
      <c r="P5" s="7" t="e">
        <f ca="1"/>
        <v>#NAME?</v>
      </c>
      <c r="Q5" s="215" t="e">
        <f ca="1"/>
        <v>#NAME?</v>
      </c>
      <c r="S5" s="421">
        <f>S4+1</f>
        <v>2</v>
      </c>
      <c r="T5" s="214" t="e">
        <f ca="1"/>
        <v>#NAME?</v>
      </c>
      <c r="U5" s="7" t="e">
        <f ca="1"/>
        <v>#NAME?</v>
      </c>
      <c r="V5" s="7" t="e">
        <f ca="1"/>
        <v>#NAME?</v>
      </c>
      <c r="W5" s="215" t="e">
        <f ca="1"/>
        <v>#NAME?</v>
      </c>
      <c r="Y5" s="421">
        <f>Y4+1</f>
        <v>2</v>
      </c>
      <c r="Z5" s="214" t="e">
        <f ca="1"/>
        <v>#NAME?</v>
      </c>
      <c r="AA5" s="7" t="e">
        <f ca="1"/>
        <v>#NAME?</v>
      </c>
      <c r="AB5" s="7" t="e">
        <f ca="1"/>
        <v>#NAME?</v>
      </c>
      <c r="AC5" s="215" t="e">
        <f ca="1"/>
        <v>#NAME?</v>
      </c>
      <c r="AE5" t="s">
        <v>997</v>
      </c>
      <c r="AF5" s="214">
        <v>34.411764705882355</v>
      </c>
      <c r="AG5" s="7">
        <v>32.976957834614097</v>
      </c>
      <c r="AH5" s="7">
        <v>32.321278230945552</v>
      </c>
      <c r="AI5" s="215">
        <v>32.868927770244753</v>
      </c>
    </row>
    <row r="6" spans="1:41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s="421">
        <f t="shared" ref="G6:G23" si="1">G5+1</f>
        <v>3</v>
      </c>
      <c r="H6" s="214" t="e">
        <f ca="1"/>
        <v>#NAME?</v>
      </c>
      <c r="I6" s="7" t="e">
        <f ca="1"/>
        <v>#NAME?</v>
      </c>
      <c r="J6" s="7" t="e">
        <f ca="1"/>
        <v>#NAME?</v>
      </c>
      <c r="K6" s="215" t="e">
        <f ca="1"/>
        <v>#NAME?</v>
      </c>
      <c r="M6" s="421">
        <f t="shared" ref="M6:M23" si="2">M5+1</f>
        <v>3</v>
      </c>
      <c r="N6" s="214" t="e">
        <f ca="1"/>
        <v>#NAME?</v>
      </c>
      <c r="O6" s="7" t="e">
        <f ca="1"/>
        <v>#NAME?</v>
      </c>
      <c r="P6" s="7" t="e">
        <f ca="1"/>
        <v>#NAME?</v>
      </c>
      <c r="Q6" s="215" t="e">
        <f ca="1"/>
        <v>#NAME?</v>
      </c>
      <c r="S6" s="421">
        <f t="shared" ref="S6:S23" si="3">S5+1</f>
        <v>3</v>
      </c>
      <c r="T6" s="214" t="e">
        <f ca="1"/>
        <v>#NAME?</v>
      </c>
      <c r="U6" s="7" t="e">
        <f ca="1"/>
        <v>#NAME?</v>
      </c>
      <c r="V6" s="7" t="e">
        <f ca="1"/>
        <v>#NAME?</v>
      </c>
      <c r="W6" s="215" t="e">
        <f ca="1"/>
        <v>#NAME?</v>
      </c>
      <c r="Y6" s="421">
        <f t="shared" ref="Y6:Y23" si="4">Y5+1</f>
        <v>3</v>
      </c>
      <c r="Z6" s="214" t="e">
        <f ca="1"/>
        <v>#NAME?</v>
      </c>
      <c r="AA6" s="7" t="e">
        <f ca="1"/>
        <v>#NAME?</v>
      </c>
      <c r="AB6" s="7" t="e">
        <f ca="1"/>
        <v>#NAME?</v>
      </c>
      <c r="AC6" s="215" t="e">
        <f ca="1"/>
        <v>#NAME?</v>
      </c>
      <c r="AE6" t="s">
        <v>996</v>
      </c>
      <c r="AF6" s="214">
        <v>21.0625</v>
      </c>
      <c r="AG6" s="7">
        <v>21.454243790287023</v>
      </c>
      <c r="AH6" s="7">
        <v>21.133421896796548</v>
      </c>
      <c r="AI6" s="215">
        <v>21.215629585079949</v>
      </c>
    </row>
    <row r="7" spans="1:41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s="421">
        <f t="shared" si="1"/>
        <v>4</v>
      </c>
      <c r="H7" s="214" t="e">
        <f ca="1"/>
        <v>#NAME?</v>
      </c>
      <c r="I7" s="7" t="e">
        <f ca="1"/>
        <v>#NAME?</v>
      </c>
      <c r="J7" s="7" t="e">
        <f ca="1"/>
        <v>#NAME?</v>
      </c>
      <c r="K7" s="215" t="e">
        <f ca="1"/>
        <v>#NAME?</v>
      </c>
      <c r="M7" s="421">
        <f t="shared" si="2"/>
        <v>4</v>
      </c>
      <c r="N7" s="214" t="e">
        <f ca="1"/>
        <v>#NAME?</v>
      </c>
      <c r="O7" s="7" t="e">
        <f ca="1"/>
        <v>#NAME?</v>
      </c>
      <c r="P7" s="7" t="e">
        <f ca="1"/>
        <v>#NAME?</v>
      </c>
      <c r="Q7" s="215" t="e">
        <f ca="1"/>
        <v>#NAME?</v>
      </c>
      <c r="S7" s="421">
        <f t="shared" si="3"/>
        <v>4</v>
      </c>
      <c r="T7" s="214" t="e">
        <f ca="1"/>
        <v>#NAME?</v>
      </c>
      <c r="U7" s="7" t="e">
        <f ca="1"/>
        <v>#NAME?</v>
      </c>
      <c r="V7" s="7" t="e">
        <f ca="1"/>
        <v>#NAME?</v>
      </c>
      <c r="W7" s="215" t="e">
        <f ca="1"/>
        <v>#NAME?</v>
      </c>
      <c r="Y7" s="421">
        <f t="shared" si="4"/>
        <v>4</v>
      </c>
      <c r="Z7" s="214" t="e">
        <f ca="1"/>
        <v>#NAME?</v>
      </c>
      <c r="AA7" s="7" t="e">
        <f ca="1"/>
        <v>#NAME?</v>
      </c>
      <c r="AB7" s="7" t="e">
        <f ca="1"/>
        <v>#NAME?</v>
      </c>
      <c r="AC7" s="215" t="e">
        <f ca="1"/>
        <v>#NAME?</v>
      </c>
      <c r="AE7" t="s">
        <v>1016</v>
      </c>
      <c r="AF7" s="214">
        <v>47.722222222222221</v>
      </c>
      <c r="AG7" s="7">
        <v>46.847376285936392</v>
      </c>
      <c r="AH7" s="7">
        <v>47.28341653710811</v>
      </c>
      <c r="AI7" s="215">
        <v>47.127129371373812</v>
      </c>
    </row>
    <row r="8" spans="1:41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G8" s="421">
        <f t="shared" si="1"/>
        <v>5</v>
      </c>
      <c r="H8" s="214" t="e">
        <f ca="1"/>
        <v>#NAME?</v>
      </c>
      <c r="I8" s="7" t="e">
        <f ca="1"/>
        <v>#NAME?</v>
      </c>
      <c r="J8" s="7" t="e">
        <f ca="1"/>
        <v>#NAME?</v>
      </c>
      <c r="K8" s="215" t="e">
        <f ca="1"/>
        <v>#NAME?</v>
      </c>
      <c r="M8" s="421">
        <f t="shared" si="2"/>
        <v>5</v>
      </c>
      <c r="N8" s="214" t="e">
        <f ca="1"/>
        <v>#NAME?</v>
      </c>
      <c r="O8" s="7" t="e">
        <f ca="1"/>
        <v>#NAME?</v>
      </c>
      <c r="P8" s="7" t="e">
        <f ca="1"/>
        <v>#NAME?</v>
      </c>
      <c r="Q8" s="215" t="e">
        <f ca="1"/>
        <v>#NAME?</v>
      </c>
      <c r="S8" s="421">
        <f t="shared" si="3"/>
        <v>5</v>
      </c>
      <c r="T8" s="214" t="e">
        <f ca="1"/>
        <v>#NAME?</v>
      </c>
      <c r="U8" s="7" t="e">
        <f ca="1"/>
        <v>#NAME?</v>
      </c>
      <c r="V8" s="7" t="e">
        <f ca="1"/>
        <v>#NAME?</v>
      </c>
      <c r="W8" s="215" t="e">
        <f ca="1"/>
        <v>#NAME?</v>
      </c>
      <c r="Y8" s="421">
        <f t="shared" si="4"/>
        <v>5</v>
      </c>
      <c r="Z8" s="214" t="e">
        <f ca="1"/>
        <v>#NAME?</v>
      </c>
      <c r="AA8" s="7" t="e">
        <f ca="1"/>
        <v>#NAME?</v>
      </c>
      <c r="AB8" s="7" t="e">
        <f ca="1"/>
        <v>#NAME?</v>
      </c>
      <c r="AC8" s="215" t="e">
        <f ca="1"/>
        <v>#NAME?</v>
      </c>
      <c r="AE8" t="s">
        <v>1015</v>
      </c>
      <c r="AF8" s="418">
        <v>4.7789219744724045</v>
      </c>
      <c r="AG8" s="387">
        <v>4.3472416851914204</v>
      </c>
      <c r="AH8" s="387">
        <v>4.3056843931223581</v>
      </c>
      <c r="AI8" s="419">
        <v>4.2375486357951972</v>
      </c>
    </row>
    <row r="9" spans="1:41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  <c r="G9" s="421">
        <f t="shared" si="1"/>
        <v>6</v>
      </c>
      <c r="H9" s="214" t="e">
        <f ca="1"/>
        <v>#NAME?</v>
      </c>
      <c r="I9" s="7" t="e">
        <f ca="1"/>
        <v>#NAME?</v>
      </c>
      <c r="J9" s="7" t="e">
        <f ca="1"/>
        <v>#NAME?</v>
      </c>
      <c r="K9" s="215" t="e">
        <f ca="1"/>
        <v>#NAME?</v>
      </c>
      <c r="M9" s="421">
        <f t="shared" si="2"/>
        <v>6</v>
      </c>
      <c r="N9" s="214" t="e">
        <f ca="1"/>
        <v>#NAME?</v>
      </c>
      <c r="O9" s="7" t="e">
        <f ca="1"/>
        <v>#NAME?</v>
      </c>
      <c r="P9" s="7" t="e">
        <f ca="1"/>
        <v>#NAME?</v>
      </c>
      <c r="Q9" s="215" t="e">
        <f ca="1"/>
        <v>#NAME?</v>
      </c>
      <c r="S9" s="421">
        <f t="shared" si="3"/>
        <v>6</v>
      </c>
      <c r="T9" s="214" t="e">
        <f ca="1"/>
        <v>#NAME?</v>
      </c>
      <c r="U9" s="7" t="e">
        <f ca="1"/>
        <v>#NAME?</v>
      </c>
      <c r="V9" s="7" t="e">
        <f ca="1"/>
        <v>#NAME?</v>
      </c>
      <c r="W9" s="215" t="e">
        <f ca="1"/>
        <v>#NAME?</v>
      </c>
      <c r="Y9" s="421">
        <f t="shared" si="4"/>
        <v>6</v>
      </c>
      <c r="Z9" s="214" t="e">
        <f ca="1"/>
        <v>#NAME?</v>
      </c>
      <c r="AA9" s="7" t="e">
        <f ca="1"/>
        <v>#NAME?</v>
      </c>
      <c r="AB9" s="7" t="e">
        <f ca="1"/>
        <v>#NAME?</v>
      </c>
      <c r="AC9" s="215" t="e">
        <f ca="1"/>
        <v>#NAME?</v>
      </c>
      <c r="AE9" t="s">
        <v>997</v>
      </c>
      <c r="AF9" s="214">
        <v>10.79964596369606</v>
      </c>
      <c r="AG9" s="7">
        <v>10.903674618067848</v>
      </c>
      <c r="AH9" s="7">
        <v>11.568321126873629</v>
      </c>
      <c r="AI9" s="215">
        <v>10.712799484477767</v>
      </c>
    </row>
    <row r="10" spans="1:41" x14ac:dyDescent="0.25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G10" s="421">
        <f t="shared" si="1"/>
        <v>7</v>
      </c>
      <c r="H10" s="214" t="e">
        <f ca="1"/>
        <v>#NAME?</v>
      </c>
      <c r="I10" s="7" t="e">
        <f ca="1"/>
        <v>#NAME?</v>
      </c>
      <c r="J10" s="7" t="e">
        <f ca="1"/>
        <v>#NAME?</v>
      </c>
      <c r="K10" s="215" t="e">
        <f ca="1"/>
        <v>#NAME?</v>
      </c>
      <c r="M10" s="421">
        <f t="shared" si="2"/>
        <v>7</v>
      </c>
      <c r="N10" s="214" t="e">
        <f ca="1"/>
        <v>#NAME?</v>
      </c>
      <c r="O10" s="7" t="e">
        <f ca="1"/>
        <v>#NAME?</v>
      </c>
      <c r="P10" s="7" t="e">
        <f ca="1"/>
        <v>#NAME?</v>
      </c>
      <c r="Q10" s="215" t="e">
        <f ca="1"/>
        <v>#NAME?</v>
      </c>
      <c r="S10" s="421">
        <f t="shared" si="3"/>
        <v>7</v>
      </c>
      <c r="T10" s="214" t="e">
        <f ca="1"/>
        <v>#NAME?</v>
      </c>
      <c r="U10" s="7" t="e">
        <f ca="1"/>
        <v>#NAME?</v>
      </c>
      <c r="V10" s="7" t="e">
        <f ca="1"/>
        <v>#NAME?</v>
      </c>
      <c r="W10" s="215" t="e">
        <f ca="1"/>
        <v>#NAME?</v>
      </c>
      <c r="Y10" s="421">
        <f t="shared" si="4"/>
        <v>7</v>
      </c>
      <c r="Z10" s="214" t="e">
        <f ca="1"/>
        <v>#NAME?</v>
      </c>
      <c r="AA10" s="7" t="e">
        <f ca="1"/>
        <v>#NAME?</v>
      </c>
      <c r="AB10" s="7" t="e">
        <f ca="1"/>
        <v>#NAME?</v>
      </c>
      <c r="AC10" s="215" t="e">
        <f ca="1"/>
        <v>#NAME?</v>
      </c>
      <c r="AE10" t="s">
        <v>996</v>
      </c>
      <c r="AF10" s="214">
        <v>3.2755406678389241</v>
      </c>
      <c r="AG10" s="7">
        <v>3.1058808736308059</v>
      </c>
      <c r="AH10" s="7">
        <v>3.5806999172823515</v>
      </c>
      <c r="AI10" s="215">
        <v>3.0563814299547247</v>
      </c>
    </row>
    <row r="11" spans="1:41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  <c r="G11" s="421">
        <f t="shared" si="1"/>
        <v>8</v>
      </c>
      <c r="H11" s="214" t="e">
        <f ca="1"/>
        <v>#NAME?</v>
      </c>
      <c r="I11" s="7" t="e">
        <f ca="1"/>
        <v>#NAME?</v>
      </c>
      <c r="J11" s="7" t="e">
        <f ca="1"/>
        <v>#NAME?</v>
      </c>
      <c r="K11" s="215" t="e">
        <f ca="1"/>
        <v>#NAME?</v>
      </c>
      <c r="M11" s="421">
        <f t="shared" si="2"/>
        <v>8</v>
      </c>
      <c r="N11" s="214" t="e">
        <f ca="1"/>
        <v>#NAME?</v>
      </c>
      <c r="O11" s="7" t="e">
        <f ca="1"/>
        <v>#NAME?</v>
      </c>
      <c r="P11" s="7" t="e">
        <f ca="1"/>
        <v>#NAME?</v>
      </c>
      <c r="Q11" s="215" t="e">
        <f ca="1"/>
        <v>#NAME?</v>
      </c>
      <c r="S11" s="421">
        <f t="shared" si="3"/>
        <v>8</v>
      </c>
      <c r="T11" s="214" t="e">
        <f ca="1"/>
        <v>#NAME?</v>
      </c>
      <c r="U11" s="7" t="e">
        <f ca="1"/>
        <v>#NAME?</v>
      </c>
      <c r="V11" s="7" t="e">
        <f ca="1"/>
        <v>#NAME?</v>
      </c>
      <c r="W11" s="215" t="e">
        <f ca="1"/>
        <v>#NAME?</v>
      </c>
      <c r="Y11" s="421">
        <f t="shared" si="4"/>
        <v>8</v>
      </c>
      <c r="Z11" s="214" t="e">
        <f ca="1"/>
        <v>#NAME?</v>
      </c>
      <c r="AA11" s="7" t="e">
        <f ca="1"/>
        <v>#NAME?</v>
      </c>
      <c r="AB11" s="7" t="e">
        <f ca="1"/>
        <v>#NAME?</v>
      </c>
      <c r="AC11" s="215" t="e">
        <f ca="1"/>
        <v>#NAME?</v>
      </c>
      <c r="AE11" t="s">
        <v>1016</v>
      </c>
      <c r="AF11" s="112">
        <v>7.6297063050063398</v>
      </c>
      <c r="AG11" s="354">
        <v>7.7030074550478851</v>
      </c>
      <c r="AH11" s="354">
        <v>7.3622212897393089</v>
      </c>
      <c r="AI11" s="120">
        <v>7.4761378115790551</v>
      </c>
    </row>
    <row r="12" spans="1:41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G12" s="421">
        <f t="shared" si="1"/>
        <v>9</v>
      </c>
      <c r="H12" s="214" t="e">
        <f ca="1"/>
        <v>#NAME?</v>
      </c>
      <c r="I12" s="7" t="e">
        <f ca="1"/>
        <v>#NAME?</v>
      </c>
      <c r="J12" s="7" t="e">
        <f ca="1"/>
        <v>#NAME?</v>
      </c>
      <c r="K12" s="215" t="e">
        <f ca="1"/>
        <v>#NAME?</v>
      </c>
      <c r="M12" s="421">
        <f t="shared" si="2"/>
        <v>9</v>
      </c>
      <c r="N12" s="214" t="e">
        <f ca="1"/>
        <v>#NAME?</v>
      </c>
      <c r="O12" s="7" t="e">
        <f ca="1"/>
        <v>#NAME?</v>
      </c>
      <c r="P12" s="7" t="e">
        <f ca="1"/>
        <v>#NAME?</v>
      </c>
      <c r="Q12" s="215" t="e">
        <f ca="1"/>
        <v>#NAME?</v>
      </c>
      <c r="S12" s="421">
        <f t="shared" si="3"/>
        <v>9</v>
      </c>
      <c r="T12" s="214" t="e">
        <f ca="1"/>
        <v>#NAME?</v>
      </c>
      <c r="U12" s="7" t="e">
        <f ca="1"/>
        <v>#NAME?</v>
      </c>
      <c r="V12" s="7" t="e">
        <f ca="1"/>
        <v>#NAME?</v>
      </c>
      <c r="W12" s="215" t="e">
        <f ca="1"/>
        <v>#NAME?</v>
      </c>
      <c r="Y12" s="421">
        <f t="shared" si="4"/>
        <v>9</v>
      </c>
      <c r="Z12" s="214" t="e">
        <f ca="1"/>
        <v>#NAME?</v>
      </c>
      <c r="AA12" s="7" t="e">
        <f ca="1"/>
        <v>#NAME?</v>
      </c>
      <c r="AB12" s="7" t="e">
        <f ca="1"/>
        <v>#NAME?</v>
      </c>
      <c r="AC12" s="215" t="e">
        <f ca="1"/>
        <v>#NAME?</v>
      </c>
    </row>
    <row r="13" spans="1:41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s="421">
        <f t="shared" si="1"/>
        <v>10</v>
      </c>
      <c r="H13" s="214" t="e">
        <f ca="1"/>
        <v>#NAME?</v>
      </c>
      <c r="I13" s="7" t="e">
        <f ca="1"/>
        <v>#NAME?</v>
      </c>
      <c r="J13" s="7" t="e">
        <f ca="1"/>
        <v>#NAME?</v>
      </c>
      <c r="K13" s="215" t="e">
        <f ca="1"/>
        <v>#NAME?</v>
      </c>
      <c r="M13" s="421">
        <f t="shared" si="2"/>
        <v>10</v>
      </c>
      <c r="N13" s="214" t="e">
        <f ca="1"/>
        <v>#NAME?</v>
      </c>
      <c r="O13" s="7" t="e">
        <f ca="1"/>
        <v>#NAME?</v>
      </c>
      <c r="P13" s="7" t="e">
        <f ca="1"/>
        <v>#NAME?</v>
      </c>
      <c r="Q13" s="215" t="e">
        <f ca="1"/>
        <v>#NAME?</v>
      </c>
      <c r="S13" s="421">
        <f t="shared" si="3"/>
        <v>10</v>
      </c>
      <c r="T13" s="214" t="e">
        <f ca="1"/>
        <v>#NAME?</v>
      </c>
      <c r="U13" s="7" t="e">
        <f ca="1"/>
        <v>#NAME?</v>
      </c>
      <c r="V13" s="7" t="e">
        <f ca="1"/>
        <v>#NAME?</v>
      </c>
      <c r="W13" s="215" t="e">
        <f ca="1"/>
        <v>#NAME?</v>
      </c>
      <c r="Y13" s="421">
        <f t="shared" si="4"/>
        <v>10</v>
      </c>
      <c r="Z13" s="214" t="e">
        <f ca="1"/>
        <v>#NAME?</v>
      </c>
      <c r="AA13" s="7" t="e">
        <f ca="1"/>
        <v>#NAME?</v>
      </c>
      <c r="AB13" s="7" t="e">
        <f ca="1"/>
        <v>#NAME?</v>
      </c>
      <c r="AC13" s="215" t="e">
        <f ca="1"/>
        <v>#NAME?</v>
      </c>
      <c r="AE13" t="s">
        <v>1042</v>
      </c>
    </row>
    <row r="14" spans="1:41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s="421">
        <f t="shared" si="1"/>
        <v>11</v>
      </c>
      <c r="H14" s="214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  <c r="M14" s="421">
        <f t="shared" si="2"/>
        <v>11</v>
      </c>
      <c r="N14" s="214" t="e">
        <f ca="1"/>
        <v>#NAME?</v>
      </c>
      <c r="O14" s="7" t="e">
        <f ca="1"/>
        <v>#NAME?</v>
      </c>
      <c r="P14" s="7" t="e">
        <f ca="1"/>
        <v>#NAME?</v>
      </c>
      <c r="Q14" s="215" t="e">
        <f ca="1"/>
        <v>#NAME?</v>
      </c>
      <c r="S14" s="421">
        <f t="shared" si="3"/>
        <v>11</v>
      </c>
      <c r="T14" s="214" t="e">
        <f ca="1"/>
        <v>#NAME?</v>
      </c>
      <c r="U14" s="7" t="e">
        <f ca="1"/>
        <v>#NAME?</v>
      </c>
      <c r="V14" s="7" t="e">
        <f ca="1"/>
        <v>#NAME?</v>
      </c>
      <c r="W14" s="215" t="e">
        <f ca="1"/>
        <v>#NAME?</v>
      </c>
      <c r="Y14" s="421">
        <f t="shared" si="4"/>
        <v>11</v>
      </c>
      <c r="Z14" s="214" t="e">
        <f ca="1"/>
        <v>#NAME?</v>
      </c>
      <c r="AA14" s="7" t="e">
        <f ca="1"/>
        <v>#NAME?</v>
      </c>
      <c r="AB14" s="7" t="e">
        <f ca="1"/>
        <v>#NAME?</v>
      </c>
      <c r="AC14" s="215" t="e">
        <f ca="1"/>
        <v>#NAME?</v>
      </c>
    </row>
    <row r="15" spans="1:41" x14ac:dyDescent="0.25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G15" s="421">
        <f t="shared" si="1"/>
        <v>12</v>
      </c>
      <c r="H15" s="214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  <c r="M15" s="421">
        <f t="shared" si="2"/>
        <v>12</v>
      </c>
      <c r="N15" s="214" t="e">
        <f ca="1"/>
        <v>#NAME?</v>
      </c>
      <c r="O15" s="7" t="e">
        <f ca="1"/>
        <v>#NAME?</v>
      </c>
      <c r="P15" s="7" t="e">
        <f ca="1"/>
        <v>#NAME?</v>
      </c>
      <c r="Q15" s="215" t="e">
        <f ca="1"/>
        <v>#NAME?</v>
      </c>
      <c r="S15" s="421">
        <f t="shared" si="3"/>
        <v>12</v>
      </c>
      <c r="T15" s="214" t="e">
        <f ca="1"/>
        <v>#NAME?</v>
      </c>
      <c r="U15" s="7" t="e">
        <f ca="1"/>
        <v>#NAME?</v>
      </c>
      <c r="V15" s="7" t="e">
        <f ca="1"/>
        <v>#NAME?</v>
      </c>
      <c r="W15" s="215" t="e">
        <f ca="1"/>
        <v>#NAME?</v>
      </c>
      <c r="Y15" s="421">
        <f t="shared" si="4"/>
        <v>12</v>
      </c>
      <c r="Z15" s="214" t="e">
        <f ca="1"/>
        <v>#NAME?</v>
      </c>
      <c r="AA15" s="7" t="e">
        <f ca="1"/>
        <v>#NAME?</v>
      </c>
      <c r="AB15" s="7" t="e">
        <f ca="1"/>
        <v>#NAME?</v>
      </c>
      <c r="AC15" s="215" t="e">
        <f ca="1"/>
        <v>#NAME?</v>
      </c>
      <c r="AE15" t="e">
        <f t="array" aca="1" ref="AE15:AO19" ca="1">ImputeVar(AE4:AI11,20,TRUE)</f>
        <v>#NAME?</v>
      </c>
      <c r="AF15" s="421" t="e">
        <f ca="1"/>
        <v>#NAME?</v>
      </c>
      <c r="AG15" s="421" t="e">
        <f ca="1"/>
        <v>#NAME?</v>
      </c>
      <c r="AH15" s="421" t="e">
        <f ca="1"/>
        <v>#NAME?</v>
      </c>
      <c r="AI15" s="421" t="e">
        <f ca="1"/>
        <v>#NAME?</v>
      </c>
      <c r="AJ15" s="421" t="e">
        <f ca="1"/>
        <v>#NAME?</v>
      </c>
      <c r="AK15" s="421" t="e">
        <f ca="1"/>
        <v>#NAME?</v>
      </c>
      <c r="AL15" s="421" t="e">
        <f ca="1"/>
        <v>#NAME?</v>
      </c>
      <c r="AM15" s="421" t="e">
        <f ca="1"/>
        <v>#NAME?</v>
      </c>
      <c r="AN15" s="421" t="e">
        <f ca="1"/>
        <v>#NAME?</v>
      </c>
      <c r="AO15" s="421" t="e">
        <f ca="1"/>
        <v>#NAME?</v>
      </c>
    </row>
    <row r="16" spans="1:41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s="421">
        <f t="shared" si="1"/>
        <v>13</v>
      </c>
      <c r="H16" s="214" t="e">
        <f ca="1"/>
        <v>#NAME?</v>
      </c>
      <c r="I16" s="7" t="e">
        <f ca="1"/>
        <v>#NAME?</v>
      </c>
      <c r="J16" s="7" t="e">
        <f ca="1"/>
        <v>#NAME?</v>
      </c>
      <c r="K16" s="215" t="e">
        <f ca="1"/>
        <v>#NAME?</v>
      </c>
      <c r="M16" s="421">
        <f t="shared" si="2"/>
        <v>13</v>
      </c>
      <c r="N16" s="214" t="e">
        <f ca="1"/>
        <v>#NAME?</v>
      </c>
      <c r="O16" s="7" t="e">
        <f ca="1"/>
        <v>#NAME?</v>
      </c>
      <c r="P16" s="7" t="e">
        <f ca="1"/>
        <v>#NAME?</v>
      </c>
      <c r="Q16" s="215" t="e">
        <f ca="1"/>
        <v>#NAME?</v>
      </c>
      <c r="S16" s="421">
        <f t="shared" si="3"/>
        <v>13</v>
      </c>
      <c r="T16" s="214" t="e">
        <f ca="1"/>
        <v>#NAME?</v>
      </c>
      <c r="U16" s="7" t="e">
        <f ca="1"/>
        <v>#NAME?</v>
      </c>
      <c r="V16" s="7" t="e">
        <f ca="1"/>
        <v>#NAME?</v>
      </c>
      <c r="W16" s="215" t="e">
        <f ca="1"/>
        <v>#NAME?</v>
      </c>
      <c r="Y16" s="421">
        <f t="shared" si="4"/>
        <v>13</v>
      </c>
      <c r="Z16" s="214" t="e">
        <f ca="1"/>
        <v>#NAME?</v>
      </c>
      <c r="AA16" s="7" t="e">
        <f ca="1"/>
        <v>#NAME?</v>
      </c>
      <c r="AB16" s="7" t="e">
        <f ca="1"/>
        <v>#NAME?</v>
      </c>
      <c r="AC16" s="215" t="e">
        <f ca="1"/>
        <v>#NAME?</v>
      </c>
      <c r="AE16" t="e">
        <f ca="1"/>
        <v>#NAME?</v>
      </c>
      <c r="AF16" s="418" t="e">
        <f ca="1"/>
        <v>#NAME?</v>
      </c>
      <c r="AG16" s="387" t="e">
        <f ca="1"/>
        <v>#NAME?</v>
      </c>
      <c r="AH16" s="387" t="e">
        <f ca="1"/>
        <v>#NAME?</v>
      </c>
      <c r="AI16" s="387" t="e">
        <f ca="1"/>
        <v>#NAME?</v>
      </c>
      <c r="AJ16" s="387" t="e">
        <f ca="1"/>
        <v>#NAME?</v>
      </c>
      <c r="AK16" s="387" t="e">
        <f ca="1"/>
        <v>#NAME?</v>
      </c>
      <c r="AL16" s="387" t="e">
        <f ca="1"/>
        <v>#NAME?</v>
      </c>
      <c r="AM16" s="387" t="e">
        <f ca="1"/>
        <v>#NAME?</v>
      </c>
      <c r="AN16" s="387" t="e">
        <f ca="1"/>
        <v>#NAME?</v>
      </c>
      <c r="AO16" s="419" t="e">
        <f ca="1"/>
        <v>#NAME?</v>
      </c>
    </row>
    <row r="17" spans="1:41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  <c r="G17" s="421">
        <f t="shared" si="1"/>
        <v>14</v>
      </c>
      <c r="H17" s="214" t="e">
        <f ca="1"/>
        <v>#NAME?</v>
      </c>
      <c r="I17" s="7" t="e">
        <f ca="1"/>
        <v>#NAME?</v>
      </c>
      <c r="J17" s="7" t="e">
        <f ca="1"/>
        <v>#NAME?</v>
      </c>
      <c r="K17" s="215" t="e">
        <f ca="1"/>
        <v>#NAME?</v>
      </c>
      <c r="M17" s="421">
        <f t="shared" si="2"/>
        <v>14</v>
      </c>
      <c r="N17" s="214" t="e">
        <f ca="1"/>
        <v>#NAME?</v>
      </c>
      <c r="O17" s="7" t="e">
        <f ca="1"/>
        <v>#NAME?</v>
      </c>
      <c r="P17" s="7" t="e">
        <f ca="1"/>
        <v>#NAME?</v>
      </c>
      <c r="Q17" s="215" t="e">
        <f ca="1"/>
        <v>#NAME?</v>
      </c>
      <c r="S17" s="421">
        <f t="shared" si="3"/>
        <v>14</v>
      </c>
      <c r="T17" s="214" t="e">
        <f ca="1"/>
        <v>#NAME?</v>
      </c>
      <c r="U17" s="7" t="e">
        <f ca="1"/>
        <v>#NAME?</v>
      </c>
      <c r="V17" s="7" t="e">
        <f ca="1"/>
        <v>#NAME?</v>
      </c>
      <c r="W17" s="215" t="e">
        <f ca="1"/>
        <v>#NAME?</v>
      </c>
      <c r="Y17" s="421">
        <f t="shared" si="4"/>
        <v>14</v>
      </c>
      <c r="Z17" s="214" t="e">
        <f ca="1"/>
        <v>#NAME?</v>
      </c>
      <c r="AA17" s="7" t="e">
        <f ca="1"/>
        <v>#NAME?</v>
      </c>
      <c r="AB17" s="7" t="e">
        <f ca="1"/>
        <v>#NAME?</v>
      </c>
      <c r="AC17" s="215" t="e">
        <f ca="1"/>
        <v>#NAME?</v>
      </c>
      <c r="AE17" t="e">
        <f ca="1"/>
        <v>#NAME?</v>
      </c>
      <c r="AF17" s="214" t="e">
        <f ca="1"/>
        <v>#NAME?</v>
      </c>
      <c r="AG17" s="7" t="e">
        <f ca="1"/>
        <v>#NAME?</v>
      </c>
      <c r="AH17" s="7" t="e">
        <f ca="1"/>
        <v>#NAME?</v>
      </c>
      <c r="AI17" s="7" t="e">
        <f ca="1"/>
        <v>#NAME?</v>
      </c>
      <c r="AJ17" s="7" t="e">
        <f ca="1"/>
        <v>#NAME?</v>
      </c>
      <c r="AK17" s="7" t="e">
        <f ca="1"/>
        <v>#NAME?</v>
      </c>
      <c r="AL17" s="7" t="e">
        <f ca="1"/>
        <v>#NAME?</v>
      </c>
      <c r="AM17" s="7" t="e">
        <f ca="1"/>
        <v>#NAME?</v>
      </c>
      <c r="AN17" s="7" t="e">
        <f ca="1"/>
        <v>#NAME?</v>
      </c>
      <c r="AO17" s="215" t="e">
        <f ca="1"/>
        <v>#NAME?</v>
      </c>
    </row>
    <row r="18" spans="1:41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421">
        <f t="shared" si="1"/>
        <v>15</v>
      </c>
      <c r="H18" s="214" t="e">
        <f ca="1"/>
        <v>#NAME?</v>
      </c>
      <c r="I18" s="7" t="e">
        <f ca="1"/>
        <v>#NAME?</v>
      </c>
      <c r="J18" s="7" t="e">
        <f ca="1"/>
        <v>#NAME?</v>
      </c>
      <c r="K18" s="215" t="e">
        <f ca="1"/>
        <v>#NAME?</v>
      </c>
      <c r="M18" s="421">
        <f t="shared" si="2"/>
        <v>15</v>
      </c>
      <c r="N18" s="214" t="e">
        <f ca="1"/>
        <v>#NAME?</v>
      </c>
      <c r="O18" s="7" t="e">
        <f ca="1"/>
        <v>#NAME?</v>
      </c>
      <c r="P18" s="7" t="e">
        <f ca="1"/>
        <v>#NAME?</v>
      </c>
      <c r="Q18" s="215" t="e">
        <f ca="1"/>
        <v>#NAME?</v>
      </c>
      <c r="S18" s="421">
        <f t="shared" si="3"/>
        <v>15</v>
      </c>
      <c r="T18" s="214" t="e">
        <f ca="1"/>
        <v>#NAME?</v>
      </c>
      <c r="U18" s="7" t="e">
        <f ca="1"/>
        <v>#NAME?</v>
      </c>
      <c r="V18" s="7" t="e">
        <f ca="1"/>
        <v>#NAME?</v>
      </c>
      <c r="W18" s="215" t="e">
        <f ca="1"/>
        <v>#NAME?</v>
      </c>
      <c r="Y18" s="421">
        <f t="shared" si="4"/>
        <v>15</v>
      </c>
      <c r="Z18" s="214" t="e">
        <f ca="1"/>
        <v>#NAME?</v>
      </c>
      <c r="AA18" s="7" t="e">
        <f ca="1"/>
        <v>#NAME?</v>
      </c>
      <c r="AB18" s="7" t="e">
        <f ca="1"/>
        <v>#NAME?</v>
      </c>
      <c r="AC18" s="215" t="e">
        <f ca="1"/>
        <v>#NAME?</v>
      </c>
      <c r="AE18" t="e">
        <f ca="1"/>
        <v>#NAME?</v>
      </c>
      <c r="AF18" s="214" t="e">
        <f ca="1"/>
        <v>#NAME?</v>
      </c>
      <c r="AG18" s="7" t="e">
        <f ca="1"/>
        <v>#NAME?</v>
      </c>
      <c r="AH18" s="7" t="e">
        <f ca="1"/>
        <v>#NAME?</v>
      </c>
      <c r="AI18" s="7" t="e">
        <f ca="1"/>
        <v>#NAME?</v>
      </c>
      <c r="AJ18" s="7" t="e">
        <f ca="1"/>
        <v>#NAME?</v>
      </c>
      <c r="AK18" s="7" t="e">
        <f ca="1"/>
        <v>#NAME?</v>
      </c>
      <c r="AL18" s="7" t="e">
        <f ca="1"/>
        <v>#NAME?</v>
      </c>
      <c r="AM18" s="7" t="e">
        <f ca="1"/>
        <v>#NAME?</v>
      </c>
      <c r="AN18" s="7" t="e">
        <f ca="1"/>
        <v>#NAME?</v>
      </c>
      <c r="AO18" s="215" t="e">
        <f ca="1"/>
        <v>#NAME?</v>
      </c>
    </row>
    <row r="19" spans="1:41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G19" s="421">
        <f t="shared" si="1"/>
        <v>16</v>
      </c>
      <c r="H19" s="214" t="e">
        <f ca="1"/>
        <v>#NAME?</v>
      </c>
      <c r="I19" s="7" t="e">
        <f ca="1"/>
        <v>#NAME?</v>
      </c>
      <c r="J19" s="7" t="e">
        <f ca="1"/>
        <v>#NAME?</v>
      </c>
      <c r="K19" s="215" t="e">
        <f ca="1"/>
        <v>#NAME?</v>
      </c>
      <c r="M19" s="421">
        <f t="shared" si="2"/>
        <v>16</v>
      </c>
      <c r="N19" s="214" t="e">
        <f ca="1"/>
        <v>#NAME?</v>
      </c>
      <c r="O19" s="7" t="e">
        <f ca="1"/>
        <v>#NAME?</v>
      </c>
      <c r="P19" s="7" t="e">
        <f ca="1"/>
        <v>#NAME?</v>
      </c>
      <c r="Q19" s="215" t="e">
        <f ca="1"/>
        <v>#NAME?</v>
      </c>
      <c r="S19" s="421">
        <f t="shared" si="3"/>
        <v>16</v>
      </c>
      <c r="T19" s="214" t="e">
        <f ca="1"/>
        <v>#NAME?</v>
      </c>
      <c r="U19" s="7" t="e">
        <f ca="1"/>
        <v>#NAME?</v>
      </c>
      <c r="V19" s="7" t="e">
        <f ca="1"/>
        <v>#NAME?</v>
      </c>
      <c r="W19" s="215" t="e">
        <f ca="1"/>
        <v>#NAME?</v>
      </c>
      <c r="Y19" s="421">
        <f t="shared" si="4"/>
        <v>16</v>
      </c>
      <c r="Z19" s="214" t="e">
        <f ca="1"/>
        <v>#NAME?</v>
      </c>
      <c r="AA19" s="7" t="e">
        <f ca="1"/>
        <v>#NAME?</v>
      </c>
      <c r="AB19" s="7" t="e">
        <f ca="1"/>
        <v>#NAME?</v>
      </c>
      <c r="AC19" s="215" t="e">
        <f ca="1"/>
        <v>#NAME?</v>
      </c>
      <c r="AE19" t="e">
        <f ca="1"/>
        <v>#NAME?</v>
      </c>
      <c r="AF19" s="112" t="e">
        <f ca="1"/>
        <v>#NAME?</v>
      </c>
      <c r="AG19" s="354" t="e">
        <f ca="1"/>
        <v>#NAME?</v>
      </c>
      <c r="AH19" s="354" t="e">
        <f ca="1"/>
        <v>#NAME?</v>
      </c>
      <c r="AI19" s="354" t="e">
        <f ca="1"/>
        <v>#NAME?</v>
      </c>
      <c r="AJ19" s="354" t="e">
        <f ca="1"/>
        <v>#NAME?</v>
      </c>
      <c r="AK19" s="354" t="e">
        <f ca="1"/>
        <v>#NAME?</v>
      </c>
      <c r="AL19" s="354" t="e">
        <f ca="1"/>
        <v>#NAME?</v>
      </c>
      <c r="AM19" s="354" t="e">
        <f ca="1"/>
        <v>#NAME?</v>
      </c>
      <c r="AN19" s="354" t="e">
        <f ca="1"/>
        <v>#NAME?</v>
      </c>
      <c r="AO19" s="120" t="e">
        <f ca="1"/>
        <v>#NAME?</v>
      </c>
    </row>
    <row r="20" spans="1:41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G20" s="421">
        <f t="shared" si="1"/>
        <v>17</v>
      </c>
      <c r="H20" s="214" t="e">
        <f ca="1"/>
        <v>#NAME?</v>
      </c>
      <c r="I20" s="7" t="e">
        <f ca="1"/>
        <v>#NAME?</v>
      </c>
      <c r="J20" s="7" t="e">
        <f ca="1"/>
        <v>#NAME?</v>
      </c>
      <c r="K20" s="215" t="e">
        <f ca="1"/>
        <v>#NAME?</v>
      </c>
      <c r="M20" s="421">
        <f t="shared" si="2"/>
        <v>17</v>
      </c>
      <c r="N20" s="214" t="e">
        <f ca="1"/>
        <v>#NAME?</v>
      </c>
      <c r="O20" s="7" t="e">
        <f ca="1"/>
        <v>#NAME?</v>
      </c>
      <c r="P20" s="7" t="e">
        <f ca="1"/>
        <v>#NAME?</v>
      </c>
      <c r="Q20" s="215" t="e">
        <f ca="1"/>
        <v>#NAME?</v>
      </c>
      <c r="S20" s="421">
        <f t="shared" si="3"/>
        <v>17</v>
      </c>
      <c r="T20" s="214" t="e">
        <f ca="1"/>
        <v>#NAME?</v>
      </c>
      <c r="U20" s="7" t="e">
        <f ca="1"/>
        <v>#NAME?</v>
      </c>
      <c r="V20" s="7" t="e">
        <f ca="1"/>
        <v>#NAME?</v>
      </c>
      <c r="W20" s="215" t="e">
        <f ca="1"/>
        <v>#NAME?</v>
      </c>
      <c r="Y20" s="421">
        <f t="shared" si="4"/>
        <v>17</v>
      </c>
      <c r="Z20" s="214" t="e">
        <f ca="1"/>
        <v>#NAME?</v>
      </c>
      <c r="AA20" s="7" t="e">
        <f ca="1"/>
        <v>#NAME?</v>
      </c>
      <c r="AB20" s="7" t="e">
        <f ca="1"/>
        <v>#NAME?</v>
      </c>
      <c r="AC20" s="215" t="e">
        <f ca="1"/>
        <v>#NAME?</v>
      </c>
    </row>
    <row r="21" spans="1:41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421">
        <f t="shared" si="1"/>
        <v>18</v>
      </c>
      <c r="H21" s="214" t="e">
        <f ca="1"/>
        <v>#NAME?</v>
      </c>
      <c r="I21" s="7" t="e">
        <f ca="1"/>
        <v>#NAME?</v>
      </c>
      <c r="J21" s="7" t="e">
        <f ca="1"/>
        <v>#NAME?</v>
      </c>
      <c r="K21" s="215" t="e">
        <f ca="1"/>
        <v>#NAME?</v>
      </c>
      <c r="M21" s="421">
        <f t="shared" si="2"/>
        <v>18</v>
      </c>
      <c r="N21" s="214" t="e">
        <f ca="1"/>
        <v>#NAME?</v>
      </c>
      <c r="O21" s="7" t="e">
        <f ca="1"/>
        <v>#NAME?</v>
      </c>
      <c r="P21" s="7" t="e">
        <f ca="1"/>
        <v>#NAME?</v>
      </c>
      <c r="Q21" s="215" t="e">
        <f ca="1"/>
        <v>#NAME?</v>
      </c>
      <c r="S21" s="421">
        <f t="shared" si="3"/>
        <v>18</v>
      </c>
      <c r="T21" s="214" t="e">
        <f ca="1"/>
        <v>#NAME?</v>
      </c>
      <c r="U21" s="7" t="e">
        <f ca="1"/>
        <v>#NAME?</v>
      </c>
      <c r="V21" s="7" t="e">
        <f ca="1"/>
        <v>#NAME?</v>
      </c>
      <c r="W21" s="215" t="e">
        <f ca="1"/>
        <v>#NAME?</v>
      </c>
      <c r="Y21" s="421">
        <f t="shared" si="4"/>
        <v>18</v>
      </c>
      <c r="Z21" s="214" t="e">
        <f ca="1"/>
        <v>#NAME?</v>
      </c>
      <c r="AA21" s="7" t="e">
        <f ca="1"/>
        <v>#NAME?</v>
      </c>
      <c r="AB21" s="7" t="e">
        <f ca="1"/>
        <v>#NAME?</v>
      </c>
      <c r="AC21" s="215" t="e">
        <f ca="1"/>
        <v>#NAME?</v>
      </c>
      <c r="AE21" t="s">
        <v>1043</v>
      </c>
    </row>
    <row r="22" spans="1:41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G22" s="421">
        <f t="shared" si="1"/>
        <v>19</v>
      </c>
      <c r="H22" s="214" t="e">
        <f ca="1"/>
        <v>#NAME?</v>
      </c>
      <c r="I22" s="7" t="e">
        <f ca="1"/>
        <v>#NAME?</v>
      </c>
      <c r="J22" s="7" t="e">
        <f ca="1"/>
        <v>#NAME?</v>
      </c>
      <c r="K22" s="215" t="e">
        <f ca="1"/>
        <v>#NAME?</v>
      </c>
      <c r="M22" s="421">
        <f t="shared" si="2"/>
        <v>19</v>
      </c>
      <c r="N22" s="214" t="e">
        <f ca="1"/>
        <v>#NAME?</v>
      </c>
      <c r="O22" s="7" t="e">
        <f ca="1"/>
        <v>#NAME?</v>
      </c>
      <c r="P22" s="7" t="e">
        <f ca="1"/>
        <v>#NAME?</v>
      </c>
      <c r="Q22" s="215" t="e">
        <f ca="1"/>
        <v>#NAME?</v>
      </c>
      <c r="S22" s="421">
        <f t="shared" si="3"/>
        <v>19</v>
      </c>
      <c r="T22" s="214" t="e">
        <f ca="1"/>
        <v>#NAME?</v>
      </c>
      <c r="U22" s="7" t="e">
        <f ca="1"/>
        <v>#NAME?</v>
      </c>
      <c r="V22" s="7" t="e">
        <f ca="1"/>
        <v>#NAME?</v>
      </c>
      <c r="W22" s="215" t="e">
        <f ca="1"/>
        <v>#NAME?</v>
      </c>
      <c r="Y22" s="421">
        <f t="shared" si="4"/>
        <v>19</v>
      </c>
      <c r="Z22" s="214" t="e">
        <f ca="1"/>
        <v>#NAME?</v>
      </c>
      <c r="AA22" s="7" t="e">
        <f ca="1"/>
        <v>#NAME?</v>
      </c>
      <c r="AB22" s="7" t="e">
        <f ca="1"/>
        <v>#NAME?</v>
      </c>
      <c r="AC22" s="215" t="e">
        <f ca="1"/>
        <v>#NAME?</v>
      </c>
    </row>
    <row r="23" spans="1:41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G23" s="421">
        <f t="shared" si="1"/>
        <v>20</v>
      </c>
      <c r="H23" s="112" t="e">
        <f ca="1"/>
        <v>#NAME?</v>
      </c>
      <c r="I23" s="354" t="e">
        <f ca="1"/>
        <v>#NAME?</v>
      </c>
      <c r="J23" s="354" t="e">
        <f ca="1"/>
        <v>#NAME?</v>
      </c>
      <c r="K23" s="120" t="e">
        <f ca="1"/>
        <v>#NAME?</v>
      </c>
      <c r="M23" s="421">
        <f t="shared" si="2"/>
        <v>20</v>
      </c>
      <c r="N23" s="112" t="e">
        <f ca="1"/>
        <v>#NAME?</v>
      </c>
      <c r="O23" s="354" t="e">
        <f ca="1"/>
        <v>#NAME?</v>
      </c>
      <c r="P23" s="354" t="e">
        <f ca="1"/>
        <v>#NAME?</v>
      </c>
      <c r="Q23" s="120" t="e">
        <f ca="1"/>
        <v>#NAME?</v>
      </c>
      <c r="S23" s="421">
        <f t="shared" si="3"/>
        <v>20</v>
      </c>
      <c r="T23" s="112" t="e">
        <f ca="1"/>
        <v>#NAME?</v>
      </c>
      <c r="U23" s="354" t="e">
        <f ca="1"/>
        <v>#NAME?</v>
      </c>
      <c r="V23" s="354" t="e">
        <f ca="1"/>
        <v>#NAME?</v>
      </c>
      <c r="W23" s="120" t="e">
        <f ca="1"/>
        <v>#NAME?</v>
      </c>
      <c r="Y23" s="421">
        <f t="shared" si="4"/>
        <v>20</v>
      </c>
      <c r="Z23" s="112" t="e">
        <f ca="1"/>
        <v>#NAME?</v>
      </c>
      <c r="AA23" s="354" t="e">
        <f ca="1"/>
        <v>#NAME?</v>
      </c>
      <c r="AB23" s="354" t="e">
        <f ca="1"/>
        <v>#NAME?</v>
      </c>
      <c r="AC23" s="120" t="e">
        <f ca="1"/>
        <v>#NAME?</v>
      </c>
      <c r="AE23" t="e">
        <f t="array" aca="1" ref="AE23:AL27" ca="1">ImputeParam(AE4:AI11,20,TRUE)</f>
        <v>#NAME?</v>
      </c>
      <c r="AF23" s="467" t="e">
        <f ca="1"/>
        <v>#NAME?</v>
      </c>
      <c r="AG23" s="467" t="e">
        <f ca="1"/>
        <v>#NAME?</v>
      </c>
      <c r="AH23" s="467" t="e">
        <f ca="1"/>
        <v>#NAME?</v>
      </c>
      <c r="AI23" s="467" t="e">
        <f ca="1"/>
        <v>#NAME?</v>
      </c>
      <c r="AJ23" s="467" t="e">
        <f ca="1"/>
        <v>#NAME?</v>
      </c>
      <c r="AK23" s="467" t="e">
        <f ca="1"/>
        <v>#NAME?</v>
      </c>
      <c r="AL23" s="467" t="e">
        <f ca="1"/>
        <v>#NAME?</v>
      </c>
    </row>
    <row r="24" spans="1:41" x14ac:dyDescent="0.25">
      <c r="AE24" t="e">
        <f ca="1"/>
        <v>#NAME?</v>
      </c>
      <c r="AF24" s="418" t="e">
        <f ca="1"/>
        <v>#NAME?</v>
      </c>
      <c r="AG24" s="387" t="e">
        <f ca="1"/>
        <v>#NAME?</v>
      </c>
      <c r="AH24" s="387" t="e">
        <f ca="1"/>
        <v>#NAME?</v>
      </c>
      <c r="AI24" s="387" t="e">
        <f ca="1"/>
        <v>#NAME?</v>
      </c>
      <c r="AJ24" s="387" t="e">
        <f ca="1"/>
        <v>#NAME?</v>
      </c>
      <c r="AK24" s="387" t="e">
        <f ca="1"/>
        <v>#NAME?</v>
      </c>
      <c r="AL24" s="419" t="e">
        <f ca="1"/>
        <v>#NAME?</v>
      </c>
    </row>
    <row r="25" spans="1:41" x14ac:dyDescent="0.25">
      <c r="A25" s="421" t="s">
        <v>6</v>
      </c>
      <c r="B25">
        <f>AVERAGE(B4:B23)</f>
        <v>16.133333333333333</v>
      </c>
      <c r="C25">
        <f>AVERAGE(C4:C23)</f>
        <v>34.411764705882355</v>
      </c>
      <c r="D25">
        <f>AVERAGE(D4:D23)</f>
        <v>21.0625</v>
      </c>
      <c r="E25">
        <f>AVERAGE(E4:E23)</f>
        <v>47.722222222222221</v>
      </c>
      <c r="G25" t="s">
        <v>6</v>
      </c>
      <c r="H25" s="418" t="e">
        <f t="array" aca="1" ref="H25:K29" ca="1">MISummary(H4:K23,FALSE)</f>
        <v>#NAME?</v>
      </c>
      <c r="I25" s="416" t="e">
        <f ca="1"/>
        <v>#NAME?</v>
      </c>
      <c r="J25" s="416" t="e">
        <f ca="1"/>
        <v>#NAME?</v>
      </c>
      <c r="K25" s="419" t="e">
        <f ca="1"/>
        <v>#NAME?</v>
      </c>
      <c r="M25" t="s">
        <v>6</v>
      </c>
      <c r="N25" s="418" t="e">
        <f t="array" aca="1" ref="N25:Q29" ca="1">MISummary(N4:Q23,FALSE)</f>
        <v>#NAME?</v>
      </c>
      <c r="O25" s="416" t="e">
        <f ca="1"/>
        <v>#NAME?</v>
      </c>
      <c r="P25" s="416" t="e">
        <f ca="1"/>
        <v>#NAME?</v>
      </c>
      <c r="Q25" s="419" t="e">
        <f ca="1"/>
        <v>#NAME?</v>
      </c>
      <c r="S25" t="s">
        <v>6</v>
      </c>
      <c r="T25" s="418" t="e">
        <f t="array" aca="1" ref="T25:W29" ca="1">MISummary(T4:W23,FALSE)</f>
        <v>#NAME?</v>
      </c>
      <c r="U25" s="416" t="e">
        <f ca="1"/>
        <v>#NAME?</v>
      </c>
      <c r="V25" s="416" t="e">
        <f ca="1"/>
        <v>#NAME?</v>
      </c>
      <c r="W25" s="419" t="e">
        <f ca="1"/>
        <v>#NAME?</v>
      </c>
      <c r="Y25" t="s">
        <v>6</v>
      </c>
      <c r="Z25" s="418" t="e">
        <f t="array" aca="1" ref="Z25:AC29" ca="1">MISummary(Z4:AC23,FALSE)</f>
        <v>#NAME?</v>
      </c>
      <c r="AA25" s="416" t="e">
        <f ca="1"/>
        <v>#NAME?</v>
      </c>
      <c r="AB25" s="416" t="e">
        <f ca="1"/>
        <v>#NAME?</v>
      </c>
      <c r="AC25" s="419" t="e">
        <f ca="1"/>
        <v>#NAME?</v>
      </c>
      <c r="AE25" t="e">
        <f ca="1"/>
        <v>#NAME?</v>
      </c>
      <c r="AF25" s="214" t="e">
        <f ca="1"/>
        <v>#NAME?</v>
      </c>
      <c r="AG25" s="7" t="e">
        <f ca="1"/>
        <v>#NAME?</v>
      </c>
      <c r="AH25" s="7" t="e">
        <f ca="1"/>
        <v>#NAME?</v>
      </c>
      <c r="AI25" s="7" t="e">
        <f ca="1"/>
        <v>#NAME?</v>
      </c>
      <c r="AJ25" s="7" t="e">
        <f ca="1"/>
        <v>#NAME?</v>
      </c>
      <c r="AK25" s="7" t="e">
        <f ca="1"/>
        <v>#NAME?</v>
      </c>
      <c r="AL25" s="215" t="e">
        <f ca="1"/>
        <v>#NAME?</v>
      </c>
    </row>
    <row r="26" spans="1:41" x14ac:dyDescent="0.25">
      <c r="A26" s="421" t="s">
        <v>8</v>
      </c>
      <c r="B26">
        <f>STDEV(B4:B23)</f>
        <v>4.7789219744724045</v>
      </c>
      <c r="C26">
        <f>STDEV(C4:C23)</f>
        <v>10.79964596369606</v>
      </c>
      <c r="D26">
        <f>STDEV(D4:D23)</f>
        <v>3.2755406678389241</v>
      </c>
      <c r="E26">
        <f>STDEV(E4:E23)</f>
        <v>7.6297063050063398</v>
      </c>
      <c r="G26" t="s">
        <v>8</v>
      </c>
      <c r="H26" s="214" t="e">
        <f ca="1"/>
        <v>#NAME?</v>
      </c>
      <c r="I26" s="7" t="e">
        <f ca="1"/>
        <v>#NAME?</v>
      </c>
      <c r="J26" s="7" t="e">
        <f ca="1"/>
        <v>#NAME?</v>
      </c>
      <c r="K26" s="215" t="e">
        <f ca="1"/>
        <v>#NAME?</v>
      </c>
      <c r="M26" t="s">
        <v>8</v>
      </c>
      <c r="N26" s="214" t="e">
        <f ca="1"/>
        <v>#NAME?</v>
      </c>
      <c r="O26" s="7" t="e">
        <f ca="1"/>
        <v>#NAME?</v>
      </c>
      <c r="P26" s="7" t="e">
        <f ca="1"/>
        <v>#NAME?</v>
      </c>
      <c r="Q26" s="215" t="e">
        <f ca="1"/>
        <v>#NAME?</v>
      </c>
      <c r="S26" t="s">
        <v>8</v>
      </c>
      <c r="T26" s="214" t="e">
        <f ca="1"/>
        <v>#NAME?</v>
      </c>
      <c r="U26" s="7" t="e">
        <f ca="1"/>
        <v>#NAME?</v>
      </c>
      <c r="V26" s="7" t="e">
        <f ca="1"/>
        <v>#NAME?</v>
      </c>
      <c r="W26" s="215" t="e">
        <f ca="1"/>
        <v>#NAME?</v>
      </c>
      <c r="Y26" t="s">
        <v>8</v>
      </c>
      <c r="Z26" s="214" t="e">
        <f ca="1"/>
        <v>#NAME?</v>
      </c>
      <c r="AA26" s="7" t="e">
        <f ca="1"/>
        <v>#NAME?</v>
      </c>
      <c r="AB26" s="7" t="e">
        <f ca="1"/>
        <v>#NAME?</v>
      </c>
      <c r="AC26" s="215" t="e">
        <f ca="1"/>
        <v>#NAME?</v>
      </c>
      <c r="AE26" t="e">
        <f ca="1"/>
        <v>#NAME?</v>
      </c>
      <c r="AF26" s="214" t="e">
        <f ca="1"/>
        <v>#NAME?</v>
      </c>
      <c r="AG26" s="7" t="e">
        <f ca="1"/>
        <v>#NAME?</v>
      </c>
      <c r="AH26" s="7" t="e">
        <f ca="1"/>
        <v>#NAME?</v>
      </c>
      <c r="AI26" s="7" t="e">
        <f ca="1"/>
        <v>#NAME?</v>
      </c>
      <c r="AJ26" s="7" t="e">
        <f ca="1"/>
        <v>#NAME?</v>
      </c>
      <c r="AK26" s="7" t="e">
        <f ca="1"/>
        <v>#NAME?</v>
      </c>
      <c r="AL26" s="215" t="e">
        <f ca="1"/>
        <v>#NAME?</v>
      </c>
    </row>
    <row r="27" spans="1:41" x14ac:dyDescent="0.25">
      <c r="G27" t="s">
        <v>797</v>
      </c>
      <c r="H27" s="214" t="e">
        <f ca="1"/>
        <v>#NAME?</v>
      </c>
      <c r="I27" s="7" t="e">
        <f ca="1"/>
        <v>#NAME?</v>
      </c>
      <c r="J27" s="7" t="e">
        <f ca="1"/>
        <v>#NAME?</v>
      </c>
      <c r="K27" s="215" t="e">
        <f ca="1"/>
        <v>#NAME?</v>
      </c>
      <c r="M27" t="s">
        <v>797</v>
      </c>
      <c r="N27" s="214" t="e">
        <f ca="1"/>
        <v>#NAME?</v>
      </c>
      <c r="O27" s="7" t="e">
        <f ca="1"/>
        <v>#NAME?</v>
      </c>
      <c r="P27" s="7" t="e">
        <f ca="1"/>
        <v>#NAME?</v>
      </c>
      <c r="Q27" s="215" t="e">
        <f ca="1"/>
        <v>#NAME?</v>
      </c>
      <c r="S27" t="s">
        <v>797</v>
      </c>
      <c r="T27" s="214" t="e">
        <f ca="1"/>
        <v>#NAME?</v>
      </c>
      <c r="U27" s="7" t="e">
        <f ca="1"/>
        <v>#NAME?</v>
      </c>
      <c r="V27" s="7" t="e">
        <f ca="1"/>
        <v>#NAME?</v>
      </c>
      <c r="W27" s="215" t="e">
        <f ca="1"/>
        <v>#NAME?</v>
      </c>
      <c r="Y27" t="s">
        <v>797</v>
      </c>
      <c r="Z27" s="214" t="e">
        <f ca="1"/>
        <v>#NAME?</v>
      </c>
      <c r="AA27" s="7" t="e">
        <f ca="1"/>
        <v>#NAME?</v>
      </c>
      <c r="AB27" s="7" t="e">
        <f ca="1"/>
        <v>#NAME?</v>
      </c>
      <c r="AC27" s="215" t="e">
        <f ca="1"/>
        <v>#NAME?</v>
      </c>
      <c r="AE27" t="e">
        <f ca="1"/>
        <v>#NAME?</v>
      </c>
      <c r="AF27" s="112" t="e">
        <f ca="1"/>
        <v>#NAME?</v>
      </c>
      <c r="AG27" s="354" t="e">
        <f ca="1"/>
        <v>#NAME?</v>
      </c>
      <c r="AH27" s="354" t="e">
        <f ca="1"/>
        <v>#NAME?</v>
      </c>
      <c r="AI27" s="354" t="e">
        <f ca="1"/>
        <v>#NAME?</v>
      </c>
      <c r="AJ27" s="354" t="e">
        <f ca="1"/>
        <v>#NAME?</v>
      </c>
      <c r="AK27" s="354" t="e">
        <f ca="1"/>
        <v>#NAME?</v>
      </c>
      <c r="AL27" s="120" t="e">
        <f ca="1"/>
        <v>#NAME?</v>
      </c>
    </row>
    <row r="28" spans="1:41" x14ac:dyDescent="0.25">
      <c r="G28" t="s">
        <v>992</v>
      </c>
      <c r="H28" s="214" t="e">
        <f ca="1"/>
        <v>#NAME?</v>
      </c>
      <c r="I28" s="7" t="e">
        <f ca="1"/>
        <v>#NAME?</v>
      </c>
      <c r="J28" s="7" t="e">
        <f ca="1"/>
        <v>#NAME?</v>
      </c>
      <c r="K28" s="215" t="e">
        <f ca="1"/>
        <v>#NAME?</v>
      </c>
      <c r="M28" t="s">
        <v>992</v>
      </c>
      <c r="N28" s="214" t="e">
        <f ca="1"/>
        <v>#NAME?</v>
      </c>
      <c r="O28" s="7" t="e">
        <f ca="1"/>
        <v>#NAME?</v>
      </c>
      <c r="P28" s="7" t="e">
        <f ca="1"/>
        <v>#NAME?</v>
      </c>
      <c r="Q28" s="215" t="e">
        <f ca="1"/>
        <v>#NAME?</v>
      </c>
      <c r="S28" t="s">
        <v>992</v>
      </c>
      <c r="T28" s="214" t="e">
        <f ca="1"/>
        <v>#NAME?</v>
      </c>
      <c r="U28" s="7" t="e">
        <f ca="1"/>
        <v>#NAME?</v>
      </c>
      <c r="V28" s="7" t="e">
        <f ca="1"/>
        <v>#NAME?</v>
      </c>
      <c r="W28" s="215" t="e">
        <f ca="1"/>
        <v>#NAME?</v>
      </c>
      <c r="Y28" t="s">
        <v>992</v>
      </c>
      <c r="Z28" s="214" t="e">
        <f ca="1"/>
        <v>#NAME?</v>
      </c>
      <c r="AA28" s="7" t="e">
        <f ca="1"/>
        <v>#NAME?</v>
      </c>
      <c r="AB28" s="7" t="e">
        <f ca="1"/>
        <v>#NAME?</v>
      </c>
      <c r="AC28" s="215" t="e">
        <f ca="1"/>
        <v>#NAME?</v>
      </c>
    </row>
    <row r="29" spans="1:41" x14ac:dyDescent="0.25">
      <c r="G29" t="s">
        <v>1034</v>
      </c>
      <c r="H29" s="112" t="e">
        <f ca="1"/>
        <v>#NAME?</v>
      </c>
      <c r="I29" s="354" t="e">
        <f ca="1"/>
        <v>#NAME?</v>
      </c>
      <c r="J29" s="354" t="e">
        <f ca="1"/>
        <v>#NAME?</v>
      </c>
      <c r="K29" s="120" t="e">
        <f ca="1"/>
        <v>#NAME?</v>
      </c>
      <c r="M29" t="s">
        <v>1034</v>
      </c>
      <c r="N29" s="112" t="e">
        <f ca="1"/>
        <v>#NAME?</v>
      </c>
      <c r="O29" s="354" t="e">
        <f ca="1"/>
        <v>#NAME?</v>
      </c>
      <c r="P29" s="354" t="e">
        <f ca="1"/>
        <v>#NAME?</v>
      </c>
      <c r="Q29" s="120" t="e">
        <f ca="1"/>
        <v>#NAME?</v>
      </c>
      <c r="S29" t="s">
        <v>1034</v>
      </c>
      <c r="T29" s="112" t="e">
        <f ca="1"/>
        <v>#NAME?</v>
      </c>
      <c r="U29" s="354" t="e">
        <f ca="1"/>
        <v>#NAME?</v>
      </c>
      <c r="V29" s="354" t="e">
        <f ca="1"/>
        <v>#NAME?</v>
      </c>
      <c r="W29" s="120" t="e">
        <f ca="1"/>
        <v>#NAME?</v>
      </c>
      <c r="Y29" t="s">
        <v>1034</v>
      </c>
      <c r="Z29" s="112" t="e">
        <f ca="1"/>
        <v>#NAME?</v>
      </c>
      <c r="AA29" s="354" t="e">
        <f ca="1"/>
        <v>#NAME?</v>
      </c>
      <c r="AB29" s="354" t="e">
        <f ca="1"/>
        <v>#NAME?</v>
      </c>
      <c r="AC29" s="120" t="e">
        <f ca="1"/>
        <v>#NAME?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AQ41"/>
  <sheetViews>
    <sheetView zoomScaleNormal="100" workbookViewId="0"/>
  </sheetViews>
  <sheetFormatPr defaultRowHeight="15" x14ac:dyDescent="0.25"/>
  <cols>
    <col min="6" max="6" width="6.7109375" customWidth="1"/>
    <col min="12" max="12" width="6.7109375" customWidth="1"/>
    <col min="18" max="18" width="6.7109375" customWidth="1"/>
    <col min="24" max="24" width="6.7109375" customWidth="1"/>
    <col min="37" max="37" width="17" customWidth="1"/>
  </cols>
  <sheetData>
    <row r="1" spans="1:35" x14ac:dyDescent="0.25">
      <c r="A1" s="1" t="s">
        <v>1029</v>
      </c>
      <c r="G1" t="s">
        <v>1030</v>
      </c>
      <c r="M1" t="s">
        <v>1031</v>
      </c>
      <c r="S1" t="s">
        <v>1032</v>
      </c>
      <c r="Y1" t="s">
        <v>1033</v>
      </c>
    </row>
    <row r="3" spans="1:35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s="421" t="s">
        <v>1017</v>
      </c>
      <c r="H3" s="421" t="s">
        <v>1015</v>
      </c>
      <c r="I3" s="421" t="s">
        <v>997</v>
      </c>
      <c r="J3" s="421" t="s">
        <v>996</v>
      </c>
      <c r="K3" s="421" t="s">
        <v>1016</v>
      </c>
      <c r="M3" s="421" t="s">
        <v>1017</v>
      </c>
      <c r="N3" s="421" t="s">
        <v>1015</v>
      </c>
      <c r="O3" s="421" t="s">
        <v>997</v>
      </c>
      <c r="P3" s="421" t="s">
        <v>996</v>
      </c>
      <c r="Q3" s="421" t="s">
        <v>1016</v>
      </c>
      <c r="S3" s="421" t="s">
        <v>1017</v>
      </c>
      <c r="T3" s="421" t="s">
        <v>1015</v>
      </c>
      <c r="U3" s="421" t="s">
        <v>997</v>
      </c>
      <c r="V3" s="421" t="s">
        <v>996</v>
      </c>
      <c r="W3" s="421" t="s">
        <v>1016</v>
      </c>
      <c r="Y3" s="421" t="s">
        <v>1017</v>
      </c>
      <c r="Z3" s="421" t="s">
        <v>1015</v>
      </c>
      <c r="AA3" s="421" t="s">
        <v>997</v>
      </c>
      <c r="AB3" s="421" t="s">
        <v>996</v>
      </c>
      <c r="AC3" s="421" t="s">
        <v>1016</v>
      </c>
    </row>
    <row r="4" spans="1:35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s="421">
        <v>1</v>
      </c>
      <c r="H4" s="418" t="e">
        <f ca="1">'MI 6'!H4</f>
        <v>#NAME?</v>
      </c>
      <c r="I4" s="387" t="e">
        <f ca="1">'MI 6'!I4</f>
        <v>#NAME?</v>
      </c>
      <c r="J4" s="387" t="e">
        <f ca="1">'MI 6'!J4</f>
        <v>#NAME?</v>
      </c>
      <c r="K4" s="419" t="e">
        <f ca="1">'MI 6'!K4</f>
        <v>#NAME?</v>
      </c>
      <c r="M4" s="421">
        <v>1</v>
      </c>
      <c r="N4" s="418" t="e">
        <f ca="1">'MI 6'!N4</f>
        <v>#NAME?</v>
      </c>
      <c r="O4" s="387" t="e">
        <f ca="1">'MI 6'!O4</f>
        <v>#NAME?</v>
      </c>
      <c r="P4" s="387" t="e">
        <f ca="1">'MI 6'!P4</f>
        <v>#NAME?</v>
      </c>
      <c r="Q4" s="419" t="e">
        <f ca="1">'MI 6'!Q4</f>
        <v>#NAME?</v>
      </c>
      <c r="S4" s="421">
        <v>1</v>
      </c>
      <c r="T4" s="418" t="e">
        <f ca="1">'MI 6'!T4</f>
        <v>#NAME?</v>
      </c>
      <c r="U4" s="387" t="e">
        <f ca="1">'MI 6'!U4</f>
        <v>#NAME?</v>
      </c>
      <c r="V4" s="387" t="e">
        <f ca="1">'MI 6'!V4</f>
        <v>#NAME?</v>
      </c>
      <c r="W4" s="419" t="e">
        <f ca="1">'MI 6'!W4</f>
        <v>#NAME?</v>
      </c>
      <c r="Y4" s="421">
        <v>1</v>
      </c>
      <c r="Z4" s="418" t="e">
        <f ca="1">'MI 6'!Z4</f>
        <v>#NAME?</v>
      </c>
      <c r="AA4" s="387" t="e">
        <f ca="1">'MI 6'!AA4</f>
        <v>#NAME?</v>
      </c>
      <c r="AB4" s="387" t="e">
        <f ca="1">'MI 6'!AB4</f>
        <v>#NAME?</v>
      </c>
      <c r="AC4" s="419" t="e">
        <f ca="1">'MI 6'!AC4</f>
        <v>#NAME?</v>
      </c>
    </row>
    <row r="5" spans="1:35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s="421">
        <f>G4+1</f>
        <v>2</v>
      </c>
      <c r="H5" s="214" t="e">
        <f ca="1">'MI 6'!H5</f>
        <v>#NAME?</v>
      </c>
      <c r="I5" s="7" t="e">
        <f ca="1">'MI 6'!I5</f>
        <v>#NAME?</v>
      </c>
      <c r="J5" s="7" t="e">
        <f ca="1">'MI 6'!J5</f>
        <v>#NAME?</v>
      </c>
      <c r="K5" s="215" t="e">
        <f ca="1">'MI 6'!K5</f>
        <v>#NAME?</v>
      </c>
      <c r="M5" s="421">
        <f>M4+1</f>
        <v>2</v>
      </c>
      <c r="N5" s="214" t="e">
        <f ca="1">'MI 6'!N5</f>
        <v>#NAME?</v>
      </c>
      <c r="O5" s="7" t="e">
        <f ca="1">'MI 6'!O5</f>
        <v>#NAME?</v>
      </c>
      <c r="P5" s="7" t="e">
        <f ca="1">'MI 6'!P5</f>
        <v>#NAME?</v>
      </c>
      <c r="Q5" s="215" t="e">
        <f ca="1">'MI 6'!Q5</f>
        <v>#NAME?</v>
      </c>
      <c r="S5" s="421">
        <f>S4+1</f>
        <v>2</v>
      </c>
      <c r="T5" s="214" t="e">
        <f ca="1">'MI 6'!T5</f>
        <v>#NAME?</v>
      </c>
      <c r="U5" s="7" t="e">
        <f ca="1">'MI 6'!U5</f>
        <v>#NAME?</v>
      </c>
      <c r="V5" s="7" t="e">
        <f ca="1">'MI 6'!V5</f>
        <v>#NAME?</v>
      </c>
      <c r="W5" s="215" t="e">
        <f ca="1">'MI 6'!W5</f>
        <v>#NAME?</v>
      </c>
      <c r="Y5" s="421">
        <f>Y4+1</f>
        <v>2</v>
      </c>
      <c r="Z5" s="214" t="e">
        <f ca="1">'MI 6'!Z5</f>
        <v>#NAME?</v>
      </c>
      <c r="AA5" s="7" t="e">
        <f ca="1">'MI 6'!AA5</f>
        <v>#NAME?</v>
      </c>
      <c r="AB5" s="7" t="e">
        <f ca="1">'MI 6'!AB5</f>
        <v>#NAME?</v>
      </c>
      <c r="AC5" s="215" t="e">
        <f ca="1">'MI 6'!AC5</f>
        <v>#NAME?</v>
      </c>
    </row>
    <row r="6" spans="1:35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s="421">
        <f t="shared" ref="G6:G23" si="1">G5+1</f>
        <v>3</v>
      </c>
      <c r="H6" s="214" t="e">
        <f ca="1">'MI 6'!H6</f>
        <v>#NAME?</v>
      </c>
      <c r="I6" s="7" t="e">
        <f ca="1">'MI 6'!I6</f>
        <v>#NAME?</v>
      </c>
      <c r="J6" s="7" t="e">
        <f ca="1">'MI 6'!J6</f>
        <v>#NAME?</v>
      </c>
      <c r="K6" s="215" t="e">
        <f ca="1">'MI 6'!K6</f>
        <v>#NAME?</v>
      </c>
      <c r="M6" s="421">
        <f t="shared" ref="M6:M23" si="2">M5+1</f>
        <v>3</v>
      </c>
      <c r="N6" s="214" t="e">
        <f ca="1">'MI 6'!N6</f>
        <v>#NAME?</v>
      </c>
      <c r="O6" s="7" t="e">
        <f ca="1">'MI 6'!O6</f>
        <v>#NAME?</v>
      </c>
      <c r="P6" s="7" t="e">
        <f ca="1">'MI 6'!P6</f>
        <v>#NAME?</v>
      </c>
      <c r="Q6" s="215" t="e">
        <f ca="1">'MI 6'!Q6</f>
        <v>#NAME?</v>
      </c>
      <c r="S6" s="421">
        <f t="shared" ref="S6:S23" si="3">S5+1</f>
        <v>3</v>
      </c>
      <c r="T6" s="214" t="e">
        <f ca="1">'MI 6'!T6</f>
        <v>#NAME?</v>
      </c>
      <c r="U6" s="7" t="e">
        <f ca="1">'MI 6'!U6</f>
        <v>#NAME?</v>
      </c>
      <c r="V6" s="7" t="e">
        <f ca="1">'MI 6'!V6</f>
        <v>#NAME?</v>
      </c>
      <c r="W6" s="215" t="e">
        <f ca="1">'MI 6'!W6</f>
        <v>#NAME?</v>
      </c>
      <c r="Y6" s="421">
        <f t="shared" ref="Y6:Y23" si="4">Y5+1</f>
        <v>3</v>
      </c>
      <c r="Z6" s="214" t="e">
        <f ca="1">'MI 6'!Z6</f>
        <v>#NAME?</v>
      </c>
      <c r="AA6" s="7" t="e">
        <f ca="1">'MI 6'!AA6</f>
        <v>#NAME?</v>
      </c>
      <c r="AB6" s="7" t="e">
        <f ca="1">'MI 6'!AB6</f>
        <v>#NAME?</v>
      </c>
      <c r="AC6" s="215" t="e">
        <f ca="1">'MI 6'!AC6</f>
        <v>#NAME?</v>
      </c>
    </row>
    <row r="7" spans="1:35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s="421">
        <f t="shared" si="1"/>
        <v>4</v>
      </c>
      <c r="H7" s="214" t="e">
        <f ca="1">'MI 6'!H7</f>
        <v>#NAME?</v>
      </c>
      <c r="I7" s="7" t="e">
        <f ca="1">'MI 6'!I7</f>
        <v>#NAME?</v>
      </c>
      <c r="J7" s="7" t="e">
        <f ca="1">'MI 6'!J7</f>
        <v>#NAME?</v>
      </c>
      <c r="K7" s="215" t="e">
        <f ca="1">'MI 6'!K7</f>
        <v>#NAME?</v>
      </c>
      <c r="M7" s="421">
        <f t="shared" si="2"/>
        <v>4</v>
      </c>
      <c r="N7" s="214" t="e">
        <f ca="1">'MI 6'!N7</f>
        <v>#NAME?</v>
      </c>
      <c r="O7" s="7" t="e">
        <f ca="1">'MI 6'!O7</f>
        <v>#NAME?</v>
      </c>
      <c r="P7" s="7" t="e">
        <f ca="1">'MI 6'!P7</f>
        <v>#NAME?</v>
      </c>
      <c r="Q7" s="215" t="e">
        <f ca="1">'MI 6'!Q7</f>
        <v>#NAME?</v>
      </c>
      <c r="S7" s="421">
        <f t="shared" si="3"/>
        <v>4</v>
      </c>
      <c r="T7" s="214" t="e">
        <f ca="1">'MI 6'!T7</f>
        <v>#NAME?</v>
      </c>
      <c r="U7" s="7" t="e">
        <f ca="1">'MI 6'!U7</f>
        <v>#NAME?</v>
      </c>
      <c r="V7" s="7" t="e">
        <f ca="1">'MI 6'!V7</f>
        <v>#NAME?</v>
      </c>
      <c r="W7" s="215" t="e">
        <f ca="1">'MI 6'!W7</f>
        <v>#NAME?</v>
      </c>
      <c r="Y7" s="421">
        <f t="shared" si="4"/>
        <v>4</v>
      </c>
      <c r="Z7" s="214" t="e">
        <f ca="1">'MI 6'!Z7</f>
        <v>#NAME?</v>
      </c>
      <c r="AA7" s="7" t="e">
        <f ca="1">'MI 6'!AA7</f>
        <v>#NAME?</v>
      </c>
      <c r="AB7" s="7" t="e">
        <f ca="1">'MI 6'!AB7</f>
        <v>#NAME?</v>
      </c>
      <c r="AC7" s="215" t="e">
        <f ca="1">'MI 6'!AC7</f>
        <v>#NAME?</v>
      </c>
    </row>
    <row r="8" spans="1:35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G8" s="421">
        <f t="shared" si="1"/>
        <v>5</v>
      </c>
      <c r="H8" s="214" t="e">
        <f ca="1">'MI 6'!H8</f>
        <v>#NAME?</v>
      </c>
      <c r="I8" s="7" t="e">
        <f ca="1">'MI 6'!I8</f>
        <v>#NAME?</v>
      </c>
      <c r="J8" s="7" t="e">
        <f ca="1">'MI 6'!J8</f>
        <v>#NAME?</v>
      </c>
      <c r="K8" s="215" t="e">
        <f ca="1">'MI 6'!K8</f>
        <v>#NAME?</v>
      </c>
      <c r="M8" s="421">
        <f t="shared" si="2"/>
        <v>5</v>
      </c>
      <c r="N8" s="214" t="e">
        <f ca="1">'MI 6'!N8</f>
        <v>#NAME?</v>
      </c>
      <c r="O8" s="7" t="e">
        <f ca="1">'MI 6'!O8</f>
        <v>#NAME?</v>
      </c>
      <c r="P8" s="7" t="e">
        <f ca="1">'MI 6'!P8</f>
        <v>#NAME?</v>
      </c>
      <c r="Q8" s="215" t="e">
        <f ca="1">'MI 6'!Q8</f>
        <v>#NAME?</v>
      </c>
      <c r="S8" s="421">
        <f t="shared" si="3"/>
        <v>5</v>
      </c>
      <c r="T8" s="214" t="e">
        <f ca="1">'MI 6'!T8</f>
        <v>#NAME?</v>
      </c>
      <c r="U8" s="7" t="e">
        <f ca="1">'MI 6'!U8</f>
        <v>#NAME?</v>
      </c>
      <c r="V8" s="7" t="e">
        <f ca="1">'MI 6'!V8</f>
        <v>#NAME?</v>
      </c>
      <c r="W8" s="215" t="e">
        <f ca="1">'MI 6'!W8</f>
        <v>#NAME?</v>
      </c>
      <c r="Y8" s="421">
        <f t="shared" si="4"/>
        <v>5</v>
      </c>
      <c r="Z8" s="214" t="e">
        <f ca="1">'MI 6'!Z8</f>
        <v>#NAME?</v>
      </c>
      <c r="AA8" s="7" t="e">
        <f ca="1">'MI 6'!AA8</f>
        <v>#NAME?</v>
      </c>
      <c r="AB8" s="7" t="e">
        <f ca="1">'MI 6'!AB8</f>
        <v>#NAME?</v>
      </c>
      <c r="AC8" s="215" t="e">
        <f ca="1">'MI 6'!AC8</f>
        <v>#NAME?</v>
      </c>
    </row>
    <row r="9" spans="1:35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  <c r="G9" s="421">
        <f t="shared" si="1"/>
        <v>6</v>
      </c>
      <c r="H9" s="214" t="e">
        <f ca="1">'MI 6'!H9</f>
        <v>#NAME?</v>
      </c>
      <c r="I9" s="7" t="e">
        <f ca="1">'MI 6'!I9</f>
        <v>#NAME?</v>
      </c>
      <c r="J9" s="7" t="e">
        <f ca="1">'MI 6'!J9</f>
        <v>#NAME?</v>
      </c>
      <c r="K9" s="215" t="e">
        <f ca="1">'MI 6'!K9</f>
        <v>#NAME?</v>
      </c>
      <c r="M9" s="421">
        <f t="shared" si="2"/>
        <v>6</v>
      </c>
      <c r="N9" s="214" t="e">
        <f ca="1">'MI 6'!N9</f>
        <v>#NAME?</v>
      </c>
      <c r="O9" s="7" t="e">
        <f ca="1">'MI 6'!O9</f>
        <v>#NAME?</v>
      </c>
      <c r="P9" s="7" t="e">
        <f ca="1">'MI 6'!P9</f>
        <v>#NAME?</v>
      </c>
      <c r="Q9" s="215" t="e">
        <f ca="1">'MI 6'!Q9</f>
        <v>#NAME?</v>
      </c>
      <c r="S9" s="421">
        <f t="shared" si="3"/>
        <v>6</v>
      </c>
      <c r="T9" s="214" t="e">
        <f ca="1">'MI 6'!T9</f>
        <v>#NAME?</v>
      </c>
      <c r="U9" s="7" t="e">
        <f ca="1">'MI 6'!U9</f>
        <v>#NAME?</v>
      </c>
      <c r="V9" s="7" t="e">
        <f ca="1">'MI 6'!V9</f>
        <v>#NAME?</v>
      </c>
      <c r="W9" s="215" t="e">
        <f ca="1">'MI 6'!W9</f>
        <v>#NAME?</v>
      </c>
      <c r="Y9" s="421">
        <f t="shared" si="4"/>
        <v>6</v>
      </c>
      <c r="Z9" s="214" t="e">
        <f ca="1">'MI 6'!Z9</f>
        <v>#NAME?</v>
      </c>
      <c r="AA9" s="7" t="e">
        <f ca="1">'MI 6'!AA9</f>
        <v>#NAME?</v>
      </c>
      <c r="AB9" s="7" t="e">
        <f ca="1">'MI 6'!AB9</f>
        <v>#NAME?</v>
      </c>
      <c r="AC9" s="215" t="e">
        <f ca="1">'MI 6'!AC9</f>
        <v>#NAME?</v>
      </c>
    </row>
    <row r="10" spans="1:35" x14ac:dyDescent="0.25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G10" s="421">
        <f t="shared" si="1"/>
        <v>7</v>
      </c>
      <c r="H10" s="214" t="e">
        <f ca="1">'MI 6'!H10</f>
        <v>#NAME?</v>
      </c>
      <c r="I10" s="7" t="e">
        <f ca="1">'MI 6'!I10</f>
        <v>#NAME?</v>
      </c>
      <c r="J10" s="7" t="e">
        <f ca="1">'MI 6'!J10</f>
        <v>#NAME?</v>
      </c>
      <c r="K10" s="215" t="e">
        <f ca="1">'MI 6'!K10</f>
        <v>#NAME?</v>
      </c>
      <c r="M10" s="421">
        <f t="shared" si="2"/>
        <v>7</v>
      </c>
      <c r="N10" s="214" t="e">
        <f ca="1">'MI 6'!N10</f>
        <v>#NAME?</v>
      </c>
      <c r="O10" s="7" t="e">
        <f ca="1">'MI 6'!O10</f>
        <v>#NAME?</v>
      </c>
      <c r="P10" s="7" t="e">
        <f ca="1">'MI 6'!P10</f>
        <v>#NAME?</v>
      </c>
      <c r="Q10" s="215" t="e">
        <f ca="1">'MI 6'!Q10</f>
        <v>#NAME?</v>
      </c>
      <c r="S10" s="421">
        <f t="shared" si="3"/>
        <v>7</v>
      </c>
      <c r="T10" s="214" t="e">
        <f ca="1">'MI 6'!T10</f>
        <v>#NAME?</v>
      </c>
      <c r="U10" s="7" t="e">
        <f ca="1">'MI 6'!U10</f>
        <v>#NAME?</v>
      </c>
      <c r="V10" s="7" t="e">
        <f ca="1">'MI 6'!V10</f>
        <v>#NAME?</v>
      </c>
      <c r="W10" s="215" t="e">
        <f ca="1">'MI 6'!W10</f>
        <v>#NAME?</v>
      </c>
      <c r="Y10" s="421">
        <f t="shared" si="4"/>
        <v>7</v>
      </c>
      <c r="Z10" s="214" t="e">
        <f ca="1">'MI 6'!Z10</f>
        <v>#NAME?</v>
      </c>
      <c r="AA10" s="7" t="e">
        <f ca="1">'MI 6'!AA10</f>
        <v>#NAME?</v>
      </c>
      <c r="AB10" s="7" t="e">
        <f ca="1">'MI 6'!AB10</f>
        <v>#NAME?</v>
      </c>
      <c r="AC10" s="215" t="e">
        <f ca="1">'MI 6'!AC10</f>
        <v>#NAME?</v>
      </c>
    </row>
    <row r="11" spans="1:35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  <c r="G11" s="421">
        <f t="shared" si="1"/>
        <v>8</v>
      </c>
      <c r="H11" s="214" t="e">
        <f ca="1">'MI 6'!H11</f>
        <v>#NAME?</v>
      </c>
      <c r="I11" s="7" t="e">
        <f ca="1">'MI 6'!I11</f>
        <v>#NAME?</v>
      </c>
      <c r="J11" s="7" t="e">
        <f ca="1">'MI 6'!J11</f>
        <v>#NAME?</v>
      </c>
      <c r="K11" s="215" t="e">
        <f ca="1">'MI 6'!K11</f>
        <v>#NAME?</v>
      </c>
      <c r="M11" s="421">
        <f t="shared" si="2"/>
        <v>8</v>
      </c>
      <c r="N11" s="214" t="e">
        <f ca="1">'MI 6'!N11</f>
        <v>#NAME?</v>
      </c>
      <c r="O11" s="7" t="e">
        <f ca="1">'MI 6'!O11</f>
        <v>#NAME?</v>
      </c>
      <c r="P11" s="7" t="e">
        <f ca="1">'MI 6'!P11</f>
        <v>#NAME?</v>
      </c>
      <c r="Q11" s="215" t="e">
        <f ca="1">'MI 6'!Q11</f>
        <v>#NAME?</v>
      </c>
      <c r="S11" s="421">
        <f t="shared" si="3"/>
        <v>8</v>
      </c>
      <c r="T11" s="214" t="e">
        <f ca="1">'MI 6'!T11</f>
        <v>#NAME?</v>
      </c>
      <c r="U11" s="7" t="e">
        <f ca="1">'MI 6'!U11</f>
        <v>#NAME?</v>
      </c>
      <c r="V11" s="7" t="e">
        <f ca="1">'MI 6'!V11</f>
        <v>#NAME?</v>
      </c>
      <c r="W11" s="215" t="e">
        <f ca="1">'MI 6'!W11</f>
        <v>#NAME?</v>
      </c>
      <c r="Y11" s="421">
        <f t="shared" si="4"/>
        <v>8</v>
      </c>
      <c r="Z11" s="214" t="e">
        <f ca="1">'MI 6'!Z11</f>
        <v>#NAME?</v>
      </c>
      <c r="AA11" s="7" t="e">
        <f ca="1">'MI 6'!AA11</f>
        <v>#NAME?</v>
      </c>
      <c r="AB11" s="7" t="e">
        <f ca="1">'MI 6'!AB11</f>
        <v>#NAME?</v>
      </c>
      <c r="AC11" s="215" t="e">
        <f ca="1">'MI 6'!AC11</f>
        <v>#NAME?</v>
      </c>
    </row>
    <row r="12" spans="1:35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G12" s="421">
        <f t="shared" si="1"/>
        <v>9</v>
      </c>
      <c r="H12" s="214" t="e">
        <f ca="1">'MI 6'!H12</f>
        <v>#NAME?</v>
      </c>
      <c r="I12" s="7" t="e">
        <f ca="1">'MI 6'!I12</f>
        <v>#NAME?</v>
      </c>
      <c r="J12" s="7" t="e">
        <f ca="1">'MI 6'!J12</f>
        <v>#NAME?</v>
      </c>
      <c r="K12" s="215" t="e">
        <f ca="1">'MI 6'!K12</f>
        <v>#NAME?</v>
      </c>
      <c r="M12" s="421">
        <f t="shared" si="2"/>
        <v>9</v>
      </c>
      <c r="N12" s="214" t="e">
        <f ca="1">'MI 6'!N12</f>
        <v>#NAME?</v>
      </c>
      <c r="O12" s="7" t="e">
        <f ca="1">'MI 6'!O12</f>
        <v>#NAME?</v>
      </c>
      <c r="P12" s="7" t="e">
        <f ca="1">'MI 6'!P12</f>
        <v>#NAME?</v>
      </c>
      <c r="Q12" s="215" t="e">
        <f ca="1">'MI 6'!Q12</f>
        <v>#NAME?</v>
      </c>
      <c r="S12" s="421">
        <f t="shared" si="3"/>
        <v>9</v>
      </c>
      <c r="T12" s="214" t="e">
        <f ca="1">'MI 6'!T12</f>
        <v>#NAME?</v>
      </c>
      <c r="U12" s="7" t="e">
        <f ca="1">'MI 6'!U12</f>
        <v>#NAME?</v>
      </c>
      <c r="V12" s="7" t="e">
        <f ca="1">'MI 6'!V12</f>
        <v>#NAME?</v>
      </c>
      <c r="W12" s="215" t="e">
        <f ca="1">'MI 6'!W12</f>
        <v>#NAME?</v>
      </c>
      <c r="Y12" s="421">
        <f t="shared" si="4"/>
        <v>9</v>
      </c>
      <c r="Z12" s="214" t="e">
        <f ca="1">'MI 6'!Z12</f>
        <v>#NAME?</v>
      </c>
      <c r="AA12" s="7" t="e">
        <f ca="1">'MI 6'!AA12</f>
        <v>#NAME?</v>
      </c>
      <c r="AB12" s="7" t="e">
        <f ca="1">'MI 6'!AB12</f>
        <v>#NAME?</v>
      </c>
      <c r="AC12" s="215" t="e">
        <f ca="1">'MI 6'!AC12</f>
        <v>#NAME?</v>
      </c>
    </row>
    <row r="13" spans="1:35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s="421">
        <f t="shared" si="1"/>
        <v>10</v>
      </c>
      <c r="H13" s="214" t="e">
        <f ca="1">'MI 6'!H13</f>
        <v>#NAME?</v>
      </c>
      <c r="I13" s="7" t="e">
        <f ca="1">'MI 6'!I13</f>
        <v>#NAME?</v>
      </c>
      <c r="J13" s="7" t="e">
        <f ca="1">'MI 6'!J13</f>
        <v>#NAME?</v>
      </c>
      <c r="K13" s="215" t="e">
        <f ca="1">'MI 6'!K13</f>
        <v>#NAME?</v>
      </c>
      <c r="M13" s="421">
        <f t="shared" si="2"/>
        <v>10</v>
      </c>
      <c r="N13" s="214" t="e">
        <f ca="1">'MI 6'!N13</f>
        <v>#NAME?</v>
      </c>
      <c r="O13" s="7" t="e">
        <f ca="1">'MI 6'!O13</f>
        <v>#NAME?</v>
      </c>
      <c r="P13" s="7" t="e">
        <f ca="1">'MI 6'!P13</f>
        <v>#NAME?</v>
      </c>
      <c r="Q13" s="215" t="e">
        <f ca="1">'MI 6'!Q13</f>
        <v>#NAME?</v>
      </c>
      <c r="S13" s="421">
        <f t="shared" si="3"/>
        <v>10</v>
      </c>
      <c r="T13" s="214" t="e">
        <f ca="1">'MI 6'!T13</f>
        <v>#NAME?</v>
      </c>
      <c r="U13" s="7" t="e">
        <f ca="1">'MI 6'!U13</f>
        <v>#NAME?</v>
      </c>
      <c r="V13" s="7" t="e">
        <f ca="1">'MI 6'!V13</f>
        <v>#NAME?</v>
      </c>
      <c r="W13" s="215" t="e">
        <f ca="1">'MI 6'!W13</f>
        <v>#NAME?</v>
      </c>
      <c r="Y13" s="421">
        <f t="shared" si="4"/>
        <v>10</v>
      </c>
      <c r="Z13" s="214" t="e">
        <f ca="1">'MI 6'!Z13</f>
        <v>#NAME?</v>
      </c>
      <c r="AA13" s="7" t="e">
        <f ca="1">'MI 6'!AA13</f>
        <v>#NAME?</v>
      </c>
      <c r="AB13" s="7" t="e">
        <f ca="1">'MI 6'!AB13</f>
        <v>#NAME?</v>
      </c>
      <c r="AC13" s="215" t="e">
        <f ca="1">'MI 6'!AC13</f>
        <v>#NAME?</v>
      </c>
      <c r="AE13" t="s">
        <v>1041</v>
      </c>
    </row>
    <row r="14" spans="1:35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s="421">
        <f t="shared" si="1"/>
        <v>11</v>
      </c>
      <c r="H14" s="214" t="e">
        <f ca="1">'MI 6'!H14</f>
        <v>#NAME?</v>
      </c>
      <c r="I14" s="7" t="e">
        <f ca="1">'MI 6'!I14</f>
        <v>#NAME?</v>
      </c>
      <c r="J14" s="7" t="e">
        <f ca="1">'MI 6'!J14</f>
        <v>#NAME?</v>
      </c>
      <c r="K14" s="215" t="e">
        <f ca="1">'MI 6'!K14</f>
        <v>#NAME?</v>
      </c>
      <c r="M14" s="421">
        <f t="shared" si="2"/>
        <v>11</v>
      </c>
      <c r="N14" s="214" t="e">
        <f ca="1">'MI 6'!N14</f>
        <v>#NAME?</v>
      </c>
      <c r="O14" s="7" t="e">
        <f ca="1">'MI 6'!O14</f>
        <v>#NAME?</v>
      </c>
      <c r="P14" s="7" t="e">
        <f ca="1">'MI 6'!P14</f>
        <v>#NAME?</v>
      </c>
      <c r="Q14" s="215" t="e">
        <f ca="1">'MI 6'!Q14</f>
        <v>#NAME?</v>
      </c>
      <c r="S14" s="421">
        <f t="shared" si="3"/>
        <v>11</v>
      </c>
      <c r="T14" s="214" t="e">
        <f ca="1">'MI 6'!T14</f>
        <v>#NAME?</v>
      </c>
      <c r="U14" s="7" t="e">
        <f ca="1">'MI 6'!U14</f>
        <v>#NAME?</v>
      </c>
      <c r="V14" s="7" t="e">
        <f ca="1">'MI 6'!V14</f>
        <v>#NAME?</v>
      </c>
      <c r="W14" s="215" t="e">
        <f ca="1">'MI 6'!W14</f>
        <v>#NAME?</v>
      </c>
      <c r="Y14" s="421">
        <f t="shared" si="4"/>
        <v>11</v>
      </c>
      <c r="Z14" s="214" t="e">
        <f ca="1">'MI 6'!Z14</f>
        <v>#NAME?</v>
      </c>
      <c r="AA14" s="7" t="e">
        <f ca="1">'MI 6'!AA14</f>
        <v>#NAME?</v>
      </c>
      <c r="AB14" s="7" t="e">
        <f ca="1">'MI 6'!AB14</f>
        <v>#NAME?</v>
      </c>
      <c r="AC14" s="215" t="e">
        <f ca="1">'MI 6'!AC14</f>
        <v>#NAME?</v>
      </c>
    </row>
    <row r="15" spans="1:35" x14ac:dyDescent="0.25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G15" s="421">
        <f t="shared" si="1"/>
        <v>12</v>
      </c>
      <c r="H15" s="214" t="e">
        <f ca="1">'MI 6'!H15</f>
        <v>#NAME?</v>
      </c>
      <c r="I15" s="7" t="e">
        <f ca="1">'MI 6'!I15</f>
        <v>#NAME?</v>
      </c>
      <c r="J15" s="7" t="e">
        <f ca="1">'MI 6'!J15</f>
        <v>#NAME?</v>
      </c>
      <c r="K15" s="215" t="e">
        <f ca="1">'MI 6'!K15</f>
        <v>#NAME?</v>
      </c>
      <c r="M15" s="421">
        <f t="shared" si="2"/>
        <v>12</v>
      </c>
      <c r="N15" s="214" t="e">
        <f ca="1">'MI 6'!N15</f>
        <v>#NAME?</v>
      </c>
      <c r="O15" s="7" t="e">
        <f ca="1">'MI 6'!O15</f>
        <v>#NAME?</v>
      </c>
      <c r="P15" s="7" t="e">
        <f ca="1">'MI 6'!P15</f>
        <v>#NAME?</v>
      </c>
      <c r="Q15" s="215" t="e">
        <f ca="1">'MI 6'!Q15</f>
        <v>#NAME?</v>
      </c>
      <c r="S15" s="421">
        <f t="shared" si="3"/>
        <v>12</v>
      </c>
      <c r="T15" s="214" t="e">
        <f ca="1">'MI 6'!T15</f>
        <v>#NAME?</v>
      </c>
      <c r="U15" s="7" t="e">
        <f ca="1">'MI 6'!U15</f>
        <v>#NAME?</v>
      </c>
      <c r="V15" s="7" t="e">
        <f ca="1">'MI 6'!V15</f>
        <v>#NAME?</v>
      </c>
      <c r="W15" s="215" t="e">
        <f ca="1">'MI 6'!W15</f>
        <v>#NAME?</v>
      </c>
      <c r="Y15" s="421">
        <f t="shared" si="4"/>
        <v>12</v>
      </c>
      <c r="Z15" s="214" t="e">
        <f ca="1">'MI 6'!Z15</f>
        <v>#NAME?</v>
      </c>
      <c r="AA15" s="7" t="e">
        <f ca="1">'MI 6'!AA15</f>
        <v>#NAME?</v>
      </c>
      <c r="AB15" s="7" t="e">
        <f ca="1">'MI 6'!AB15</f>
        <v>#NAME?</v>
      </c>
      <c r="AC15" s="215" t="e">
        <f ca="1">'MI 6'!AC15</f>
        <v>#NAME?</v>
      </c>
      <c r="AF15" s="422" t="e">
        <f t="array" aca="1" ref="AF15:AI20" ca="1">MICombine(H3:K23,4,2,TRUE,TRUE)</f>
        <v>#NAME?</v>
      </c>
      <c r="AG15" s="422" t="e">
        <f ca="1"/>
        <v>#NAME?</v>
      </c>
      <c r="AH15" s="422" t="e">
        <f ca="1"/>
        <v>#NAME?</v>
      </c>
      <c r="AI15" s="422" t="e">
        <f ca="1"/>
        <v>#NAME?</v>
      </c>
    </row>
    <row r="16" spans="1:35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s="421">
        <f t="shared" si="1"/>
        <v>13</v>
      </c>
      <c r="H16" s="214" t="e">
        <f ca="1">'MI 6'!H16</f>
        <v>#NAME?</v>
      </c>
      <c r="I16" s="7" t="e">
        <f ca="1">'MI 6'!I16</f>
        <v>#NAME?</v>
      </c>
      <c r="J16" s="7" t="e">
        <f ca="1">'MI 6'!J16</f>
        <v>#NAME?</v>
      </c>
      <c r="K16" s="215" t="e">
        <f ca="1">'MI 6'!K16</f>
        <v>#NAME?</v>
      </c>
      <c r="M16" s="421">
        <f t="shared" si="2"/>
        <v>13</v>
      </c>
      <c r="N16" s="214" t="e">
        <f ca="1">'MI 6'!N16</f>
        <v>#NAME?</v>
      </c>
      <c r="O16" s="7" t="e">
        <f ca="1">'MI 6'!O16</f>
        <v>#NAME?</v>
      </c>
      <c r="P16" s="7" t="e">
        <f ca="1">'MI 6'!P16</f>
        <v>#NAME?</v>
      </c>
      <c r="Q16" s="215" t="e">
        <f ca="1">'MI 6'!Q16</f>
        <v>#NAME?</v>
      </c>
      <c r="S16" s="421">
        <f t="shared" si="3"/>
        <v>13</v>
      </c>
      <c r="T16" s="214" t="e">
        <f ca="1">'MI 6'!T16</f>
        <v>#NAME?</v>
      </c>
      <c r="U16" s="7" t="e">
        <f ca="1">'MI 6'!U16</f>
        <v>#NAME?</v>
      </c>
      <c r="V16" s="7" t="e">
        <f ca="1">'MI 6'!V16</f>
        <v>#NAME?</v>
      </c>
      <c r="W16" s="215" t="e">
        <f ca="1">'MI 6'!W16</f>
        <v>#NAME?</v>
      </c>
      <c r="Y16" s="421">
        <f t="shared" si="4"/>
        <v>13</v>
      </c>
      <c r="Z16" s="214" t="e">
        <f ca="1">'MI 6'!Z16</f>
        <v>#NAME?</v>
      </c>
      <c r="AA16" s="7" t="e">
        <f ca="1">'MI 6'!AA16</f>
        <v>#NAME?</v>
      </c>
      <c r="AB16" s="7" t="e">
        <f ca="1">'MI 6'!AB16</f>
        <v>#NAME?</v>
      </c>
      <c r="AC16" s="215" t="e">
        <f ca="1">'MI 6'!AC16</f>
        <v>#NAME?</v>
      </c>
      <c r="AE16" t="s">
        <v>6</v>
      </c>
      <c r="AF16" s="418" t="e">
        <f ca="1"/>
        <v>#NAME?</v>
      </c>
      <c r="AG16" s="416" t="e">
        <f ca="1"/>
        <v>#NAME?</v>
      </c>
      <c r="AH16" s="416" t="e">
        <f ca="1"/>
        <v>#NAME?</v>
      </c>
      <c r="AI16" s="419" t="e">
        <f ca="1"/>
        <v>#NAME?</v>
      </c>
    </row>
    <row r="17" spans="1:43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  <c r="G17" s="421">
        <f t="shared" si="1"/>
        <v>14</v>
      </c>
      <c r="H17" s="214" t="e">
        <f ca="1">'MI 6'!H17</f>
        <v>#NAME?</v>
      </c>
      <c r="I17" s="7" t="e">
        <f ca="1">'MI 6'!I17</f>
        <v>#NAME?</v>
      </c>
      <c r="J17" s="7" t="e">
        <f ca="1">'MI 6'!J17</f>
        <v>#NAME?</v>
      </c>
      <c r="K17" s="215" t="e">
        <f ca="1">'MI 6'!K17</f>
        <v>#NAME?</v>
      </c>
      <c r="M17" s="421">
        <f t="shared" si="2"/>
        <v>14</v>
      </c>
      <c r="N17" s="214" t="e">
        <f ca="1">'MI 6'!N17</f>
        <v>#NAME?</v>
      </c>
      <c r="O17" s="7" t="e">
        <f ca="1">'MI 6'!O17</f>
        <v>#NAME?</v>
      </c>
      <c r="P17" s="7" t="e">
        <f ca="1">'MI 6'!P17</f>
        <v>#NAME?</v>
      </c>
      <c r="Q17" s="215" t="e">
        <f ca="1">'MI 6'!Q17</f>
        <v>#NAME?</v>
      </c>
      <c r="S17" s="421">
        <f t="shared" si="3"/>
        <v>14</v>
      </c>
      <c r="T17" s="214" t="e">
        <f ca="1">'MI 6'!T17</f>
        <v>#NAME?</v>
      </c>
      <c r="U17" s="7" t="e">
        <f ca="1">'MI 6'!U17</f>
        <v>#NAME?</v>
      </c>
      <c r="V17" s="7" t="e">
        <f ca="1">'MI 6'!V17</f>
        <v>#NAME?</v>
      </c>
      <c r="W17" s="215" t="e">
        <f ca="1">'MI 6'!W17</f>
        <v>#NAME?</v>
      </c>
      <c r="Y17" s="421">
        <f t="shared" si="4"/>
        <v>14</v>
      </c>
      <c r="Z17" s="214" t="e">
        <f ca="1">'MI 6'!Z17</f>
        <v>#NAME?</v>
      </c>
      <c r="AA17" s="7" t="e">
        <f ca="1">'MI 6'!AA17</f>
        <v>#NAME?</v>
      </c>
      <c r="AB17" s="7" t="e">
        <f ca="1">'MI 6'!AB17</f>
        <v>#NAME?</v>
      </c>
      <c r="AC17" s="215" t="e">
        <f ca="1">'MI 6'!AC17</f>
        <v>#NAME?</v>
      </c>
      <c r="AE17" t="s">
        <v>8</v>
      </c>
      <c r="AF17" s="214" t="e">
        <f ca="1"/>
        <v>#NAME?</v>
      </c>
      <c r="AG17" s="7" t="e">
        <f ca="1"/>
        <v>#NAME?</v>
      </c>
      <c r="AH17" s="7" t="e">
        <f ca="1"/>
        <v>#NAME?</v>
      </c>
      <c r="AI17" s="215" t="e">
        <f ca="1"/>
        <v>#NAME?</v>
      </c>
    </row>
    <row r="18" spans="1:43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421">
        <f t="shared" si="1"/>
        <v>15</v>
      </c>
      <c r="H18" s="214" t="e">
        <f ca="1">'MI 6'!H18</f>
        <v>#NAME?</v>
      </c>
      <c r="I18" s="7" t="e">
        <f ca="1">'MI 6'!I18</f>
        <v>#NAME?</v>
      </c>
      <c r="J18" s="7" t="e">
        <f ca="1">'MI 6'!J18</f>
        <v>#NAME?</v>
      </c>
      <c r="K18" s="215" t="e">
        <f ca="1">'MI 6'!K18</f>
        <v>#NAME?</v>
      </c>
      <c r="M18" s="421">
        <f t="shared" si="2"/>
        <v>15</v>
      </c>
      <c r="N18" s="214" t="e">
        <f ca="1">'MI 6'!N18</f>
        <v>#NAME?</v>
      </c>
      <c r="O18" s="7" t="e">
        <f ca="1">'MI 6'!O18</f>
        <v>#NAME?</v>
      </c>
      <c r="P18" s="7" t="e">
        <f ca="1">'MI 6'!P18</f>
        <v>#NAME?</v>
      </c>
      <c r="Q18" s="215" t="e">
        <f ca="1">'MI 6'!Q18</f>
        <v>#NAME?</v>
      </c>
      <c r="S18" s="421">
        <f t="shared" si="3"/>
        <v>15</v>
      </c>
      <c r="T18" s="214" t="e">
        <f ca="1">'MI 6'!T18</f>
        <v>#NAME?</v>
      </c>
      <c r="U18" s="7" t="e">
        <f ca="1">'MI 6'!U18</f>
        <v>#NAME?</v>
      </c>
      <c r="V18" s="7" t="e">
        <f ca="1">'MI 6'!V18</f>
        <v>#NAME?</v>
      </c>
      <c r="W18" s="215" t="e">
        <f ca="1">'MI 6'!W18</f>
        <v>#NAME?</v>
      </c>
      <c r="Y18" s="421">
        <f t="shared" si="4"/>
        <v>15</v>
      </c>
      <c r="Z18" s="214" t="e">
        <f ca="1">'MI 6'!Z18</f>
        <v>#NAME?</v>
      </c>
      <c r="AA18" s="7" t="e">
        <f ca="1">'MI 6'!AA18</f>
        <v>#NAME?</v>
      </c>
      <c r="AB18" s="7" t="e">
        <f ca="1">'MI 6'!AB18</f>
        <v>#NAME?</v>
      </c>
      <c r="AC18" s="215" t="e">
        <f ca="1">'MI 6'!AC18</f>
        <v>#NAME?</v>
      </c>
      <c r="AE18" t="s">
        <v>797</v>
      </c>
      <c r="AF18" s="214" t="e">
        <f ca="1"/>
        <v>#NAME?</v>
      </c>
      <c r="AG18" s="7" t="e">
        <f ca="1"/>
        <v>#NAME?</v>
      </c>
      <c r="AH18" s="7" t="e">
        <f ca="1"/>
        <v>#NAME?</v>
      </c>
      <c r="AI18" s="215" t="e">
        <f ca="1"/>
        <v>#NAME?</v>
      </c>
    </row>
    <row r="19" spans="1:43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G19" s="421">
        <f t="shared" si="1"/>
        <v>16</v>
      </c>
      <c r="H19" s="214" t="e">
        <f ca="1">'MI 6'!H19</f>
        <v>#NAME?</v>
      </c>
      <c r="I19" s="7" t="e">
        <f ca="1">'MI 6'!I19</f>
        <v>#NAME?</v>
      </c>
      <c r="J19" s="7" t="e">
        <f ca="1">'MI 6'!J19</f>
        <v>#NAME?</v>
      </c>
      <c r="K19" s="215" t="e">
        <f ca="1">'MI 6'!K19</f>
        <v>#NAME?</v>
      </c>
      <c r="M19" s="421">
        <f t="shared" si="2"/>
        <v>16</v>
      </c>
      <c r="N19" s="214" t="e">
        <f ca="1">'MI 6'!N19</f>
        <v>#NAME?</v>
      </c>
      <c r="O19" s="7" t="e">
        <f ca="1">'MI 6'!O19</f>
        <v>#NAME?</v>
      </c>
      <c r="P19" s="7" t="e">
        <f ca="1">'MI 6'!P19</f>
        <v>#NAME?</v>
      </c>
      <c r="Q19" s="215" t="e">
        <f ca="1">'MI 6'!Q19</f>
        <v>#NAME?</v>
      </c>
      <c r="S19" s="421">
        <f t="shared" si="3"/>
        <v>16</v>
      </c>
      <c r="T19" s="214" t="e">
        <f ca="1">'MI 6'!T19</f>
        <v>#NAME?</v>
      </c>
      <c r="U19" s="7" t="e">
        <f ca="1">'MI 6'!U19</f>
        <v>#NAME?</v>
      </c>
      <c r="V19" s="7" t="e">
        <f ca="1">'MI 6'!V19</f>
        <v>#NAME?</v>
      </c>
      <c r="W19" s="215" t="e">
        <f ca="1">'MI 6'!W19</f>
        <v>#NAME?</v>
      </c>
      <c r="Y19" s="421">
        <f t="shared" si="4"/>
        <v>16</v>
      </c>
      <c r="Z19" s="214" t="e">
        <f ca="1">'MI 6'!Z19</f>
        <v>#NAME?</v>
      </c>
      <c r="AA19" s="7" t="e">
        <f ca="1">'MI 6'!AA19</f>
        <v>#NAME?</v>
      </c>
      <c r="AB19" s="7" t="e">
        <f ca="1">'MI 6'!AB19</f>
        <v>#NAME?</v>
      </c>
      <c r="AC19" s="215" t="e">
        <f ca="1">'MI 6'!AC19</f>
        <v>#NAME?</v>
      </c>
      <c r="AE19" t="s">
        <v>992</v>
      </c>
      <c r="AF19" s="214" t="e">
        <f ca="1"/>
        <v>#NAME?</v>
      </c>
      <c r="AG19" s="7" t="e">
        <f ca="1"/>
        <v>#NAME?</v>
      </c>
      <c r="AH19" s="7" t="e">
        <f ca="1"/>
        <v>#NAME?</v>
      </c>
      <c r="AI19" s="215" t="e">
        <f ca="1"/>
        <v>#NAME?</v>
      </c>
    </row>
    <row r="20" spans="1:43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G20" s="421">
        <f t="shared" si="1"/>
        <v>17</v>
      </c>
      <c r="H20" s="214" t="e">
        <f ca="1">'MI 6'!H20</f>
        <v>#NAME?</v>
      </c>
      <c r="I20" s="7" t="e">
        <f ca="1">'MI 6'!I20</f>
        <v>#NAME?</v>
      </c>
      <c r="J20" s="7" t="e">
        <f ca="1">'MI 6'!J20</f>
        <v>#NAME?</v>
      </c>
      <c r="K20" s="215" t="e">
        <f ca="1">'MI 6'!K20</f>
        <v>#NAME?</v>
      </c>
      <c r="M20" s="421">
        <f t="shared" si="2"/>
        <v>17</v>
      </c>
      <c r="N20" s="214" t="e">
        <f ca="1">'MI 6'!N20</f>
        <v>#NAME?</v>
      </c>
      <c r="O20" s="7" t="e">
        <f ca="1">'MI 6'!O20</f>
        <v>#NAME?</v>
      </c>
      <c r="P20" s="7" t="e">
        <f ca="1">'MI 6'!P20</f>
        <v>#NAME?</v>
      </c>
      <c r="Q20" s="215" t="e">
        <f ca="1">'MI 6'!Q20</f>
        <v>#NAME?</v>
      </c>
      <c r="S20" s="421">
        <f t="shared" si="3"/>
        <v>17</v>
      </c>
      <c r="T20" s="214" t="e">
        <f ca="1">'MI 6'!T20</f>
        <v>#NAME?</v>
      </c>
      <c r="U20" s="7" t="e">
        <f ca="1">'MI 6'!U20</f>
        <v>#NAME?</v>
      </c>
      <c r="V20" s="7" t="e">
        <f ca="1">'MI 6'!V20</f>
        <v>#NAME?</v>
      </c>
      <c r="W20" s="215" t="e">
        <f ca="1">'MI 6'!W20</f>
        <v>#NAME?</v>
      </c>
      <c r="Y20" s="421">
        <f t="shared" si="4"/>
        <v>17</v>
      </c>
      <c r="Z20" s="214" t="e">
        <f ca="1">'MI 6'!Z20</f>
        <v>#NAME?</v>
      </c>
      <c r="AA20" s="7" t="e">
        <f ca="1">'MI 6'!AA20</f>
        <v>#NAME?</v>
      </c>
      <c r="AB20" s="7" t="e">
        <f ca="1">'MI 6'!AB20</f>
        <v>#NAME?</v>
      </c>
      <c r="AC20" s="215" t="e">
        <f ca="1">'MI 6'!AC20</f>
        <v>#NAME?</v>
      </c>
      <c r="AE20" t="s">
        <v>1034</v>
      </c>
      <c r="AF20" s="112" t="e">
        <f ca="1"/>
        <v>#NAME?</v>
      </c>
      <c r="AG20" s="354" t="e">
        <f ca="1"/>
        <v>#NAME?</v>
      </c>
      <c r="AH20" s="354" t="e">
        <f ca="1"/>
        <v>#NAME?</v>
      </c>
      <c r="AI20" s="120" t="e">
        <f ca="1"/>
        <v>#NAME?</v>
      </c>
    </row>
    <row r="21" spans="1:43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421">
        <f t="shared" si="1"/>
        <v>18</v>
      </c>
      <c r="H21" s="214" t="e">
        <f ca="1">'MI 6'!H21</f>
        <v>#NAME?</v>
      </c>
      <c r="I21" s="7" t="e">
        <f ca="1">'MI 6'!I21</f>
        <v>#NAME?</v>
      </c>
      <c r="J21" s="7" t="e">
        <f ca="1">'MI 6'!J21</f>
        <v>#NAME?</v>
      </c>
      <c r="K21" s="215" t="e">
        <f ca="1">'MI 6'!K21</f>
        <v>#NAME?</v>
      </c>
      <c r="M21" s="421">
        <f t="shared" si="2"/>
        <v>18</v>
      </c>
      <c r="N21" s="214" t="e">
        <f ca="1">'MI 6'!N21</f>
        <v>#NAME?</v>
      </c>
      <c r="O21" s="7" t="e">
        <f ca="1">'MI 6'!O21</f>
        <v>#NAME?</v>
      </c>
      <c r="P21" s="7" t="e">
        <f ca="1">'MI 6'!P21</f>
        <v>#NAME?</v>
      </c>
      <c r="Q21" s="215" t="e">
        <f ca="1">'MI 6'!Q21</f>
        <v>#NAME?</v>
      </c>
      <c r="S21" s="421">
        <f t="shared" si="3"/>
        <v>18</v>
      </c>
      <c r="T21" s="214" t="e">
        <f ca="1">'MI 6'!T21</f>
        <v>#NAME?</v>
      </c>
      <c r="U21" s="7" t="e">
        <f ca="1">'MI 6'!U21</f>
        <v>#NAME?</v>
      </c>
      <c r="V21" s="7" t="e">
        <f ca="1">'MI 6'!V21</f>
        <v>#NAME?</v>
      </c>
      <c r="W21" s="215" t="e">
        <f ca="1">'MI 6'!W21</f>
        <v>#NAME?</v>
      </c>
      <c r="Y21" s="421">
        <f t="shared" si="4"/>
        <v>18</v>
      </c>
      <c r="Z21" s="214" t="e">
        <f ca="1">'MI 6'!Z21</f>
        <v>#NAME?</v>
      </c>
      <c r="AA21" s="7" t="e">
        <f ca="1">'MI 6'!AA21</f>
        <v>#NAME?</v>
      </c>
      <c r="AB21" s="7" t="e">
        <f ca="1">'MI 6'!AB21</f>
        <v>#NAME?</v>
      </c>
      <c r="AC21" s="215" t="e">
        <f ca="1">'MI 6'!AC21</f>
        <v>#NAME?</v>
      </c>
    </row>
    <row r="22" spans="1:43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G22" s="421">
        <f t="shared" si="1"/>
        <v>19</v>
      </c>
      <c r="H22" s="214" t="e">
        <f ca="1">'MI 6'!H22</f>
        <v>#NAME?</v>
      </c>
      <c r="I22" s="7" t="e">
        <f ca="1">'MI 6'!I22</f>
        <v>#NAME?</v>
      </c>
      <c r="J22" s="7" t="e">
        <f ca="1">'MI 6'!J22</f>
        <v>#NAME?</v>
      </c>
      <c r="K22" s="215" t="e">
        <f ca="1">'MI 6'!K22</f>
        <v>#NAME?</v>
      </c>
      <c r="M22" s="421">
        <f t="shared" si="2"/>
        <v>19</v>
      </c>
      <c r="N22" s="214" t="e">
        <f ca="1">'MI 6'!N22</f>
        <v>#NAME?</v>
      </c>
      <c r="O22" s="7" t="e">
        <f ca="1">'MI 6'!O22</f>
        <v>#NAME?</v>
      </c>
      <c r="P22" s="7" t="e">
        <f ca="1">'MI 6'!P22</f>
        <v>#NAME?</v>
      </c>
      <c r="Q22" s="215" t="e">
        <f ca="1">'MI 6'!Q22</f>
        <v>#NAME?</v>
      </c>
      <c r="S22" s="421">
        <f t="shared" si="3"/>
        <v>19</v>
      </c>
      <c r="T22" s="214" t="e">
        <f ca="1">'MI 6'!T22</f>
        <v>#NAME?</v>
      </c>
      <c r="U22" s="7" t="e">
        <f ca="1">'MI 6'!U22</f>
        <v>#NAME?</v>
      </c>
      <c r="V22" s="7" t="e">
        <f ca="1">'MI 6'!V22</f>
        <v>#NAME?</v>
      </c>
      <c r="W22" s="215" t="e">
        <f ca="1">'MI 6'!W22</f>
        <v>#NAME?</v>
      </c>
      <c r="Y22" s="421">
        <f t="shared" si="4"/>
        <v>19</v>
      </c>
      <c r="Z22" s="214" t="e">
        <f ca="1">'MI 6'!Z22</f>
        <v>#NAME?</v>
      </c>
      <c r="AA22" s="7" t="e">
        <f ca="1">'MI 6'!AA22</f>
        <v>#NAME?</v>
      </c>
      <c r="AB22" s="7" t="e">
        <f ca="1">'MI 6'!AB22</f>
        <v>#NAME?</v>
      </c>
      <c r="AC22" s="215" t="e">
        <f ca="1">'MI 6'!AC22</f>
        <v>#NAME?</v>
      </c>
      <c r="AE22" t="s">
        <v>1041</v>
      </c>
      <c r="AK22" t="s">
        <v>798</v>
      </c>
    </row>
    <row r="23" spans="1:43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G23" s="421">
        <f t="shared" si="1"/>
        <v>20</v>
      </c>
      <c r="H23" s="112" t="e">
        <f ca="1">'MI 6'!H23</f>
        <v>#NAME?</v>
      </c>
      <c r="I23" s="354" t="e">
        <f ca="1">'MI 6'!I23</f>
        <v>#NAME?</v>
      </c>
      <c r="J23" s="354" t="e">
        <f ca="1">'MI 6'!J23</f>
        <v>#NAME?</v>
      </c>
      <c r="K23" s="120" t="e">
        <f ca="1">'MI 6'!K23</f>
        <v>#NAME?</v>
      </c>
      <c r="M23" s="421">
        <f t="shared" si="2"/>
        <v>20</v>
      </c>
      <c r="N23" s="112" t="e">
        <f ca="1">'MI 6'!N23</f>
        <v>#NAME?</v>
      </c>
      <c r="O23" s="354" t="e">
        <f ca="1">'MI 6'!O23</f>
        <v>#NAME?</v>
      </c>
      <c r="P23" s="354" t="e">
        <f ca="1">'MI 6'!P23</f>
        <v>#NAME?</v>
      </c>
      <c r="Q23" s="120" t="e">
        <f ca="1">'MI 6'!Q23</f>
        <v>#NAME?</v>
      </c>
      <c r="S23" s="421">
        <f t="shared" si="3"/>
        <v>20</v>
      </c>
      <c r="T23" s="112" t="e">
        <f ca="1">'MI 6'!T23</f>
        <v>#NAME?</v>
      </c>
      <c r="U23" s="354" t="e">
        <f ca="1">'MI 6'!U23</f>
        <v>#NAME?</v>
      </c>
      <c r="V23" s="354" t="e">
        <f ca="1">'MI 6'!V23</f>
        <v>#NAME?</v>
      </c>
      <c r="W23" s="120" t="e">
        <f ca="1">'MI 6'!W23</f>
        <v>#NAME?</v>
      </c>
      <c r="Y23" s="421">
        <f t="shared" si="4"/>
        <v>20</v>
      </c>
      <c r="Z23" s="112" t="e">
        <f ca="1">'MI 6'!Z23</f>
        <v>#NAME?</v>
      </c>
      <c r="AA23" s="354" t="e">
        <f ca="1">'MI 6'!AA23</f>
        <v>#NAME?</v>
      </c>
      <c r="AB23" s="354" t="e">
        <f ca="1">'MI 6'!AB23</f>
        <v>#NAME?</v>
      </c>
      <c r="AC23" s="120" t="e">
        <f ca="1">'MI 6'!AC23</f>
        <v>#NAME?</v>
      </c>
    </row>
    <row r="24" spans="1:43" ht="15.75" thickBot="1" x14ac:dyDescent="0.3">
      <c r="AF24" s="421" t="s">
        <v>1015</v>
      </c>
      <c r="AG24" s="421" t="s">
        <v>997</v>
      </c>
      <c r="AH24" s="421" t="s">
        <v>996</v>
      </c>
      <c r="AI24" s="421" t="s">
        <v>1016</v>
      </c>
      <c r="AK24" s="342" t="s">
        <v>799</v>
      </c>
      <c r="AL24" s="342"/>
    </row>
    <row r="25" spans="1:43" ht="15.75" thickTop="1" x14ac:dyDescent="0.25">
      <c r="A25" s="421" t="s">
        <v>6</v>
      </c>
      <c r="B25">
        <f>AVERAGE(B4:B23)</f>
        <v>16.133333333333333</v>
      </c>
      <c r="C25">
        <f>AVERAGE(C4:C23)</f>
        <v>34.411764705882355</v>
      </c>
      <c r="D25">
        <f>AVERAGE(D4:D23)</f>
        <v>21.0625</v>
      </c>
      <c r="E25">
        <f>AVERAGE(E4:E23)</f>
        <v>47.722222222222221</v>
      </c>
      <c r="G25" t="s">
        <v>6</v>
      </c>
      <c r="H25" s="418" t="e">
        <f t="array" aca="1" ref="H25:K29" ca="1">MISummary(H4:K23,FALSE)</f>
        <v>#NAME?</v>
      </c>
      <c r="I25" s="416" t="e">
        <f ca="1"/>
        <v>#NAME?</v>
      </c>
      <c r="J25" s="416" t="e">
        <f ca="1"/>
        <v>#NAME?</v>
      </c>
      <c r="K25" s="419" t="e">
        <f ca="1"/>
        <v>#NAME?</v>
      </c>
      <c r="M25" t="s">
        <v>6</v>
      </c>
      <c r="N25" s="418" t="e">
        <f t="array" aca="1" ref="N25:Q29" ca="1">MISummary(N4:Q23,FALSE)</f>
        <v>#NAME?</v>
      </c>
      <c r="O25" s="416" t="e">
        <f ca="1"/>
        <v>#NAME?</v>
      </c>
      <c r="P25" s="416" t="e">
        <f ca="1"/>
        <v>#NAME?</v>
      </c>
      <c r="Q25" s="419" t="e">
        <f ca="1"/>
        <v>#NAME?</v>
      </c>
      <c r="S25" t="s">
        <v>6</v>
      </c>
      <c r="T25" s="418" t="e">
        <f t="array" aca="1" ref="T25:W29" ca="1">MISummary(T4:W23,FALSE)</f>
        <v>#NAME?</v>
      </c>
      <c r="U25" s="416" t="e">
        <f ca="1"/>
        <v>#NAME?</v>
      </c>
      <c r="V25" s="416" t="e">
        <f ca="1"/>
        <v>#NAME?</v>
      </c>
      <c r="W25" s="419" t="e">
        <f ca="1"/>
        <v>#NAME?</v>
      </c>
      <c r="Y25" t="s">
        <v>6</v>
      </c>
      <c r="Z25" s="418" t="e">
        <f t="array" aca="1" ref="Z25:AC29" ca="1">MISummary(Z4:AC23,FALSE)</f>
        <v>#NAME?</v>
      </c>
      <c r="AA25" s="416" t="e">
        <f ca="1"/>
        <v>#NAME?</v>
      </c>
      <c r="AB25" s="416" t="e">
        <f ca="1"/>
        <v>#NAME?</v>
      </c>
      <c r="AC25" s="419" t="e">
        <f ca="1"/>
        <v>#NAME?</v>
      </c>
      <c r="AE25" t="s">
        <v>6</v>
      </c>
      <c r="AF25" s="418" t="e">
        <f t="array" aca="1" ref="AF25:AI29" ca="1">MICombine(H25:K27,4,2,FALSE,FALSE)</f>
        <v>#NAME?</v>
      </c>
      <c r="AG25" s="416" t="e">
        <f ca="1"/>
        <v>#NAME?</v>
      </c>
      <c r="AH25" s="416" t="e">
        <f ca="1"/>
        <v>#NAME?</v>
      </c>
      <c r="AI25" s="419" t="e">
        <f ca="1"/>
        <v>#NAME?</v>
      </c>
      <c r="AK25" t="s">
        <v>123</v>
      </c>
      <c r="AL25" t="e">
        <f ca="1">SQRT(AL26)</f>
        <v>#NAME?</v>
      </c>
    </row>
    <row r="26" spans="1:43" x14ac:dyDescent="0.25">
      <c r="A26" s="421" t="s">
        <v>8</v>
      </c>
      <c r="B26">
        <f>STDEV(B4:B23)</f>
        <v>4.7789219744724045</v>
      </c>
      <c r="C26">
        <f>STDEV(C4:C23)</f>
        <v>10.79964596369606</v>
      </c>
      <c r="D26">
        <f>STDEV(D4:D23)</f>
        <v>3.2755406678389241</v>
      </c>
      <c r="E26">
        <f>STDEV(E4:E23)</f>
        <v>7.6297063050063398</v>
      </c>
      <c r="G26" t="s">
        <v>8</v>
      </c>
      <c r="H26" s="214" t="e">
        <f ca="1"/>
        <v>#NAME?</v>
      </c>
      <c r="I26" s="7" t="e">
        <f ca="1"/>
        <v>#NAME?</v>
      </c>
      <c r="J26" s="7" t="e">
        <f ca="1"/>
        <v>#NAME?</v>
      </c>
      <c r="K26" s="215" t="e">
        <f ca="1"/>
        <v>#NAME?</v>
      </c>
      <c r="M26" t="s">
        <v>8</v>
      </c>
      <c r="N26" s="214" t="e">
        <f ca="1"/>
        <v>#NAME?</v>
      </c>
      <c r="O26" s="7" t="e">
        <f ca="1"/>
        <v>#NAME?</v>
      </c>
      <c r="P26" s="7" t="e">
        <f ca="1"/>
        <v>#NAME?</v>
      </c>
      <c r="Q26" s="215" t="e">
        <f ca="1"/>
        <v>#NAME?</v>
      </c>
      <c r="S26" t="s">
        <v>8</v>
      </c>
      <c r="T26" s="214" t="e">
        <f ca="1"/>
        <v>#NAME?</v>
      </c>
      <c r="U26" s="7" t="e">
        <f ca="1"/>
        <v>#NAME?</v>
      </c>
      <c r="V26" s="7" t="e">
        <f ca="1"/>
        <v>#NAME?</v>
      </c>
      <c r="W26" s="215" t="e">
        <f ca="1"/>
        <v>#NAME?</v>
      </c>
      <c r="Y26" t="s">
        <v>8</v>
      </c>
      <c r="Z26" s="214" t="e">
        <f ca="1"/>
        <v>#NAME?</v>
      </c>
      <c r="AA26" s="7" t="e">
        <f ca="1"/>
        <v>#NAME?</v>
      </c>
      <c r="AB26" s="7" t="e">
        <f ca="1"/>
        <v>#NAME?</v>
      </c>
      <c r="AC26" s="215" t="e">
        <f ca="1"/>
        <v>#NAME?</v>
      </c>
      <c r="AE26" t="s">
        <v>8</v>
      </c>
      <c r="AF26" s="214" t="e">
        <f ca="1"/>
        <v>#NAME?</v>
      </c>
      <c r="AG26" s="7" t="e">
        <f ca="1"/>
        <v>#NAME?</v>
      </c>
      <c r="AH26" s="7" t="e">
        <f ca="1"/>
        <v>#NAME?</v>
      </c>
      <c r="AI26" s="215" t="e">
        <f ca="1"/>
        <v>#NAME?</v>
      </c>
      <c r="AK26" t="s">
        <v>120</v>
      </c>
      <c r="AL26" t="e">
        <f ca="1">AF29</f>
        <v>#NAME?</v>
      </c>
    </row>
    <row r="27" spans="1:43" x14ac:dyDescent="0.25">
      <c r="G27" t="s">
        <v>797</v>
      </c>
      <c r="H27" s="214" t="e">
        <f ca="1"/>
        <v>#NAME?</v>
      </c>
      <c r="I27" s="7" t="e">
        <f ca="1"/>
        <v>#NAME?</v>
      </c>
      <c r="J27" s="7" t="e">
        <f ca="1"/>
        <v>#NAME?</v>
      </c>
      <c r="K27" s="215" t="e">
        <f ca="1"/>
        <v>#NAME?</v>
      </c>
      <c r="M27" t="s">
        <v>797</v>
      </c>
      <c r="N27" s="214" t="e">
        <f ca="1"/>
        <v>#NAME?</v>
      </c>
      <c r="O27" s="7" t="e">
        <f ca="1"/>
        <v>#NAME?</v>
      </c>
      <c r="P27" s="7" t="e">
        <f ca="1"/>
        <v>#NAME?</v>
      </c>
      <c r="Q27" s="215" t="e">
        <f ca="1"/>
        <v>#NAME?</v>
      </c>
      <c r="S27" t="s">
        <v>797</v>
      </c>
      <c r="T27" s="214" t="e">
        <f ca="1"/>
        <v>#NAME?</v>
      </c>
      <c r="U27" s="7" t="e">
        <f ca="1"/>
        <v>#NAME?</v>
      </c>
      <c r="V27" s="7" t="e">
        <f ca="1"/>
        <v>#NAME?</v>
      </c>
      <c r="W27" s="215" t="e">
        <f ca="1"/>
        <v>#NAME?</v>
      </c>
      <c r="Y27" t="s">
        <v>797</v>
      </c>
      <c r="Z27" s="214" t="e">
        <f ca="1"/>
        <v>#NAME?</v>
      </c>
      <c r="AA27" s="7" t="e">
        <f ca="1"/>
        <v>#NAME?</v>
      </c>
      <c r="AB27" s="7" t="e">
        <f ca="1"/>
        <v>#NAME?</v>
      </c>
      <c r="AC27" s="215" t="e">
        <f ca="1"/>
        <v>#NAME?</v>
      </c>
      <c r="AE27" t="s">
        <v>797</v>
      </c>
      <c r="AF27" s="214" t="e">
        <f ca="1"/>
        <v>#NAME?</v>
      </c>
      <c r="AG27" s="7" t="e">
        <f ca="1"/>
        <v>#NAME?</v>
      </c>
      <c r="AH27" s="7" t="e">
        <f ca="1"/>
        <v>#NAME?</v>
      </c>
      <c r="AI27" s="215" t="e">
        <f ca="1"/>
        <v>#NAME?</v>
      </c>
      <c r="AK27" t="s">
        <v>124</v>
      </c>
      <c r="AL27" t="e">
        <f ca="1">1-(1-AL26)*(AL29-1)/(AL29-AL33-1)</f>
        <v>#NAME?</v>
      </c>
    </row>
    <row r="28" spans="1:43" x14ac:dyDescent="0.25">
      <c r="G28" t="s">
        <v>992</v>
      </c>
      <c r="H28" s="214" t="e">
        <f ca="1"/>
        <v>#NAME?</v>
      </c>
      <c r="I28" s="7" t="e">
        <f ca="1"/>
        <v>#NAME?</v>
      </c>
      <c r="J28" s="7" t="e">
        <f ca="1"/>
        <v>#NAME?</v>
      </c>
      <c r="K28" s="215" t="e">
        <f ca="1"/>
        <v>#NAME?</v>
      </c>
      <c r="M28" t="s">
        <v>992</v>
      </c>
      <c r="N28" s="214" t="e">
        <f ca="1"/>
        <v>#NAME?</v>
      </c>
      <c r="O28" s="7" t="e">
        <f ca="1"/>
        <v>#NAME?</v>
      </c>
      <c r="P28" s="7" t="e">
        <f ca="1"/>
        <v>#NAME?</v>
      </c>
      <c r="Q28" s="215" t="e">
        <f ca="1"/>
        <v>#NAME?</v>
      </c>
      <c r="S28" t="s">
        <v>992</v>
      </c>
      <c r="T28" s="214" t="e">
        <f ca="1"/>
        <v>#NAME?</v>
      </c>
      <c r="U28" s="7" t="e">
        <f ca="1"/>
        <v>#NAME?</v>
      </c>
      <c r="V28" s="7" t="e">
        <f ca="1"/>
        <v>#NAME?</v>
      </c>
      <c r="W28" s="215" t="e">
        <f ca="1"/>
        <v>#NAME?</v>
      </c>
      <c r="Y28" t="s">
        <v>992</v>
      </c>
      <c r="Z28" s="214" t="e">
        <f ca="1"/>
        <v>#NAME?</v>
      </c>
      <c r="AA28" s="7" t="e">
        <f ca="1"/>
        <v>#NAME?</v>
      </c>
      <c r="AB28" s="7" t="e">
        <f ca="1"/>
        <v>#NAME?</v>
      </c>
      <c r="AC28" s="215" t="e">
        <f ca="1"/>
        <v>#NAME?</v>
      </c>
      <c r="AE28" t="s">
        <v>992</v>
      </c>
      <c r="AF28" s="214" t="e">
        <f ca="1"/>
        <v>#NAME?</v>
      </c>
      <c r="AG28" s="7" t="e">
        <f ca="1"/>
        <v>#NAME?</v>
      </c>
      <c r="AH28" s="7" t="e">
        <f ca="1"/>
        <v>#NAME?</v>
      </c>
      <c r="AI28" s="215" t="e">
        <f ca="1"/>
        <v>#NAME?</v>
      </c>
      <c r="AK28" t="s">
        <v>10</v>
      </c>
      <c r="AL28" t="e">
        <f ca="1">SQRT(AN34)</f>
        <v>#NAME?</v>
      </c>
    </row>
    <row r="29" spans="1:43" x14ac:dyDescent="0.25">
      <c r="G29" t="s">
        <v>1034</v>
      </c>
      <c r="H29" s="112" t="e">
        <f ca="1"/>
        <v>#NAME?</v>
      </c>
      <c r="I29" s="354" t="e">
        <f ca="1"/>
        <v>#NAME?</v>
      </c>
      <c r="J29" s="354" t="e">
        <f ca="1"/>
        <v>#NAME?</v>
      </c>
      <c r="K29" s="120" t="e">
        <f ca="1"/>
        <v>#NAME?</v>
      </c>
      <c r="M29" t="s">
        <v>1034</v>
      </c>
      <c r="N29" s="112" t="e">
        <f ca="1"/>
        <v>#NAME?</v>
      </c>
      <c r="O29" s="354" t="e">
        <f ca="1"/>
        <v>#NAME?</v>
      </c>
      <c r="P29" s="354" t="e">
        <f ca="1"/>
        <v>#NAME?</v>
      </c>
      <c r="Q29" s="120" t="e">
        <f ca="1"/>
        <v>#NAME?</v>
      </c>
      <c r="S29" t="s">
        <v>1034</v>
      </c>
      <c r="T29" s="112" t="e">
        <f ca="1"/>
        <v>#NAME?</v>
      </c>
      <c r="U29" s="354" t="e">
        <f ca="1"/>
        <v>#NAME?</v>
      </c>
      <c r="V29" s="354" t="e">
        <f ca="1"/>
        <v>#NAME?</v>
      </c>
      <c r="W29" s="120" t="e">
        <f ca="1"/>
        <v>#NAME?</v>
      </c>
      <c r="Y29" t="s">
        <v>1034</v>
      </c>
      <c r="Z29" s="112" t="e">
        <f ca="1"/>
        <v>#NAME?</v>
      </c>
      <c r="AA29" s="354" t="e">
        <f ca="1"/>
        <v>#NAME?</v>
      </c>
      <c r="AB29" s="354" t="e">
        <f ca="1"/>
        <v>#NAME?</v>
      </c>
      <c r="AC29" s="120" t="e">
        <f ca="1"/>
        <v>#NAME?</v>
      </c>
      <c r="AE29" t="s">
        <v>1034</v>
      </c>
      <c r="AF29" s="112" t="e">
        <f ca="1"/>
        <v>#NAME?</v>
      </c>
      <c r="AG29" s="354" t="e">
        <f ca="1"/>
        <v>#NAME?</v>
      </c>
      <c r="AH29" s="354" t="e">
        <f ca="1"/>
        <v>#NAME?</v>
      </c>
      <c r="AI29" s="120" t="e">
        <f ca="1"/>
        <v>#NAME?</v>
      </c>
      <c r="AK29" s="354" t="s">
        <v>55</v>
      </c>
      <c r="AL29" s="354" t="e">
        <f ca="1">AG29</f>
        <v>#NAME?</v>
      </c>
    </row>
    <row r="31" spans="1:43" ht="15.75" thickBot="1" x14ac:dyDescent="0.3">
      <c r="AK31" t="s">
        <v>125</v>
      </c>
      <c r="AO31" s="467" t="s">
        <v>18</v>
      </c>
      <c r="AP31" s="467">
        <v>0.05</v>
      </c>
    </row>
    <row r="32" spans="1:43" ht="15.75" thickTop="1" x14ac:dyDescent="0.25">
      <c r="AK32" s="386"/>
      <c r="AL32" s="386" t="s">
        <v>41</v>
      </c>
      <c r="AM32" s="386" t="s">
        <v>111</v>
      </c>
      <c r="AN32" s="386" t="s">
        <v>115</v>
      </c>
      <c r="AO32" s="386" t="s">
        <v>98</v>
      </c>
      <c r="AP32" s="386" t="s">
        <v>48</v>
      </c>
      <c r="AQ32" s="386" t="s">
        <v>164</v>
      </c>
    </row>
    <row r="33" spans="37:43" x14ac:dyDescent="0.25">
      <c r="AK33" t="s">
        <v>113</v>
      </c>
      <c r="AL33">
        <f ca="1">COUNT(AF25:AI25)-1</f>
        <v>-1</v>
      </c>
      <c r="AM33" t="e">
        <f ca="1">AL26*AM35</f>
        <v>#NAME?</v>
      </c>
      <c r="AN33" t="e">
        <f ca="1">AM33/AL33</f>
        <v>#NAME?</v>
      </c>
      <c r="AO33" t="e">
        <f ca="1">AN33/AN34</f>
        <v>#NAME?</v>
      </c>
      <c r="AP33" t="e">
        <f ca="1">FDIST(AO33,AL33,AL34)</f>
        <v>#NAME?</v>
      </c>
      <c r="AQ33" s="467" t="e">
        <f ca="1">IF(AP33&lt;AP31,"yes","no")</f>
        <v>#NAME?</v>
      </c>
    </row>
    <row r="34" spans="37:43" x14ac:dyDescent="0.25">
      <c r="AK34" t="s">
        <v>126</v>
      </c>
      <c r="AL34" t="e">
        <f ca="1">AL35-AL33</f>
        <v>#NAME?</v>
      </c>
      <c r="AM34" t="e">
        <f ca="1">AM35-AM33</f>
        <v>#NAME?</v>
      </c>
      <c r="AN34" t="e">
        <f ca="1">AM34/AL34</f>
        <v>#NAME?</v>
      </c>
    </row>
    <row r="35" spans="37:43" x14ac:dyDescent="0.25">
      <c r="AK35" s="354" t="s">
        <v>1</v>
      </c>
      <c r="AL35" s="354" t="e">
        <f ca="1">AL29-1</f>
        <v>#NAME?</v>
      </c>
      <c r="AM35" s="354" t="e">
        <f ca="1">AI26^2*AL35</f>
        <v>#NAME?</v>
      </c>
      <c r="AN35" s="354"/>
      <c r="AO35" s="354"/>
      <c r="AP35" s="354"/>
      <c r="AQ35" s="354"/>
    </row>
    <row r="36" spans="37:43" ht="15.75" thickBot="1" x14ac:dyDescent="0.3"/>
    <row r="37" spans="37:43" ht="15.75" thickTop="1" x14ac:dyDescent="0.25">
      <c r="AK37" s="386"/>
      <c r="AL37" s="386" t="s">
        <v>797</v>
      </c>
      <c r="AM37" s="386" t="s">
        <v>390</v>
      </c>
      <c r="AN37" s="386" t="s">
        <v>42</v>
      </c>
      <c r="AO37" s="386" t="s">
        <v>48</v>
      </c>
      <c r="AP37" s="386" t="s">
        <v>15</v>
      </c>
      <c r="AQ37" s="386" t="s">
        <v>16</v>
      </c>
    </row>
    <row r="38" spans="37:43" x14ac:dyDescent="0.25">
      <c r="AK38" t="s">
        <v>127</v>
      </c>
      <c r="AL38" t="e">
        <f ca="1">AI27</f>
        <v>#NAME?</v>
      </c>
      <c r="AM38" t="e">
        <f ca="1">AI28</f>
        <v>#NAME?</v>
      </c>
      <c r="AN38" t="e">
        <f ca="1">AL38/AM38</f>
        <v>#NAME?</v>
      </c>
      <c r="AO38" t="e">
        <f ca="1">TDIST(ABS(AN38),$U$13,2)</f>
        <v>#NAME?</v>
      </c>
      <c r="AP38" t="e">
        <f ca="1">AL38-TINV(AP$31,$AL$34)*AM38</f>
        <v>#NAME?</v>
      </c>
      <c r="AQ38" t="e">
        <f ca="1">AL38+TINV(AP$31,$AL$34)*AM38</f>
        <v>#NAME?</v>
      </c>
    </row>
    <row r="39" spans="37:43" x14ac:dyDescent="0.25">
      <c r="AK39" t="str">
        <f t="array" ref="AK39:AK41">TRANSPOSE(AF24:AH24)</f>
        <v>read</v>
      </c>
      <c r="AL39" t="e">
        <f t="array" aca="1" ref="AL39:AL41" ca="1">TRANSPOSE(AF27:AH27)</f>
        <v>#NAME?</v>
      </c>
      <c r="AM39" t="e">
        <f t="array" aca="1" ref="AM39:AM41" ca="1">TRANSPOSE(AF28:AH28)</f>
        <v>#NAME?</v>
      </c>
      <c r="AN39" t="e">
        <f ca="1">AL39/AM39</f>
        <v>#NAME?</v>
      </c>
      <c r="AO39" t="e">
        <f ca="1">TDIST(ABS(AN39),$U$13,2)</f>
        <v>#NAME?</v>
      </c>
      <c r="AP39" t="e">
        <f ca="1">AL39-TINV(AP$31,$AL$34)*AM39</f>
        <v>#NAME?</v>
      </c>
      <c r="AQ39" t="e">
        <f ca="1">AL39+TINV(AP$31,$AL$34)*AM39</f>
        <v>#NAME?</v>
      </c>
    </row>
    <row r="40" spans="37:43" x14ac:dyDescent="0.25">
      <c r="AK40" t="str">
        <v>science</v>
      </c>
      <c r="AL40" t="e">
        <f ca="1"/>
        <v>#NAME?</v>
      </c>
      <c r="AM40" t="e">
        <f ca="1"/>
        <v>#NAME?</v>
      </c>
      <c r="AN40" t="e">
        <f ca="1">AL40/AM40</f>
        <v>#NAME?</v>
      </c>
      <c r="AO40" t="e">
        <f ca="1">TDIST(ABS(AN40),$U$13,2)</f>
        <v>#NAME?</v>
      </c>
      <c r="AP40" t="e">
        <f ca="1">AL40-TINV(AP$31,$AL$34)*AM40</f>
        <v>#NAME?</v>
      </c>
      <c r="AQ40" t="e">
        <f ca="1">AL40+TINV(AP$31,$AL$34)*AM40</f>
        <v>#NAME?</v>
      </c>
    </row>
    <row r="41" spans="37:43" x14ac:dyDescent="0.25">
      <c r="AK41" s="354" t="str">
        <v>math</v>
      </c>
      <c r="AL41" s="354" t="e">
        <f ca="1"/>
        <v>#NAME?</v>
      </c>
      <c r="AM41" s="354" t="e">
        <f ca="1"/>
        <v>#NAME?</v>
      </c>
      <c r="AN41" s="354" t="e">
        <f ca="1">AL41/AM41</f>
        <v>#NAME?</v>
      </c>
      <c r="AO41" s="354" t="e">
        <f ca="1">TDIST(ABS(AN41),$U$13,2)</f>
        <v>#NAME?</v>
      </c>
      <c r="AP41" s="354" t="e">
        <f ca="1">AL41-TINV(AP$31,$AL$34)*AM41</f>
        <v>#NAME?</v>
      </c>
      <c r="AQ41" s="354" t="e">
        <f ca="1">AL41+TINV(AP$31,$AL$34)*AM41</f>
        <v>#NAME?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Z27"/>
  <sheetViews>
    <sheetView workbookViewId="0"/>
  </sheetViews>
  <sheetFormatPr defaultRowHeight="15" x14ac:dyDescent="0.25"/>
  <cols>
    <col min="20" max="20" width="17.85546875" customWidth="1"/>
  </cols>
  <sheetData>
    <row r="1" spans="1:26" x14ac:dyDescent="0.25">
      <c r="A1" s="1" t="s">
        <v>1011</v>
      </c>
      <c r="G1" t="s">
        <v>1038</v>
      </c>
      <c r="N1" t="s">
        <v>1046</v>
      </c>
      <c r="T1" t="s">
        <v>798</v>
      </c>
    </row>
    <row r="3" spans="1:26" ht="15.75" thickBot="1" x14ac:dyDescent="0.3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  <c r="G3" t="e">
        <f t="array" aca="1" ref="G3:K8" ca="1">DescStats(B3:E23,TRUE,TRUE)</f>
        <v>#NAME?</v>
      </c>
      <c r="H3" s="451" t="e">
        <f ca="1"/>
        <v>#NAME?</v>
      </c>
      <c r="I3" s="451" t="e">
        <f ca="1"/>
        <v>#NAME?</v>
      </c>
      <c r="J3" s="451" t="e">
        <f ca="1"/>
        <v>#NAME?</v>
      </c>
      <c r="K3" s="451" t="e">
        <f ca="1"/>
        <v>#NAME?</v>
      </c>
      <c r="O3" s="451" t="str">
        <f>B3</f>
        <v>read</v>
      </c>
      <c r="P3" s="451" t="str">
        <f>C3</f>
        <v>science</v>
      </c>
      <c r="Q3" s="451" t="str">
        <f>D3</f>
        <v>math</v>
      </c>
      <c r="R3" s="451" t="str">
        <f>E3</f>
        <v>medicine</v>
      </c>
      <c r="T3" s="342" t="s">
        <v>799</v>
      </c>
      <c r="U3" s="342"/>
    </row>
    <row r="4" spans="1:26" ht="15.75" thickTop="1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t="e">
        <f ca="1"/>
        <v>#NAME?</v>
      </c>
      <c r="H4" s="414" t="e">
        <f ca="1"/>
        <v>#NAME?</v>
      </c>
      <c r="I4" s="358" t="e">
        <f ca="1"/>
        <v>#NAME?</v>
      </c>
      <c r="J4" s="358" t="e">
        <f ca="1"/>
        <v>#NAME?</v>
      </c>
      <c r="K4" s="415" t="e">
        <f ca="1"/>
        <v>#NAME?</v>
      </c>
      <c r="N4" t="s">
        <v>6</v>
      </c>
      <c r="O4" s="414" t="e">
        <f t="array" aca="1" ref="O4:R8" ca="1">MICombine('MI 8a'!A25:D29,10,1,FALSE,FALSE)</f>
        <v>#NAME?</v>
      </c>
      <c r="P4" s="358" t="e">
        <f ca="1"/>
        <v>#NAME?</v>
      </c>
      <c r="Q4" s="358" t="e">
        <f ca="1"/>
        <v>#NAME?</v>
      </c>
      <c r="R4" s="415" t="e">
        <f ca="1"/>
        <v>#NAME?</v>
      </c>
      <c r="T4" t="s">
        <v>123</v>
      </c>
      <c r="U4" t="e">
        <f ca="1">SQRT(U5)</f>
        <v>#NAME?</v>
      </c>
    </row>
    <row r="5" spans="1:26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t="e">
        <f ca="1"/>
        <v>#NAME?</v>
      </c>
      <c r="H5" s="183" t="e">
        <f ca="1"/>
        <v>#NAME?</v>
      </c>
      <c r="I5" s="7" t="e">
        <f ca="1"/>
        <v>#NAME?</v>
      </c>
      <c r="J5" s="7" t="e">
        <f ca="1"/>
        <v>#NAME?</v>
      </c>
      <c r="K5" s="43" t="e">
        <f ca="1"/>
        <v>#NAME?</v>
      </c>
      <c r="N5" t="s">
        <v>8</v>
      </c>
      <c r="O5" s="183" t="e">
        <f ca="1"/>
        <v>#NAME?</v>
      </c>
      <c r="P5" s="7" t="e">
        <f ca="1"/>
        <v>#NAME?</v>
      </c>
      <c r="Q5" s="7" t="e">
        <f ca="1"/>
        <v>#NAME?</v>
      </c>
      <c r="R5" s="43" t="e">
        <f ca="1"/>
        <v>#NAME?</v>
      </c>
      <c r="T5" t="s">
        <v>120</v>
      </c>
      <c r="U5" t="e">
        <f ca="1">O8</f>
        <v>#NAME?</v>
      </c>
    </row>
    <row r="6" spans="1:26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t="e">
        <f ca="1"/>
        <v>#NAME?</v>
      </c>
      <c r="H6" s="183" t="e">
        <f ca="1"/>
        <v>#NAME?</v>
      </c>
      <c r="I6" s="7" t="e">
        <f ca="1"/>
        <v>#NAME?</v>
      </c>
      <c r="J6" s="7" t="e">
        <f ca="1"/>
        <v>#NAME?</v>
      </c>
      <c r="K6" s="43" t="e">
        <f ca="1"/>
        <v>#NAME?</v>
      </c>
      <c r="N6" t="s">
        <v>797</v>
      </c>
      <c r="O6" s="183" t="e">
        <f ca="1"/>
        <v>#NAME?</v>
      </c>
      <c r="P6" s="7" t="e">
        <f ca="1"/>
        <v>#NAME?</v>
      </c>
      <c r="Q6" s="7" t="e">
        <f ca="1"/>
        <v>#NAME?</v>
      </c>
      <c r="R6" s="43" t="e">
        <f ca="1"/>
        <v>#NAME?</v>
      </c>
      <c r="T6" t="s">
        <v>124</v>
      </c>
      <c r="U6" t="e">
        <f ca="1">1-(1-U5)*(U8-1)/(U8-U12-1)</f>
        <v>#NAME?</v>
      </c>
    </row>
    <row r="7" spans="1:26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t="e">
        <f ca="1"/>
        <v>#NAME?</v>
      </c>
      <c r="H7" s="183" t="e">
        <f ca="1"/>
        <v>#NAME?</v>
      </c>
      <c r="I7" s="7" t="e">
        <f ca="1"/>
        <v>#NAME?</v>
      </c>
      <c r="J7" s="7" t="e">
        <f ca="1"/>
        <v>#NAME?</v>
      </c>
      <c r="K7" s="43" t="e">
        <f ca="1"/>
        <v>#NAME?</v>
      </c>
      <c r="N7" t="s">
        <v>148</v>
      </c>
      <c r="O7" s="183" t="e">
        <f ca="1"/>
        <v>#NAME?</v>
      </c>
      <c r="P7" s="7" t="e">
        <f ca="1"/>
        <v>#NAME?</v>
      </c>
      <c r="Q7" s="7" t="e">
        <f ca="1"/>
        <v>#NAME?</v>
      </c>
      <c r="R7" s="43" t="e">
        <f ca="1"/>
        <v>#NAME?</v>
      </c>
      <c r="T7" t="s">
        <v>10</v>
      </c>
      <c r="U7" t="e">
        <f ca="1">SQRT(W13)</f>
        <v>#NAME?</v>
      </c>
    </row>
    <row r="8" spans="1:26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G8" t="e">
        <f ca="1"/>
        <v>#NAME?</v>
      </c>
      <c r="H8" s="351" t="e">
        <f ca="1"/>
        <v>#NAME?</v>
      </c>
      <c r="I8" s="352" t="e">
        <f ca="1"/>
        <v>#NAME?</v>
      </c>
      <c r="J8" s="352" t="e">
        <f ca="1"/>
        <v>#NAME?</v>
      </c>
      <c r="K8" s="353" t="e">
        <f ca="1"/>
        <v>#NAME?</v>
      </c>
      <c r="N8" t="s">
        <v>1047</v>
      </c>
      <c r="O8" s="351" t="e">
        <f ca="1"/>
        <v>#NAME?</v>
      </c>
      <c r="P8" s="352" t="e">
        <f ca="1"/>
        <v>#NAME?</v>
      </c>
      <c r="Q8" s="352" t="e">
        <f ca="1"/>
        <v>#NAME?</v>
      </c>
      <c r="R8" s="353" t="e">
        <f ca="1"/>
        <v>#NAME?</v>
      </c>
      <c r="T8" s="354" t="s">
        <v>55</v>
      </c>
      <c r="U8" s="354" t="e">
        <f ca="1">P8</f>
        <v>#NAME?</v>
      </c>
    </row>
    <row r="9" spans="1:26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</row>
    <row r="10" spans="1:26" ht="15.75" thickBot="1" x14ac:dyDescent="0.3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G10" t="s">
        <v>1018</v>
      </c>
      <c r="T10" t="s">
        <v>125</v>
      </c>
      <c r="X10" s="451" t="s">
        <v>18</v>
      </c>
      <c r="Y10" s="451">
        <v>0.05</v>
      </c>
    </row>
    <row r="11" spans="1:26" ht="15.75" thickTop="1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  <c r="T11" s="386"/>
      <c r="U11" s="386" t="s">
        <v>41</v>
      </c>
      <c r="V11" s="386" t="s">
        <v>111</v>
      </c>
      <c r="W11" s="386" t="s">
        <v>115</v>
      </c>
      <c r="X11" s="386" t="s">
        <v>98</v>
      </c>
      <c r="Y11" s="386" t="s">
        <v>48</v>
      </c>
      <c r="Z11" s="386" t="s">
        <v>164</v>
      </c>
    </row>
    <row r="12" spans="1:26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G12" s="451" t="e">
        <f t="array" aca="1" ref="G12:L14" ca="1">MissingFreq(B3:E23)</f>
        <v>#NAME?</v>
      </c>
      <c r="H12" s="451" t="e">
        <f ca="1"/>
        <v>#NAME?</v>
      </c>
      <c r="I12" s="451" t="e">
        <f ca="1"/>
        <v>#NAME?</v>
      </c>
      <c r="J12" s="451" t="e">
        <f ca="1"/>
        <v>#NAME?</v>
      </c>
      <c r="K12" s="451" t="e">
        <f ca="1"/>
        <v>#NAME?</v>
      </c>
      <c r="L12" s="451" t="e">
        <f ca="1"/>
        <v>#NAME?</v>
      </c>
      <c r="T12" t="s">
        <v>113</v>
      </c>
      <c r="U12">
        <f ca="1">COUNT(O4:R4)-1</f>
        <v>-1</v>
      </c>
      <c r="V12" t="e">
        <f ca="1">U5*V14</f>
        <v>#NAME?</v>
      </c>
      <c r="W12" t="e">
        <f ca="1">V12/U12</f>
        <v>#NAME?</v>
      </c>
      <c r="X12" t="e">
        <f ca="1">W12/W13</f>
        <v>#NAME?</v>
      </c>
      <c r="Y12" t="e">
        <f ca="1">FDIST(X12,U12,U13)</f>
        <v>#NAME?</v>
      </c>
      <c r="Z12" s="451" t="e">
        <f ca="1">IF(Y12&lt;Y10,"yes","no")</f>
        <v>#NAME?</v>
      </c>
    </row>
    <row r="13" spans="1:26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s="414" t="e">
        <f ca="1"/>
        <v>#NAME?</v>
      </c>
      <c r="H13" s="358" t="e">
        <f ca="1"/>
        <v>#NAME?</v>
      </c>
      <c r="I13" s="358" t="e">
        <f ca="1"/>
        <v>#NAME?</v>
      </c>
      <c r="J13" s="358" t="e">
        <f ca="1"/>
        <v>#NAME?</v>
      </c>
      <c r="K13" s="358" t="e">
        <f ca="1"/>
        <v>#NAME?</v>
      </c>
      <c r="L13" s="415" t="e">
        <f ca="1"/>
        <v>#NAME?</v>
      </c>
      <c r="T13" t="s">
        <v>126</v>
      </c>
      <c r="U13" t="e">
        <f ca="1">U14-U12</f>
        <v>#NAME?</v>
      </c>
      <c r="V13" t="e">
        <f ca="1">V14-V12</f>
        <v>#NAME?</v>
      </c>
      <c r="W13" t="e">
        <f ca="1">V13/U13</f>
        <v>#NAME?</v>
      </c>
    </row>
    <row r="14" spans="1:26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s="442" t="e">
        <f ca="1"/>
        <v>#NAME?</v>
      </c>
      <c r="H14" s="443" t="e">
        <f ca="1"/>
        <v>#NAME?</v>
      </c>
      <c r="I14" s="443" t="e">
        <f ca="1"/>
        <v>#NAME?</v>
      </c>
      <c r="J14" s="443" t="e">
        <f ca="1"/>
        <v>#NAME?</v>
      </c>
      <c r="K14" s="443" t="e">
        <f ca="1"/>
        <v>#NAME?</v>
      </c>
      <c r="L14" s="441" t="e">
        <f ca="1"/>
        <v>#NAME?</v>
      </c>
      <c r="T14" s="354" t="s">
        <v>1</v>
      </c>
      <c r="U14" s="354" t="e">
        <f ca="1">U8-1</f>
        <v>#NAME?</v>
      </c>
      <c r="V14" s="354" t="e">
        <f ca="1">R5^2*U14</f>
        <v>#NAME?</v>
      </c>
      <c r="W14" s="354"/>
      <c r="X14" s="354"/>
      <c r="Y14" s="354"/>
      <c r="Z14" s="354"/>
    </row>
    <row r="15" spans="1:26" ht="15.75" thickBot="1" x14ac:dyDescent="0.3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</row>
    <row r="16" spans="1:26" ht="15.75" thickTop="1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t="s">
        <v>1019</v>
      </c>
      <c r="T16" s="386"/>
      <c r="U16" s="386" t="s">
        <v>797</v>
      </c>
      <c r="V16" s="386" t="s">
        <v>390</v>
      </c>
      <c r="W16" s="386" t="s">
        <v>42</v>
      </c>
      <c r="X16" s="386" t="s">
        <v>48</v>
      </c>
      <c r="Y16" s="386" t="s">
        <v>15</v>
      </c>
      <c r="Z16" s="386" t="s">
        <v>16</v>
      </c>
    </row>
    <row r="17" spans="1:26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  <c r="T17" t="s">
        <v>127</v>
      </c>
      <c r="U17" t="e">
        <f ca="1">R6</f>
        <v>#NAME?</v>
      </c>
      <c r="V17" t="e">
        <f ca="1">R7</f>
        <v>#NAME?</v>
      </c>
      <c r="W17" t="e">
        <f ca="1">U17/V17</f>
        <v>#NAME?</v>
      </c>
      <c r="X17" t="e">
        <f ca="1">TDIST(ABS(W17),$U$13,2)</f>
        <v>#NAME?</v>
      </c>
      <c r="Y17" t="e">
        <f ca="1">U17-TINV(Y$10,$U$13)*V17</f>
        <v>#NAME?</v>
      </c>
      <c r="Z17" t="e">
        <f ca="1">U17+TINV(Y$10,$U$13)*V17</f>
        <v>#NAME?</v>
      </c>
    </row>
    <row r="18" spans="1:26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s="451" t="e">
        <f t="array" aca="1" ref="G18:L26" ca="1">MissingPatterns(B3:E23)</f>
        <v>#NAME?</v>
      </c>
      <c r="H18" s="451" t="e">
        <f ca="1"/>
        <v>#NAME?</v>
      </c>
      <c r="I18" s="451" t="e">
        <f ca="1"/>
        <v>#NAME?</v>
      </c>
      <c r="J18" s="451" t="e">
        <f ca="1"/>
        <v>#NAME?</v>
      </c>
      <c r="K18" s="451" t="e">
        <f ca="1"/>
        <v>#NAME?</v>
      </c>
      <c r="L18" s="451" t="e">
        <f ca="1"/>
        <v>#NAME?</v>
      </c>
      <c r="T18" t="str">
        <f t="array" ref="T18:T20">TRANSPOSE(O3:Q3)</f>
        <v>read</v>
      </c>
      <c r="U18" t="e">
        <f t="array" aca="1" ref="U18:U20" ca="1">TRANSPOSE(O6:Q6)</f>
        <v>#NAME?</v>
      </c>
      <c r="V18" t="e">
        <f t="array" aca="1" ref="V18:V20" ca="1">TRANSPOSE(O7:Q7)</f>
        <v>#NAME?</v>
      </c>
      <c r="W18" t="e">
        <f ca="1">U18/V18</f>
        <v>#NAME?</v>
      </c>
      <c r="X18" t="e">
        <f ca="1">TDIST(ABS(W18),$U$13,2)</f>
        <v>#NAME?</v>
      </c>
      <c r="Y18" t="e">
        <f ca="1">U18-TINV(Y$10,$U$13)*V18</f>
        <v>#NAME?</v>
      </c>
      <c r="Z18" t="e">
        <f ca="1">U18+TINV(Y$10,$U$13)*V18</f>
        <v>#NAME?</v>
      </c>
    </row>
    <row r="19" spans="1:26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G19" s="436" t="e">
        <f ca="1"/>
        <v>#NAME?</v>
      </c>
      <c r="H19" s="437" t="e">
        <f ca="1"/>
        <v>#NAME?</v>
      </c>
      <c r="I19" s="437" t="e">
        <f ca="1"/>
        <v>#NAME?</v>
      </c>
      <c r="J19" s="437" t="e">
        <f ca="1"/>
        <v>#NAME?</v>
      </c>
      <c r="K19" s="358" t="e">
        <f ca="1"/>
        <v>#NAME?</v>
      </c>
      <c r="L19" s="438" t="e">
        <f ca="1"/>
        <v>#NAME?</v>
      </c>
      <c r="T19" t="str">
        <v>science</v>
      </c>
      <c r="U19" t="e">
        <f ca="1"/>
        <v>#NAME?</v>
      </c>
      <c r="V19" t="e">
        <f ca="1"/>
        <v>#NAME?</v>
      </c>
      <c r="W19" t="e">
        <f ca="1">U19/V19</f>
        <v>#NAME?</v>
      </c>
      <c r="X19" t="e">
        <f ca="1">TDIST(ABS(W19),$U$13,2)</f>
        <v>#NAME?</v>
      </c>
      <c r="Y19" t="e">
        <f ca="1">U19-TINV(Y$10,$U$13)*V19</f>
        <v>#NAME?</v>
      </c>
      <c r="Z19" t="e">
        <f ca="1">U19+TINV(Y$10,$U$13)*V19</f>
        <v>#NAME?</v>
      </c>
    </row>
    <row r="20" spans="1:26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G20" s="182" t="e">
        <f ca="1"/>
        <v>#NAME?</v>
      </c>
      <c r="H20" s="452" t="e">
        <f ca="1"/>
        <v>#NAME?</v>
      </c>
      <c r="I20" s="452" t="e">
        <f ca="1"/>
        <v>#NAME?</v>
      </c>
      <c r="J20" s="452" t="e">
        <f ca="1"/>
        <v>#NAME?</v>
      </c>
      <c r="K20" s="7" t="e">
        <f ca="1"/>
        <v>#NAME?</v>
      </c>
      <c r="L20" s="439" t="e">
        <f ca="1"/>
        <v>#NAME?</v>
      </c>
      <c r="T20" s="354" t="str">
        <v>math</v>
      </c>
      <c r="U20" s="354" t="e">
        <f ca="1"/>
        <v>#NAME?</v>
      </c>
      <c r="V20" s="354" t="e">
        <f ca="1"/>
        <v>#NAME?</v>
      </c>
      <c r="W20" s="354" t="e">
        <f ca="1">U20/V20</f>
        <v>#NAME?</v>
      </c>
      <c r="X20" s="354" t="e">
        <f ca="1">TDIST(ABS(W20),$U$13,2)</f>
        <v>#NAME?</v>
      </c>
      <c r="Y20" s="354" t="e">
        <f ca="1">U20-TINV(Y$10,$U$13)*V20</f>
        <v>#NAME?</v>
      </c>
      <c r="Z20" s="354" t="e">
        <f ca="1">U20+TINV(Y$10,$U$13)*V20</f>
        <v>#NAME?</v>
      </c>
    </row>
    <row r="21" spans="1:26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182" t="e">
        <f ca="1"/>
        <v>#NAME?</v>
      </c>
      <c r="H21" s="452" t="e">
        <f ca="1"/>
        <v>#NAME?</v>
      </c>
      <c r="I21" s="452" t="e">
        <f ca="1"/>
        <v>#NAME?</v>
      </c>
      <c r="J21" s="452" t="e">
        <f ca="1"/>
        <v>#NAME?</v>
      </c>
      <c r="K21" s="7" t="e">
        <f ca="1"/>
        <v>#NAME?</v>
      </c>
      <c r="L21" s="439" t="e">
        <f ca="1"/>
        <v>#NAME?</v>
      </c>
    </row>
    <row r="22" spans="1:26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G22" s="182" t="e">
        <f ca="1"/>
        <v>#NAME?</v>
      </c>
      <c r="H22" s="452" t="e">
        <f ca="1"/>
        <v>#NAME?</v>
      </c>
      <c r="I22" s="452" t="e">
        <f ca="1"/>
        <v>#NAME?</v>
      </c>
      <c r="J22" s="452" t="e">
        <f ca="1"/>
        <v>#NAME?</v>
      </c>
      <c r="K22" s="7" t="e">
        <f ca="1"/>
        <v>#NAME?</v>
      </c>
      <c r="L22" s="439" t="e">
        <f ca="1"/>
        <v>#NAME?</v>
      </c>
    </row>
    <row r="23" spans="1:26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G23" s="182" t="e">
        <f ca="1"/>
        <v>#NAME?</v>
      </c>
      <c r="H23" s="452" t="e">
        <f ca="1"/>
        <v>#NAME?</v>
      </c>
      <c r="I23" s="452" t="e">
        <f ca="1"/>
        <v>#NAME?</v>
      </c>
      <c r="J23" s="452" t="e">
        <f ca="1"/>
        <v>#NAME?</v>
      </c>
      <c r="K23" s="7" t="e">
        <f ca="1"/>
        <v>#NAME?</v>
      </c>
      <c r="L23" s="439" t="e">
        <f ca="1"/>
        <v>#NAME?</v>
      </c>
    </row>
    <row r="24" spans="1:26" x14ac:dyDescent="0.25">
      <c r="A24" s="421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182" t="e">
        <f ca="1"/>
        <v>#NAME?</v>
      </c>
      <c r="H24" s="452" t="e">
        <f ca="1"/>
        <v>#NAME?</v>
      </c>
      <c r="I24" s="452" t="e">
        <f ca="1"/>
        <v>#NAME?</v>
      </c>
      <c r="J24" s="452" t="e">
        <f ca="1"/>
        <v>#NAME?</v>
      </c>
      <c r="K24" s="7" t="e">
        <f ca="1"/>
        <v>#NAME?</v>
      </c>
      <c r="L24" s="439" t="e">
        <f ca="1"/>
        <v>#NAME?</v>
      </c>
    </row>
    <row r="25" spans="1:26" x14ac:dyDescent="0.25">
      <c r="A25" s="421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182" t="e">
        <f ca="1"/>
        <v>#NAME?</v>
      </c>
      <c r="H25" s="452" t="e">
        <f ca="1"/>
        <v>#NAME?</v>
      </c>
      <c r="I25" s="452" t="e">
        <f ca="1"/>
        <v>#NAME?</v>
      </c>
      <c r="J25" s="452" t="e">
        <f ca="1"/>
        <v>#NAME?</v>
      </c>
      <c r="K25" s="7" t="e">
        <f ca="1"/>
        <v>#NAME?</v>
      </c>
      <c r="L25" s="439" t="e">
        <f ca="1"/>
        <v>#NAME?</v>
      </c>
    </row>
    <row r="26" spans="1:26" x14ac:dyDescent="0.25">
      <c r="G26" s="377" t="e">
        <f ca="1"/>
        <v>#NAME?</v>
      </c>
      <c r="H26" s="440" t="e">
        <f ca="1"/>
        <v>#NAME?</v>
      </c>
      <c r="I26" s="440" t="e">
        <f ca="1"/>
        <v>#NAME?</v>
      </c>
      <c r="J26" s="440" t="e">
        <f ca="1"/>
        <v>#NAME?</v>
      </c>
      <c r="K26" s="352" t="e">
        <f ca="1"/>
        <v>#NAME?</v>
      </c>
      <c r="L26" s="441" t="e">
        <f ca="1"/>
        <v>#NAME?</v>
      </c>
    </row>
    <row r="27" spans="1:26" x14ac:dyDescent="0.25">
      <c r="K27" t="e">
        <f ca="1">SUM(K19:K26)</f>
        <v>#NAME?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AW29"/>
  <sheetViews>
    <sheetView workbookViewId="0"/>
  </sheetViews>
  <sheetFormatPr defaultRowHeight="15" x14ac:dyDescent="0.25"/>
  <sheetData>
    <row r="1" spans="1:49" x14ac:dyDescent="0.25">
      <c r="A1" t="s">
        <v>1045</v>
      </c>
      <c r="B1">
        <v>1</v>
      </c>
      <c r="F1" t="s">
        <v>1045</v>
      </c>
      <c r="G1">
        <v>2</v>
      </c>
      <c r="K1" t="s">
        <v>1045</v>
      </c>
      <c r="L1">
        <v>3</v>
      </c>
      <c r="P1" t="s">
        <v>1045</v>
      </c>
      <c r="Q1">
        <v>4</v>
      </c>
      <c r="U1" t="s">
        <v>1045</v>
      </c>
      <c r="V1">
        <v>5</v>
      </c>
      <c r="Z1" t="s">
        <v>1045</v>
      </c>
      <c r="AA1">
        <v>6</v>
      </c>
      <c r="AE1" t="s">
        <v>1045</v>
      </c>
      <c r="AF1">
        <v>7</v>
      </c>
      <c r="AJ1" t="s">
        <v>1045</v>
      </c>
      <c r="AK1">
        <v>8</v>
      </c>
      <c r="AO1" t="s">
        <v>1045</v>
      </c>
      <c r="AP1">
        <v>9</v>
      </c>
      <c r="AT1" t="s">
        <v>1045</v>
      </c>
      <c r="AU1">
        <v>10</v>
      </c>
    </row>
    <row r="3" spans="1:49" x14ac:dyDescent="0.25">
      <c r="A3" s="451" t="e">
        <f t="array" aca="1" ref="A3:D23" ca="1">ImputeFCS('MI 8'!B3:E23,TRUE,20)</f>
        <v>#NAME?</v>
      </c>
      <c r="B3" s="451" t="e">
        <f ca="1"/>
        <v>#NAME?</v>
      </c>
      <c r="C3" s="451" t="e">
        <f ca="1"/>
        <v>#NAME?</v>
      </c>
      <c r="D3" s="451" t="e">
        <f ca="1"/>
        <v>#NAME?</v>
      </c>
      <c r="F3" s="451" t="e">
        <f t="array" aca="1" ref="F3:I23" ca="1">ImputeFCS('MI 8'!B3:E23,TRUE,20)</f>
        <v>#NAME?</v>
      </c>
      <c r="G3" s="451" t="e">
        <f ca="1"/>
        <v>#NAME?</v>
      </c>
      <c r="H3" s="451" t="e">
        <f ca="1"/>
        <v>#NAME?</v>
      </c>
      <c r="I3" s="451" t="e">
        <f ca="1"/>
        <v>#NAME?</v>
      </c>
      <c r="K3" s="451" t="e">
        <f t="array" aca="1" ref="K3:N23" ca="1">ImputeFCS('MI 8'!B3:E23,TRUE,20)</f>
        <v>#NAME?</v>
      </c>
      <c r="L3" s="451" t="e">
        <f ca="1"/>
        <v>#NAME?</v>
      </c>
      <c r="M3" s="451" t="e">
        <f ca="1"/>
        <v>#NAME?</v>
      </c>
      <c r="N3" s="451" t="e">
        <f ca="1"/>
        <v>#NAME?</v>
      </c>
      <c r="P3" s="451" t="e">
        <f t="array" aca="1" ref="P3:S23" ca="1">ImputeFCS('MI 8'!B3:E23,TRUE,20)</f>
        <v>#NAME?</v>
      </c>
      <c r="Q3" s="451" t="e">
        <f ca="1"/>
        <v>#NAME?</v>
      </c>
      <c r="R3" s="451" t="e">
        <f ca="1"/>
        <v>#NAME?</v>
      </c>
      <c r="S3" s="451" t="e">
        <f ca="1"/>
        <v>#NAME?</v>
      </c>
      <c r="U3" s="451" t="e">
        <f t="array" aca="1" ref="U3:X23" ca="1">ImputeFCS('MI 8'!B3:E23,TRUE,20)</f>
        <v>#NAME?</v>
      </c>
      <c r="V3" s="451" t="e">
        <f ca="1"/>
        <v>#NAME?</v>
      </c>
      <c r="W3" s="451" t="e">
        <f ca="1"/>
        <v>#NAME?</v>
      </c>
      <c r="X3" s="451" t="e">
        <f ca="1"/>
        <v>#NAME?</v>
      </c>
      <c r="Z3" s="451" t="e">
        <f t="array" aca="1" ref="Z3:AC23" ca="1">ImputeFCS('MI 8'!B3:E23,TRUE,20)</f>
        <v>#NAME?</v>
      </c>
      <c r="AA3" s="451" t="e">
        <f ca="1"/>
        <v>#NAME?</v>
      </c>
      <c r="AB3" s="451" t="e">
        <f ca="1"/>
        <v>#NAME?</v>
      </c>
      <c r="AC3" s="451" t="e">
        <f ca="1"/>
        <v>#NAME?</v>
      </c>
      <c r="AE3" s="451" t="e">
        <f t="array" aca="1" ref="AE3:AH23" ca="1">ImputeFCS('MI 8'!B3:E23,TRUE,20)</f>
        <v>#NAME?</v>
      </c>
      <c r="AF3" s="451" t="e">
        <f ca="1"/>
        <v>#NAME?</v>
      </c>
      <c r="AG3" s="451" t="e">
        <f ca="1"/>
        <v>#NAME?</v>
      </c>
      <c r="AH3" s="451" t="e">
        <f ca="1"/>
        <v>#NAME?</v>
      </c>
      <c r="AJ3" s="451" t="e">
        <f t="array" aca="1" ref="AJ3:AM23" ca="1">ImputeFCS('MI 8'!B3:E23,TRUE,20)</f>
        <v>#NAME?</v>
      </c>
      <c r="AK3" s="451" t="e">
        <f ca="1"/>
        <v>#NAME?</v>
      </c>
      <c r="AL3" s="451" t="e">
        <f ca="1"/>
        <v>#NAME?</v>
      </c>
      <c r="AM3" s="451" t="e">
        <f ca="1"/>
        <v>#NAME?</v>
      </c>
      <c r="AO3" s="451" t="e">
        <f t="array" aca="1" ref="AO3:AR23" ca="1">ImputeFCS('MI 8'!B3:E23,TRUE,20)</f>
        <v>#NAME?</v>
      </c>
      <c r="AP3" s="451" t="e">
        <f ca="1"/>
        <v>#NAME?</v>
      </c>
      <c r="AQ3" s="451" t="e">
        <f ca="1"/>
        <v>#NAME?</v>
      </c>
      <c r="AR3" s="451" t="e">
        <f ca="1"/>
        <v>#NAME?</v>
      </c>
      <c r="AT3" s="451" t="e">
        <f t="array" aca="1" ref="AT3:AW23" ca="1">ImputeFCS('MI 8'!B3:E23,TRUE,20)</f>
        <v>#NAME?</v>
      </c>
      <c r="AU3" s="451" t="e">
        <f ca="1"/>
        <v>#NAME?</v>
      </c>
      <c r="AV3" s="451" t="e">
        <f ca="1"/>
        <v>#NAME?</v>
      </c>
      <c r="AW3" s="451" t="e">
        <f ca="1"/>
        <v>#NAME?</v>
      </c>
    </row>
    <row r="4" spans="1:49" x14ac:dyDescent="0.25">
      <c r="A4" s="414" t="e">
        <f ca="1"/>
        <v>#NAME?</v>
      </c>
      <c r="B4" s="358" t="e">
        <f ca="1"/>
        <v>#NAME?</v>
      </c>
      <c r="C4" s="358" t="e">
        <f ca="1"/>
        <v>#NAME?</v>
      </c>
      <c r="D4" s="415" t="e">
        <f ca="1"/>
        <v>#NAME?</v>
      </c>
      <c r="F4" s="414" t="e">
        <f ca="1"/>
        <v>#NAME?</v>
      </c>
      <c r="G4" s="358" t="e">
        <f ca="1"/>
        <v>#NAME?</v>
      </c>
      <c r="H4" s="358" t="e">
        <f ca="1"/>
        <v>#NAME?</v>
      </c>
      <c r="I4" s="415" t="e">
        <f ca="1"/>
        <v>#NAME?</v>
      </c>
      <c r="K4" s="414" t="e">
        <f ca="1"/>
        <v>#NAME?</v>
      </c>
      <c r="L4" s="358" t="e">
        <f ca="1"/>
        <v>#NAME?</v>
      </c>
      <c r="M4" s="358" t="e">
        <f ca="1"/>
        <v>#NAME?</v>
      </c>
      <c r="N4" s="415" t="e">
        <f ca="1"/>
        <v>#NAME?</v>
      </c>
      <c r="P4" s="414" t="e">
        <f ca="1"/>
        <v>#NAME?</v>
      </c>
      <c r="Q4" s="358" t="e">
        <f ca="1"/>
        <v>#NAME?</v>
      </c>
      <c r="R4" s="358" t="e">
        <f ca="1"/>
        <v>#NAME?</v>
      </c>
      <c r="S4" s="415" t="e">
        <f ca="1"/>
        <v>#NAME?</v>
      </c>
      <c r="U4" s="414" t="e">
        <f ca="1"/>
        <v>#NAME?</v>
      </c>
      <c r="V4" s="358" t="e">
        <f ca="1"/>
        <v>#NAME?</v>
      </c>
      <c r="W4" s="358" t="e">
        <f ca="1"/>
        <v>#NAME?</v>
      </c>
      <c r="X4" s="415" t="e">
        <f ca="1"/>
        <v>#NAME?</v>
      </c>
      <c r="Z4" s="414" t="e">
        <f ca="1"/>
        <v>#NAME?</v>
      </c>
      <c r="AA4" s="358" t="e">
        <f ca="1"/>
        <v>#NAME?</v>
      </c>
      <c r="AB4" s="358" t="e">
        <f ca="1"/>
        <v>#NAME?</v>
      </c>
      <c r="AC4" s="415" t="e">
        <f ca="1"/>
        <v>#NAME?</v>
      </c>
      <c r="AE4" s="414" t="e">
        <f ca="1"/>
        <v>#NAME?</v>
      </c>
      <c r="AF4" s="358" t="e">
        <f ca="1"/>
        <v>#NAME?</v>
      </c>
      <c r="AG4" s="358" t="e">
        <f ca="1"/>
        <v>#NAME?</v>
      </c>
      <c r="AH4" s="415" t="e">
        <f ca="1"/>
        <v>#NAME?</v>
      </c>
      <c r="AJ4" s="414" t="e">
        <f ca="1"/>
        <v>#NAME?</v>
      </c>
      <c r="AK4" s="358" t="e">
        <f ca="1"/>
        <v>#NAME?</v>
      </c>
      <c r="AL4" s="358" t="e">
        <f ca="1"/>
        <v>#NAME?</v>
      </c>
      <c r="AM4" s="415" t="e">
        <f ca="1"/>
        <v>#NAME?</v>
      </c>
      <c r="AO4" s="414" t="e">
        <f ca="1"/>
        <v>#NAME?</v>
      </c>
      <c r="AP4" s="358" t="e">
        <f ca="1"/>
        <v>#NAME?</v>
      </c>
      <c r="AQ4" s="358" t="e">
        <f ca="1"/>
        <v>#NAME?</v>
      </c>
      <c r="AR4" s="415" t="e">
        <f ca="1"/>
        <v>#NAME?</v>
      </c>
      <c r="AT4" s="414" t="e">
        <f ca="1"/>
        <v>#NAME?</v>
      </c>
      <c r="AU4" s="358" t="e">
        <f ca="1"/>
        <v>#NAME?</v>
      </c>
      <c r="AV4" s="358" t="e">
        <f ca="1"/>
        <v>#NAME?</v>
      </c>
      <c r="AW4" s="415" t="e">
        <f ca="1"/>
        <v>#NAME?</v>
      </c>
    </row>
    <row r="5" spans="1:49" x14ac:dyDescent="0.25">
      <c r="A5" s="183" t="e">
        <f ca="1"/>
        <v>#NAME?</v>
      </c>
      <c r="B5" s="7" t="e">
        <f ca="1"/>
        <v>#NAME?</v>
      </c>
      <c r="C5" s="7" t="e">
        <f ca="1"/>
        <v>#NAME?</v>
      </c>
      <c r="D5" s="43" t="e">
        <f ca="1"/>
        <v>#NAME?</v>
      </c>
      <c r="F5" s="183" t="e">
        <f ca="1"/>
        <v>#NAME?</v>
      </c>
      <c r="G5" s="7" t="e">
        <f ca="1"/>
        <v>#NAME?</v>
      </c>
      <c r="H5" s="7" t="e">
        <f ca="1"/>
        <v>#NAME?</v>
      </c>
      <c r="I5" s="43" t="e">
        <f ca="1"/>
        <v>#NAME?</v>
      </c>
      <c r="K5" s="183" t="e">
        <f ca="1"/>
        <v>#NAME?</v>
      </c>
      <c r="L5" s="7" t="e">
        <f ca="1"/>
        <v>#NAME?</v>
      </c>
      <c r="M5" s="7" t="e">
        <f ca="1"/>
        <v>#NAME?</v>
      </c>
      <c r="N5" s="43" t="e">
        <f ca="1"/>
        <v>#NAME?</v>
      </c>
      <c r="P5" s="183" t="e">
        <f ca="1"/>
        <v>#NAME?</v>
      </c>
      <c r="Q5" s="7" t="e">
        <f ca="1"/>
        <v>#NAME?</v>
      </c>
      <c r="R5" s="7" t="e">
        <f ca="1"/>
        <v>#NAME?</v>
      </c>
      <c r="S5" s="43" t="e">
        <f ca="1"/>
        <v>#NAME?</v>
      </c>
      <c r="U5" s="183" t="e">
        <f ca="1"/>
        <v>#NAME?</v>
      </c>
      <c r="V5" s="7" t="e">
        <f ca="1"/>
        <v>#NAME?</v>
      </c>
      <c r="W5" s="7" t="e">
        <f ca="1"/>
        <v>#NAME?</v>
      </c>
      <c r="X5" s="43" t="e">
        <f ca="1"/>
        <v>#NAME?</v>
      </c>
      <c r="Z5" s="183" t="e">
        <f ca="1"/>
        <v>#NAME?</v>
      </c>
      <c r="AA5" s="7" t="e">
        <f ca="1"/>
        <v>#NAME?</v>
      </c>
      <c r="AB5" s="7" t="e">
        <f ca="1"/>
        <v>#NAME?</v>
      </c>
      <c r="AC5" s="43" t="e">
        <f ca="1"/>
        <v>#NAME?</v>
      </c>
      <c r="AE5" s="183" t="e">
        <f ca="1"/>
        <v>#NAME?</v>
      </c>
      <c r="AF5" s="7" t="e">
        <f ca="1"/>
        <v>#NAME?</v>
      </c>
      <c r="AG5" s="7" t="e">
        <f ca="1"/>
        <v>#NAME?</v>
      </c>
      <c r="AH5" s="43" t="e">
        <f ca="1"/>
        <v>#NAME?</v>
      </c>
      <c r="AJ5" s="183" t="e">
        <f ca="1"/>
        <v>#NAME?</v>
      </c>
      <c r="AK5" s="7" t="e">
        <f ca="1"/>
        <v>#NAME?</v>
      </c>
      <c r="AL5" s="7" t="e">
        <f ca="1"/>
        <v>#NAME?</v>
      </c>
      <c r="AM5" s="43" t="e">
        <f ca="1"/>
        <v>#NAME?</v>
      </c>
      <c r="AO5" s="183" t="e">
        <f ca="1"/>
        <v>#NAME?</v>
      </c>
      <c r="AP5" s="7" t="e">
        <f ca="1"/>
        <v>#NAME?</v>
      </c>
      <c r="AQ5" s="7" t="e">
        <f ca="1"/>
        <v>#NAME?</v>
      </c>
      <c r="AR5" s="43" t="e">
        <f ca="1"/>
        <v>#NAME?</v>
      </c>
      <c r="AT5" s="183" t="e">
        <f ca="1"/>
        <v>#NAME?</v>
      </c>
      <c r="AU5" s="7" t="e">
        <f ca="1"/>
        <v>#NAME?</v>
      </c>
      <c r="AV5" s="7" t="e">
        <f ca="1"/>
        <v>#NAME?</v>
      </c>
      <c r="AW5" s="43" t="e">
        <f ca="1"/>
        <v>#NAME?</v>
      </c>
    </row>
    <row r="6" spans="1:49" x14ac:dyDescent="0.25">
      <c r="A6" s="183" t="e">
        <f ca="1"/>
        <v>#NAME?</v>
      </c>
      <c r="B6" s="7" t="e">
        <f ca="1"/>
        <v>#NAME?</v>
      </c>
      <c r="C6" s="7" t="e">
        <f ca="1"/>
        <v>#NAME?</v>
      </c>
      <c r="D6" s="43" t="e">
        <f ca="1"/>
        <v>#NAME?</v>
      </c>
      <c r="F6" s="183" t="e">
        <f ca="1"/>
        <v>#NAME?</v>
      </c>
      <c r="G6" s="7" t="e">
        <f ca="1"/>
        <v>#NAME?</v>
      </c>
      <c r="H6" s="7" t="e">
        <f ca="1"/>
        <v>#NAME?</v>
      </c>
      <c r="I6" s="43" t="e">
        <f ca="1"/>
        <v>#NAME?</v>
      </c>
      <c r="K6" s="183" t="e">
        <f ca="1"/>
        <v>#NAME?</v>
      </c>
      <c r="L6" s="7" t="e">
        <f ca="1"/>
        <v>#NAME?</v>
      </c>
      <c r="M6" s="7" t="e">
        <f ca="1"/>
        <v>#NAME?</v>
      </c>
      <c r="N6" s="43" t="e">
        <f ca="1"/>
        <v>#NAME?</v>
      </c>
      <c r="P6" s="183" t="e">
        <f ca="1"/>
        <v>#NAME?</v>
      </c>
      <c r="Q6" s="7" t="e">
        <f ca="1"/>
        <v>#NAME?</v>
      </c>
      <c r="R6" s="7" t="e">
        <f ca="1"/>
        <v>#NAME?</v>
      </c>
      <c r="S6" s="43" t="e">
        <f ca="1"/>
        <v>#NAME?</v>
      </c>
      <c r="U6" s="183" t="e">
        <f ca="1"/>
        <v>#NAME?</v>
      </c>
      <c r="V6" s="7" t="e">
        <f ca="1"/>
        <v>#NAME?</v>
      </c>
      <c r="W6" s="7" t="e">
        <f ca="1"/>
        <v>#NAME?</v>
      </c>
      <c r="X6" s="43" t="e">
        <f ca="1"/>
        <v>#NAME?</v>
      </c>
      <c r="Z6" s="183" t="e">
        <f ca="1"/>
        <v>#NAME?</v>
      </c>
      <c r="AA6" s="7" t="e">
        <f ca="1"/>
        <v>#NAME?</v>
      </c>
      <c r="AB6" s="7" t="e">
        <f ca="1"/>
        <v>#NAME?</v>
      </c>
      <c r="AC6" s="43" t="e">
        <f ca="1"/>
        <v>#NAME?</v>
      </c>
      <c r="AE6" s="183" t="e">
        <f ca="1"/>
        <v>#NAME?</v>
      </c>
      <c r="AF6" s="7" t="e">
        <f ca="1"/>
        <v>#NAME?</v>
      </c>
      <c r="AG6" s="7" t="e">
        <f ca="1"/>
        <v>#NAME?</v>
      </c>
      <c r="AH6" s="43" t="e">
        <f ca="1"/>
        <v>#NAME?</v>
      </c>
      <c r="AJ6" s="183" t="e">
        <f ca="1"/>
        <v>#NAME?</v>
      </c>
      <c r="AK6" s="7" t="e">
        <f ca="1"/>
        <v>#NAME?</v>
      </c>
      <c r="AL6" s="7" t="e">
        <f ca="1"/>
        <v>#NAME?</v>
      </c>
      <c r="AM6" s="43" t="e">
        <f ca="1"/>
        <v>#NAME?</v>
      </c>
      <c r="AO6" s="183" t="e">
        <f ca="1"/>
        <v>#NAME?</v>
      </c>
      <c r="AP6" s="7" t="e">
        <f ca="1"/>
        <v>#NAME?</v>
      </c>
      <c r="AQ6" s="7" t="e">
        <f ca="1"/>
        <v>#NAME?</v>
      </c>
      <c r="AR6" s="43" t="e">
        <f ca="1"/>
        <v>#NAME?</v>
      </c>
      <c r="AT6" s="183" t="e">
        <f ca="1"/>
        <v>#NAME?</v>
      </c>
      <c r="AU6" s="7" t="e">
        <f ca="1"/>
        <v>#NAME?</v>
      </c>
      <c r="AV6" s="7" t="e">
        <f ca="1"/>
        <v>#NAME?</v>
      </c>
      <c r="AW6" s="43" t="e">
        <f ca="1"/>
        <v>#NAME?</v>
      </c>
    </row>
    <row r="7" spans="1:49" x14ac:dyDescent="0.25">
      <c r="A7" s="183" t="e">
        <f ca="1"/>
        <v>#NAME?</v>
      </c>
      <c r="B7" s="7" t="e">
        <f ca="1"/>
        <v>#NAME?</v>
      </c>
      <c r="C7" s="7" t="e">
        <f ca="1"/>
        <v>#NAME?</v>
      </c>
      <c r="D7" s="43" t="e">
        <f ca="1"/>
        <v>#NAME?</v>
      </c>
      <c r="F7" s="183" t="e">
        <f ca="1"/>
        <v>#NAME?</v>
      </c>
      <c r="G7" s="7" t="e">
        <f ca="1"/>
        <v>#NAME?</v>
      </c>
      <c r="H7" s="7" t="e">
        <f ca="1"/>
        <v>#NAME?</v>
      </c>
      <c r="I7" s="43" t="e">
        <f ca="1"/>
        <v>#NAME?</v>
      </c>
      <c r="K7" s="183" t="e">
        <f ca="1"/>
        <v>#NAME?</v>
      </c>
      <c r="L7" s="7" t="e">
        <f ca="1"/>
        <v>#NAME?</v>
      </c>
      <c r="M7" s="7" t="e">
        <f ca="1"/>
        <v>#NAME?</v>
      </c>
      <c r="N7" s="43" t="e">
        <f ca="1"/>
        <v>#NAME?</v>
      </c>
      <c r="P7" s="183" t="e">
        <f ca="1"/>
        <v>#NAME?</v>
      </c>
      <c r="Q7" s="7" t="e">
        <f ca="1"/>
        <v>#NAME?</v>
      </c>
      <c r="R7" s="7" t="e">
        <f ca="1"/>
        <v>#NAME?</v>
      </c>
      <c r="S7" s="43" t="e">
        <f ca="1"/>
        <v>#NAME?</v>
      </c>
      <c r="U7" s="183" t="e">
        <f ca="1"/>
        <v>#NAME?</v>
      </c>
      <c r="V7" s="7" t="e">
        <f ca="1"/>
        <v>#NAME?</v>
      </c>
      <c r="W7" s="7" t="e">
        <f ca="1"/>
        <v>#NAME?</v>
      </c>
      <c r="X7" s="43" t="e">
        <f ca="1"/>
        <v>#NAME?</v>
      </c>
      <c r="Z7" s="183" t="e">
        <f ca="1"/>
        <v>#NAME?</v>
      </c>
      <c r="AA7" s="7" t="e">
        <f ca="1"/>
        <v>#NAME?</v>
      </c>
      <c r="AB7" s="7" t="e">
        <f ca="1"/>
        <v>#NAME?</v>
      </c>
      <c r="AC7" s="43" t="e">
        <f ca="1"/>
        <v>#NAME?</v>
      </c>
      <c r="AE7" s="183" t="e">
        <f ca="1"/>
        <v>#NAME?</v>
      </c>
      <c r="AF7" s="7" t="e">
        <f ca="1"/>
        <v>#NAME?</v>
      </c>
      <c r="AG7" s="7" t="e">
        <f ca="1"/>
        <v>#NAME?</v>
      </c>
      <c r="AH7" s="43" t="e">
        <f ca="1"/>
        <v>#NAME?</v>
      </c>
      <c r="AJ7" s="183" t="e">
        <f ca="1"/>
        <v>#NAME?</v>
      </c>
      <c r="AK7" s="7" t="e">
        <f ca="1"/>
        <v>#NAME?</v>
      </c>
      <c r="AL7" s="7" t="e">
        <f ca="1"/>
        <v>#NAME?</v>
      </c>
      <c r="AM7" s="43" t="e">
        <f ca="1"/>
        <v>#NAME?</v>
      </c>
      <c r="AO7" s="183" t="e">
        <f ca="1"/>
        <v>#NAME?</v>
      </c>
      <c r="AP7" s="7" t="e">
        <f ca="1"/>
        <v>#NAME?</v>
      </c>
      <c r="AQ7" s="7" t="e">
        <f ca="1"/>
        <v>#NAME?</v>
      </c>
      <c r="AR7" s="43" t="e">
        <f ca="1"/>
        <v>#NAME?</v>
      </c>
      <c r="AT7" s="183" t="e">
        <f ca="1"/>
        <v>#NAME?</v>
      </c>
      <c r="AU7" s="7" t="e">
        <f ca="1"/>
        <v>#NAME?</v>
      </c>
      <c r="AV7" s="7" t="e">
        <f ca="1"/>
        <v>#NAME?</v>
      </c>
      <c r="AW7" s="43" t="e">
        <f ca="1"/>
        <v>#NAME?</v>
      </c>
    </row>
    <row r="8" spans="1:49" x14ac:dyDescent="0.25">
      <c r="A8" s="183" t="e">
        <f ca="1"/>
        <v>#NAME?</v>
      </c>
      <c r="B8" s="7" t="e">
        <f ca="1"/>
        <v>#NAME?</v>
      </c>
      <c r="C8" s="7" t="e">
        <f ca="1"/>
        <v>#NAME?</v>
      </c>
      <c r="D8" s="43" t="e">
        <f ca="1"/>
        <v>#NAME?</v>
      </c>
      <c r="F8" s="183" t="e">
        <f ca="1"/>
        <v>#NAME?</v>
      </c>
      <c r="G8" s="7" t="e">
        <f ca="1"/>
        <v>#NAME?</v>
      </c>
      <c r="H8" s="7" t="e">
        <f ca="1"/>
        <v>#NAME?</v>
      </c>
      <c r="I8" s="43" t="e">
        <f ca="1"/>
        <v>#NAME?</v>
      </c>
      <c r="K8" s="183" t="e">
        <f ca="1"/>
        <v>#NAME?</v>
      </c>
      <c r="L8" s="7" t="e">
        <f ca="1"/>
        <v>#NAME?</v>
      </c>
      <c r="M8" s="7" t="e">
        <f ca="1"/>
        <v>#NAME?</v>
      </c>
      <c r="N8" s="43" t="e">
        <f ca="1"/>
        <v>#NAME?</v>
      </c>
      <c r="P8" s="183" t="e">
        <f ca="1"/>
        <v>#NAME?</v>
      </c>
      <c r="Q8" s="7" t="e">
        <f ca="1"/>
        <v>#NAME?</v>
      </c>
      <c r="R8" s="7" t="e">
        <f ca="1"/>
        <v>#NAME?</v>
      </c>
      <c r="S8" s="43" t="e">
        <f ca="1"/>
        <v>#NAME?</v>
      </c>
      <c r="U8" s="183" t="e">
        <f ca="1"/>
        <v>#NAME?</v>
      </c>
      <c r="V8" s="7" t="e">
        <f ca="1"/>
        <v>#NAME?</v>
      </c>
      <c r="W8" s="7" t="e">
        <f ca="1"/>
        <v>#NAME?</v>
      </c>
      <c r="X8" s="43" t="e">
        <f ca="1"/>
        <v>#NAME?</v>
      </c>
      <c r="Z8" s="183" t="e">
        <f ca="1"/>
        <v>#NAME?</v>
      </c>
      <c r="AA8" s="7" t="e">
        <f ca="1"/>
        <v>#NAME?</v>
      </c>
      <c r="AB8" s="7" t="e">
        <f ca="1"/>
        <v>#NAME?</v>
      </c>
      <c r="AC8" s="43" t="e">
        <f ca="1"/>
        <v>#NAME?</v>
      </c>
      <c r="AE8" s="183" t="e">
        <f ca="1"/>
        <v>#NAME?</v>
      </c>
      <c r="AF8" s="7" t="e">
        <f ca="1"/>
        <v>#NAME?</v>
      </c>
      <c r="AG8" s="7" t="e">
        <f ca="1"/>
        <v>#NAME?</v>
      </c>
      <c r="AH8" s="43" t="e">
        <f ca="1"/>
        <v>#NAME?</v>
      </c>
      <c r="AJ8" s="183" t="e">
        <f ca="1"/>
        <v>#NAME?</v>
      </c>
      <c r="AK8" s="7" t="e">
        <f ca="1"/>
        <v>#NAME?</v>
      </c>
      <c r="AL8" s="7" t="e">
        <f ca="1"/>
        <v>#NAME?</v>
      </c>
      <c r="AM8" s="43" t="e">
        <f ca="1"/>
        <v>#NAME?</v>
      </c>
      <c r="AO8" s="183" t="e">
        <f ca="1"/>
        <v>#NAME?</v>
      </c>
      <c r="AP8" s="7" t="e">
        <f ca="1"/>
        <v>#NAME?</v>
      </c>
      <c r="AQ8" s="7" t="e">
        <f ca="1"/>
        <v>#NAME?</v>
      </c>
      <c r="AR8" s="43" t="e">
        <f ca="1"/>
        <v>#NAME?</v>
      </c>
      <c r="AT8" s="183" t="e">
        <f ca="1"/>
        <v>#NAME?</v>
      </c>
      <c r="AU8" s="7" t="e">
        <f ca="1"/>
        <v>#NAME?</v>
      </c>
      <c r="AV8" s="7" t="e">
        <f ca="1"/>
        <v>#NAME?</v>
      </c>
      <c r="AW8" s="43" t="e">
        <f ca="1"/>
        <v>#NAME?</v>
      </c>
    </row>
    <row r="9" spans="1:49" x14ac:dyDescent="0.25">
      <c r="A9" s="183" t="e">
        <f ca="1"/>
        <v>#NAME?</v>
      </c>
      <c r="B9" s="7" t="e">
        <f ca="1"/>
        <v>#NAME?</v>
      </c>
      <c r="C9" s="7" t="e">
        <f ca="1"/>
        <v>#NAME?</v>
      </c>
      <c r="D9" s="43" t="e">
        <f ca="1"/>
        <v>#NAME?</v>
      </c>
      <c r="F9" s="183" t="e">
        <f ca="1"/>
        <v>#NAME?</v>
      </c>
      <c r="G9" s="7" t="e">
        <f ca="1"/>
        <v>#NAME?</v>
      </c>
      <c r="H9" s="7" t="e">
        <f ca="1"/>
        <v>#NAME?</v>
      </c>
      <c r="I9" s="43" t="e">
        <f ca="1"/>
        <v>#NAME?</v>
      </c>
      <c r="K9" s="183" t="e">
        <f ca="1"/>
        <v>#NAME?</v>
      </c>
      <c r="L9" s="7" t="e">
        <f ca="1"/>
        <v>#NAME?</v>
      </c>
      <c r="M9" s="7" t="e">
        <f ca="1"/>
        <v>#NAME?</v>
      </c>
      <c r="N9" s="43" t="e">
        <f ca="1"/>
        <v>#NAME?</v>
      </c>
      <c r="P9" s="183" t="e">
        <f ca="1"/>
        <v>#NAME?</v>
      </c>
      <c r="Q9" s="7" t="e">
        <f ca="1"/>
        <v>#NAME?</v>
      </c>
      <c r="R9" s="7" t="e">
        <f ca="1"/>
        <v>#NAME?</v>
      </c>
      <c r="S9" s="43" t="e">
        <f ca="1"/>
        <v>#NAME?</v>
      </c>
      <c r="U9" s="183" t="e">
        <f ca="1"/>
        <v>#NAME?</v>
      </c>
      <c r="V9" s="7" t="e">
        <f ca="1"/>
        <v>#NAME?</v>
      </c>
      <c r="W9" s="7" t="e">
        <f ca="1"/>
        <v>#NAME?</v>
      </c>
      <c r="X9" s="43" t="e">
        <f ca="1"/>
        <v>#NAME?</v>
      </c>
      <c r="Z9" s="183" t="e">
        <f ca="1"/>
        <v>#NAME?</v>
      </c>
      <c r="AA9" s="7" t="e">
        <f ca="1"/>
        <v>#NAME?</v>
      </c>
      <c r="AB9" s="7" t="e">
        <f ca="1"/>
        <v>#NAME?</v>
      </c>
      <c r="AC9" s="43" t="e">
        <f ca="1"/>
        <v>#NAME?</v>
      </c>
      <c r="AE9" s="183" t="e">
        <f ca="1"/>
        <v>#NAME?</v>
      </c>
      <c r="AF9" s="7" t="e">
        <f ca="1"/>
        <v>#NAME?</v>
      </c>
      <c r="AG9" s="7" t="e">
        <f ca="1"/>
        <v>#NAME?</v>
      </c>
      <c r="AH9" s="43" t="e">
        <f ca="1"/>
        <v>#NAME?</v>
      </c>
      <c r="AJ9" s="183" t="e">
        <f ca="1"/>
        <v>#NAME?</v>
      </c>
      <c r="AK9" s="7" t="e">
        <f ca="1"/>
        <v>#NAME?</v>
      </c>
      <c r="AL9" s="7" t="e">
        <f ca="1"/>
        <v>#NAME?</v>
      </c>
      <c r="AM9" s="43" t="e">
        <f ca="1"/>
        <v>#NAME?</v>
      </c>
      <c r="AO9" s="183" t="e">
        <f ca="1"/>
        <v>#NAME?</v>
      </c>
      <c r="AP9" s="7" t="e">
        <f ca="1"/>
        <v>#NAME?</v>
      </c>
      <c r="AQ9" s="7" t="e">
        <f ca="1"/>
        <v>#NAME?</v>
      </c>
      <c r="AR9" s="43" t="e">
        <f ca="1"/>
        <v>#NAME?</v>
      </c>
      <c r="AT9" s="183" t="e">
        <f ca="1"/>
        <v>#NAME?</v>
      </c>
      <c r="AU9" s="7" t="e">
        <f ca="1"/>
        <v>#NAME?</v>
      </c>
      <c r="AV9" s="7" t="e">
        <f ca="1"/>
        <v>#NAME?</v>
      </c>
      <c r="AW9" s="43" t="e">
        <f ca="1"/>
        <v>#NAME?</v>
      </c>
    </row>
    <row r="10" spans="1:49" x14ac:dyDescent="0.25">
      <c r="A10" s="183" t="e">
        <f ca="1"/>
        <v>#NAME?</v>
      </c>
      <c r="B10" s="7" t="e">
        <f ca="1"/>
        <v>#NAME?</v>
      </c>
      <c r="C10" s="7" t="e">
        <f ca="1"/>
        <v>#NAME?</v>
      </c>
      <c r="D10" s="43" t="e">
        <f ca="1"/>
        <v>#NAME?</v>
      </c>
      <c r="F10" s="183" t="e">
        <f ca="1"/>
        <v>#NAME?</v>
      </c>
      <c r="G10" s="7" t="e">
        <f ca="1"/>
        <v>#NAME?</v>
      </c>
      <c r="H10" s="7" t="e">
        <f ca="1"/>
        <v>#NAME?</v>
      </c>
      <c r="I10" s="43" t="e">
        <f ca="1"/>
        <v>#NAME?</v>
      </c>
      <c r="K10" s="183" t="e">
        <f ca="1"/>
        <v>#NAME?</v>
      </c>
      <c r="L10" s="7" t="e">
        <f ca="1"/>
        <v>#NAME?</v>
      </c>
      <c r="M10" s="7" t="e">
        <f ca="1"/>
        <v>#NAME?</v>
      </c>
      <c r="N10" s="43" t="e">
        <f ca="1"/>
        <v>#NAME?</v>
      </c>
      <c r="P10" s="183" t="e">
        <f ca="1"/>
        <v>#NAME?</v>
      </c>
      <c r="Q10" s="7" t="e">
        <f ca="1"/>
        <v>#NAME?</v>
      </c>
      <c r="R10" s="7" t="e">
        <f ca="1"/>
        <v>#NAME?</v>
      </c>
      <c r="S10" s="43" t="e">
        <f ca="1"/>
        <v>#NAME?</v>
      </c>
      <c r="U10" s="183" t="e">
        <f ca="1"/>
        <v>#NAME?</v>
      </c>
      <c r="V10" s="7" t="e">
        <f ca="1"/>
        <v>#NAME?</v>
      </c>
      <c r="W10" s="7" t="e">
        <f ca="1"/>
        <v>#NAME?</v>
      </c>
      <c r="X10" s="43" t="e">
        <f ca="1"/>
        <v>#NAME?</v>
      </c>
      <c r="Z10" s="183" t="e">
        <f ca="1"/>
        <v>#NAME?</v>
      </c>
      <c r="AA10" s="7" t="e">
        <f ca="1"/>
        <v>#NAME?</v>
      </c>
      <c r="AB10" s="7" t="e">
        <f ca="1"/>
        <v>#NAME?</v>
      </c>
      <c r="AC10" s="43" t="e">
        <f ca="1"/>
        <v>#NAME?</v>
      </c>
      <c r="AE10" s="183" t="e">
        <f ca="1"/>
        <v>#NAME?</v>
      </c>
      <c r="AF10" s="7" t="e">
        <f ca="1"/>
        <v>#NAME?</v>
      </c>
      <c r="AG10" s="7" t="e">
        <f ca="1"/>
        <v>#NAME?</v>
      </c>
      <c r="AH10" s="43" t="e">
        <f ca="1"/>
        <v>#NAME?</v>
      </c>
      <c r="AJ10" s="183" t="e">
        <f ca="1"/>
        <v>#NAME?</v>
      </c>
      <c r="AK10" s="7" t="e">
        <f ca="1"/>
        <v>#NAME?</v>
      </c>
      <c r="AL10" s="7" t="e">
        <f ca="1"/>
        <v>#NAME?</v>
      </c>
      <c r="AM10" s="43" t="e">
        <f ca="1"/>
        <v>#NAME?</v>
      </c>
      <c r="AO10" s="183" t="e">
        <f ca="1"/>
        <v>#NAME?</v>
      </c>
      <c r="AP10" s="7" t="e">
        <f ca="1"/>
        <v>#NAME?</v>
      </c>
      <c r="AQ10" s="7" t="e">
        <f ca="1"/>
        <v>#NAME?</v>
      </c>
      <c r="AR10" s="43" t="e">
        <f ca="1"/>
        <v>#NAME?</v>
      </c>
      <c r="AT10" s="183" t="e">
        <f ca="1"/>
        <v>#NAME?</v>
      </c>
      <c r="AU10" s="7" t="e">
        <f ca="1"/>
        <v>#NAME?</v>
      </c>
      <c r="AV10" s="7" t="e">
        <f ca="1"/>
        <v>#NAME?</v>
      </c>
      <c r="AW10" s="43" t="e">
        <f ca="1"/>
        <v>#NAME?</v>
      </c>
    </row>
    <row r="11" spans="1:49" x14ac:dyDescent="0.25">
      <c r="A11" s="183" t="e">
        <f ca="1"/>
        <v>#NAME?</v>
      </c>
      <c r="B11" s="7" t="e">
        <f ca="1"/>
        <v>#NAME?</v>
      </c>
      <c r="C11" s="7" t="e">
        <f ca="1"/>
        <v>#NAME?</v>
      </c>
      <c r="D11" s="43" t="e">
        <f ca="1"/>
        <v>#NAME?</v>
      </c>
      <c r="F11" s="183" t="e">
        <f ca="1"/>
        <v>#NAME?</v>
      </c>
      <c r="G11" s="7" t="e">
        <f ca="1"/>
        <v>#NAME?</v>
      </c>
      <c r="H11" s="7" t="e">
        <f ca="1"/>
        <v>#NAME?</v>
      </c>
      <c r="I11" s="43" t="e">
        <f ca="1"/>
        <v>#NAME?</v>
      </c>
      <c r="K11" s="183" t="e">
        <f ca="1"/>
        <v>#NAME?</v>
      </c>
      <c r="L11" s="7" t="e">
        <f ca="1"/>
        <v>#NAME?</v>
      </c>
      <c r="M11" s="7" t="e">
        <f ca="1"/>
        <v>#NAME?</v>
      </c>
      <c r="N11" s="43" t="e">
        <f ca="1"/>
        <v>#NAME?</v>
      </c>
      <c r="P11" s="183" t="e">
        <f ca="1"/>
        <v>#NAME?</v>
      </c>
      <c r="Q11" s="7" t="e">
        <f ca="1"/>
        <v>#NAME?</v>
      </c>
      <c r="R11" s="7" t="e">
        <f ca="1"/>
        <v>#NAME?</v>
      </c>
      <c r="S11" s="43" t="e">
        <f ca="1"/>
        <v>#NAME?</v>
      </c>
      <c r="U11" s="183" t="e">
        <f ca="1"/>
        <v>#NAME?</v>
      </c>
      <c r="V11" s="7" t="e">
        <f ca="1"/>
        <v>#NAME?</v>
      </c>
      <c r="W11" s="7" t="e">
        <f ca="1"/>
        <v>#NAME?</v>
      </c>
      <c r="X11" s="43" t="e">
        <f ca="1"/>
        <v>#NAME?</v>
      </c>
      <c r="Z11" s="183" t="e">
        <f ca="1"/>
        <v>#NAME?</v>
      </c>
      <c r="AA11" s="7" t="e">
        <f ca="1"/>
        <v>#NAME?</v>
      </c>
      <c r="AB11" s="7" t="e">
        <f ca="1"/>
        <v>#NAME?</v>
      </c>
      <c r="AC11" s="43" t="e">
        <f ca="1"/>
        <v>#NAME?</v>
      </c>
      <c r="AE11" s="183" t="e">
        <f ca="1"/>
        <v>#NAME?</v>
      </c>
      <c r="AF11" s="7" t="e">
        <f ca="1"/>
        <v>#NAME?</v>
      </c>
      <c r="AG11" s="7" t="e">
        <f ca="1"/>
        <v>#NAME?</v>
      </c>
      <c r="AH11" s="43" t="e">
        <f ca="1"/>
        <v>#NAME?</v>
      </c>
      <c r="AJ11" s="183" t="e">
        <f ca="1"/>
        <v>#NAME?</v>
      </c>
      <c r="AK11" s="7" t="e">
        <f ca="1"/>
        <v>#NAME?</v>
      </c>
      <c r="AL11" s="7" t="e">
        <f ca="1"/>
        <v>#NAME?</v>
      </c>
      <c r="AM11" s="43" t="e">
        <f ca="1"/>
        <v>#NAME?</v>
      </c>
      <c r="AO11" s="183" t="e">
        <f ca="1"/>
        <v>#NAME?</v>
      </c>
      <c r="AP11" s="7" t="e">
        <f ca="1"/>
        <v>#NAME?</v>
      </c>
      <c r="AQ11" s="7" t="e">
        <f ca="1"/>
        <v>#NAME?</v>
      </c>
      <c r="AR11" s="43" t="e">
        <f ca="1"/>
        <v>#NAME?</v>
      </c>
      <c r="AT11" s="183" t="e">
        <f ca="1"/>
        <v>#NAME?</v>
      </c>
      <c r="AU11" s="7" t="e">
        <f ca="1"/>
        <v>#NAME?</v>
      </c>
      <c r="AV11" s="7" t="e">
        <f ca="1"/>
        <v>#NAME?</v>
      </c>
      <c r="AW11" s="43" t="e">
        <f ca="1"/>
        <v>#NAME?</v>
      </c>
    </row>
    <row r="12" spans="1:49" x14ac:dyDescent="0.25">
      <c r="A12" s="183" t="e">
        <f ca="1"/>
        <v>#NAME?</v>
      </c>
      <c r="B12" s="7" t="e">
        <f ca="1"/>
        <v>#NAME?</v>
      </c>
      <c r="C12" s="7" t="e">
        <f ca="1"/>
        <v>#NAME?</v>
      </c>
      <c r="D12" s="43" t="e">
        <f ca="1"/>
        <v>#NAME?</v>
      </c>
      <c r="F12" s="183" t="e">
        <f ca="1"/>
        <v>#NAME?</v>
      </c>
      <c r="G12" s="7" t="e">
        <f ca="1"/>
        <v>#NAME?</v>
      </c>
      <c r="H12" s="7" t="e">
        <f ca="1"/>
        <v>#NAME?</v>
      </c>
      <c r="I12" s="43" t="e">
        <f ca="1"/>
        <v>#NAME?</v>
      </c>
      <c r="K12" s="183" t="e">
        <f ca="1"/>
        <v>#NAME?</v>
      </c>
      <c r="L12" s="7" t="e">
        <f ca="1"/>
        <v>#NAME?</v>
      </c>
      <c r="M12" s="7" t="e">
        <f ca="1"/>
        <v>#NAME?</v>
      </c>
      <c r="N12" s="43" t="e">
        <f ca="1"/>
        <v>#NAME?</v>
      </c>
      <c r="P12" s="183" t="e">
        <f ca="1"/>
        <v>#NAME?</v>
      </c>
      <c r="Q12" s="7" t="e">
        <f ca="1"/>
        <v>#NAME?</v>
      </c>
      <c r="R12" s="7" t="e">
        <f ca="1"/>
        <v>#NAME?</v>
      </c>
      <c r="S12" s="43" t="e">
        <f ca="1"/>
        <v>#NAME?</v>
      </c>
      <c r="U12" s="183" t="e">
        <f ca="1"/>
        <v>#NAME?</v>
      </c>
      <c r="V12" s="7" t="e">
        <f ca="1"/>
        <v>#NAME?</v>
      </c>
      <c r="W12" s="7" t="e">
        <f ca="1"/>
        <v>#NAME?</v>
      </c>
      <c r="X12" s="43" t="e">
        <f ca="1"/>
        <v>#NAME?</v>
      </c>
      <c r="Z12" s="183" t="e">
        <f ca="1"/>
        <v>#NAME?</v>
      </c>
      <c r="AA12" s="7" t="e">
        <f ca="1"/>
        <v>#NAME?</v>
      </c>
      <c r="AB12" s="7" t="e">
        <f ca="1"/>
        <v>#NAME?</v>
      </c>
      <c r="AC12" s="43" t="e">
        <f ca="1"/>
        <v>#NAME?</v>
      </c>
      <c r="AE12" s="183" t="e">
        <f ca="1"/>
        <v>#NAME?</v>
      </c>
      <c r="AF12" s="7" t="e">
        <f ca="1"/>
        <v>#NAME?</v>
      </c>
      <c r="AG12" s="7" t="e">
        <f ca="1"/>
        <v>#NAME?</v>
      </c>
      <c r="AH12" s="43" t="e">
        <f ca="1"/>
        <v>#NAME?</v>
      </c>
      <c r="AJ12" s="183" t="e">
        <f ca="1"/>
        <v>#NAME?</v>
      </c>
      <c r="AK12" s="7" t="e">
        <f ca="1"/>
        <v>#NAME?</v>
      </c>
      <c r="AL12" s="7" t="e">
        <f ca="1"/>
        <v>#NAME?</v>
      </c>
      <c r="AM12" s="43" t="e">
        <f ca="1"/>
        <v>#NAME?</v>
      </c>
      <c r="AO12" s="183" t="e">
        <f ca="1"/>
        <v>#NAME?</v>
      </c>
      <c r="AP12" s="7" t="e">
        <f ca="1"/>
        <v>#NAME?</v>
      </c>
      <c r="AQ12" s="7" t="e">
        <f ca="1"/>
        <v>#NAME?</v>
      </c>
      <c r="AR12" s="43" t="e">
        <f ca="1"/>
        <v>#NAME?</v>
      </c>
      <c r="AT12" s="183" t="e">
        <f ca="1"/>
        <v>#NAME?</v>
      </c>
      <c r="AU12" s="7" t="e">
        <f ca="1"/>
        <v>#NAME?</v>
      </c>
      <c r="AV12" s="7" t="e">
        <f ca="1"/>
        <v>#NAME?</v>
      </c>
      <c r="AW12" s="43" t="e">
        <f ca="1"/>
        <v>#NAME?</v>
      </c>
    </row>
    <row r="13" spans="1:49" x14ac:dyDescent="0.25">
      <c r="A13" s="183" t="e">
        <f ca="1"/>
        <v>#NAME?</v>
      </c>
      <c r="B13" s="7" t="e">
        <f ca="1"/>
        <v>#NAME?</v>
      </c>
      <c r="C13" s="7" t="e">
        <f ca="1"/>
        <v>#NAME?</v>
      </c>
      <c r="D13" s="43" t="e">
        <f ca="1"/>
        <v>#NAME?</v>
      </c>
      <c r="F13" s="183" t="e">
        <f ca="1"/>
        <v>#NAME?</v>
      </c>
      <c r="G13" s="7" t="e">
        <f ca="1"/>
        <v>#NAME?</v>
      </c>
      <c r="H13" s="7" t="e">
        <f ca="1"/>
        <v>#NAME?</v>
      </c>
      <c r="I13" s="43" t="e">
        <f ca="1"/>
        <v>#NAME?</v>
      </c>
      <c r="K13" s="183" t="e">
        <f ca="1"/>
        <v>#NAME?</v>
      </c>
      <c r="L13" s="7" t="e">
        <f ca="1"/>
        <v>#NAME?</v>
      </c>
      <c r="M13" s="7" t="e">
        <f ca="1"/>
        <v>#NAME?</v>
      </c>
      <c r="N13" s="43" t="e">
        <f ca="1"/>
        <v>#NAME?</v>
      </c>
      <c r="P13" s="183" t="e">
        <f ca="1"/>
        <v>#NAME?</v>
      </c>
      <c r="Q13" s="7" t="e">
        <f ca="1"/>
        <v>#NAME?</v>
      </c>
      <c r="R13" s="7" t="e">
        <f ca="1"/>
        <v>#NAME?</v>
      </c>
      <c r="S13" s="43" t="e">
        <f ca="1"/>
        <v>#NAME?</v>
      </c>
      <c r="U13" s="183" t="e">
        <f ca="1"/>
        <v>#NAME?</v>
      </c>
      <c r="V13" s="7" t="e">
        <f ca="1"/>
        <v>#NAME?</v>
      </c>
      <c r="W13" s="7" t="e">
        <f ca="1"/>
        <v>#NAME?</v>
      </c>
      <c r="X13" s="43" t="e">
        <f ca="1"/>
        <v>#NAME?</v>
      </c>
      <c r="Z13" s="183" t="e">
        <f ca="1"/>
        <v>#NAME?</v>
      </c>
      <c r="AA13" s="7" t="e">
        <f ca="1"/>
        <v>#NAME?</v>
      </c>
      <c r="AB13" s="7" t="e">
        <f ca="1"/>
        <v>#NAME?</v>
      </c>
      <c r="AC13" s="43" t="e">
        <f ca="1"/>
        <v>#NAME?</v>
      </c>
      <c r="AE13" s="183" t="e">
        <f ca="1"/>
        <v>#NAME?</v>
      </c>
      <c r="AF13" s="7" t="e">
        <f ca="1"/>
        <v>#NAME?</v>
      </c>
      <c r="AG13" s="7" t="e">
        <f ca="1"/>
        <v>#NAME?</v>
      </c>
      <c r="AH13" s="43" t="e">
        <f ca="1"/>
        <v>#NAME?</v>
      </c>
      <c r="AJ13" s="183" t="e">
        <f ca="1"/>
        <v>#NAME?</v>
      </c>
      <c r="AK13" s="7" t="e">
        <f ca="1"/>
        <v>#NAME?</v>
      </c>
      <c r="AL13" s="7" t="e">
        <f ca="1"/>
        <v>#NAME?</v>
      </c>
      <c r="AM13" s="43" t="e">
        <f ca="1"/>
        <v>#NAME?</v>
      </c>
      <c r="AO13" s="183" t="e">
        <f ca="1"/>
        <v>#NAME?</v>
      </c>
      <c r="AP13" s="7" t="e">
        <f ca="1"/>
        <v>#NAME?</v>
      </c>
      <c r="AQ13" s="7" t="e">
        <f ca="1"/>
        <v>#NAME?</v>
      </c>
      <c r="AR13" s="43" t="e">
        <f ca="1"/>
        <v>#NAME?</v>
      </c>
      <c r="AT13" s="183" t="e">
        <f ca="1"/>
        <v>#NAME?</v>
      </c>
      <c r="AU13" s="7" t="e">
        <f ca="1"/>
        <v>#NAME?</v>
      </c>
      <c r="AV13" s="7" t="e">
        <f ca="1"/>
        <v>#NAME?</v>
      </c>
      <c r="AW13" s="43" t="e">
        <f ca="1"/>
        <v>#NAME?</v>
      </c>
    </row>
    <row r="14" spans="1:49" x14ac:dyDescent="0.25">
      <c r="A14" s="183" t="e">
        <f ca="1"/>
        <v>#NAME?</v>
      </c>
      <c r="B14" s="7" t="e">
        <f ca="1"/>
        <v>#NAME?</v>
      </c>
      <c r="C14" s="7" t="e">
        <f ca="1"/>
        <v>#NAME?</v>
      </c>
      <c r="D14" s="43" t="e">
        <f ca="1"/>
        <v>#NAME?</v>
      </c>
      <c r="F14" s="183" t="e">
        <f ca="1"/>
        <v>#NAME?</v>
      </c>
      <c r="G14" s="7" t="e">
        <f ca="1"/>
        <v>#NAME?</v>
      </c>
      <c r="H14" s="7" t="e">
        <f ca="1"/>
        <v>#NAME?</v>
      </c>
      <c r="I14" s="43" t="e">
        <f ca="1"/>
        <v>#NAME?</v>
      </c>
      <c r="K14" s="183" t="e">
        <f ca="1"/>
        <v>#NAME?</v>
      </c>
      <c r="L14" s="7" t="e">
        <f ca="1"/>
        <v>#NAME?</v>
      </c>
      <c r="M14" s="7" t="e">
        <f ca="1"/>
        <v>#NAME?</v>
      </c>
      <c r="N14" s="43" t="e">
        <f ca="1"/>
        <v>#NAME?</v>
      </c>
      <c r="P14" s="183" t="e">
        <f ca="1"/>
        <v>#NAME?</v>
      </c>
      <c r="Q14" s="7" t="e">
        <f ca="1"/>
        <v>#NAME?</v>
      </c>
      <c r="R14" s="7" t="e">
        <f ca="1"/>
        <v>#NAME?</v>
      </c>
      <c r="S14" s="43" t="e">
        <f ca="1"/>
        <v>#NAME?</v>
      </c>
      <c r="U14" s="183" t="e">
        <f ca="1"/>
        <v>#NAME?</v>
      </c>
      <c r="V14" s="7" t="e">
        <f ca="1"/>
        <v>#NAME?</v>
      </c>
      <c r="W14" s="7" t="e">
        <f ca="1"/>
        <v>#NAME?</v>
      </c>
      <c r="X14" s="43" t="e">
        <f ca="1"/>
        <v>#NAME?</v>
      </c>
      <c r="Z14" s="183" t="e">
        <f ca="1"/>
        <v>#NAME?</v>
      </c>
      <c r="AA14" s="7" t="e">
        <f ca="1"/>
        <v>#NAME?</v>
      </c>
      <c r="AB14" s="7" t="e">
        <f ca="1"/>
        <v>#NAME?</v>
      </c>
      <c r="AC14" s="43" t="e">
        <f ca="1"/>
        <v>#NAME?</v>
      </c>
      <c r="AE14" s="183" t="e">
        <f ca="1"/>
        <v>#NAME?</v>
      </c>
      <c r="AF14" s="7" t="e">
        <f ca="1"/>
        <v>#NAME?</v>
      </c>
      <c r="AG14" s="7" t="e">
        <f ca="1"/>
        <v>#NAME?</v>
      </c>
      <c r="AH14" s="43" t="e">
        <f ca="1"/>
        <v>#NAME?</v>
      </c>
      <c r="AJ14" s="183" t="e">
        <f ca="1"/>
        <v>#NAME?</v>
      </c>
      <c r="AK14" s="7" t="e">
        <f ca="1"/>
        <v>#NAME?</v>
      </c>
      <c r="AL14" s="7" t="e">
        <f ca="1"/>
        <v>#NAME?</v>
      </c>
      <c r="AM14" s="43" t="e">
        <f ca="1"/>
        <v>#NAME?</v>
      </c>
      <c r="AO14" s="183" t="e">
        <f ca="1"/>
        <v>#NAME?</v>
      </c>
      <c r="AP14" s="7" t="e">
        <f ca="1"/>
        <v>#NAME?</v>
      </c>
      <c r="AQ14" s="7" t="e">
        <f ca="1"/>
        <v>#NAME?</v>
      </c>
      <c r="AR14" s="43" t="e">
        <f ca="1"/>
        <v>#NAME?</v>
      </c>
      <c r="AT14" s="183" t="e">
        <f ca="1"/>
        <v>#NAME?</v>
      </c>
      <c r="AU14" s="7" t="e">
        <f ca="1"/>
        <v>#NAME?</v>
      </c>
      <c r="AV14" s="7" t="e">
        <f ca="1"/>
        <v>#NAME?</v>
      </c>
      <c r="AW14" s="43" t="e">
        <f ca="1"/>
        <v>#NAME?</v>
      </c>
    </row>
    <row r="15" spans="1:49" x14ac:dyDescent="0.25">
      <c r="A15" s="183" t="e">
        <f ca="1"/>
        <v>#NAME?</v>
      </c>
      <c r="B15" s="7" t="e">
        <f ca="1"/>
        <v>#NAME?</v>
      </c>
      <c r="C15" s="7" t="e">
        <f ca="1"/>
        <v>#NAME?</v>
      </c>
      <c r="D15" s="43" t="e">
        <f ca="1"/>
        <v>#NAME?</v>
      </c>
      <c r="F15" s="183" t="e">
        <f ca="1"/>
        <v>#NAME?</v>
      </c>
      <c r="G15" s="7" t="e">
        <f ca="1"/>
        <v>#NAME?</v>
      </c>
      <c r="H15" s="7" t="e">
        <f ca="1"/>
        <v>#NAME?</v>
      </c>
      <c r="I15" s="43" t="e">
        <f ca="1"/>
        <v>#NAME?</v>
      </c>
      <c r="K15" s="183" t="e">
        <f ca="1"/>
        <v>#NAME?</v>
      </c>
      <c r="L15" s="7" t="e">
        <f ca="1"/>
        <v>#NAME?</v>
      </c>
      <c r="M15" s="7" t="e">
        <f ca="1"/>
        <v>#NAME?</v>
      </c>
      <c r="N15" s="43" t="e">
        <f ca="1"/>
        <v>#NAME?</v>
      </c>
      <c r="P15" s="183" t="e">
        <f ca="1"/>
        <v>#NAME?</v>
      </c>
      <c r="Q15" s="7" t="e">
        <f ca="1"/>
        <v>#NAME?</v>
      </c>
      <c r="R15" s="7" t="e">
        <f ca="1"/>
        <v>#NAME?</v>
      </c>
      <c r="S15" s="43" t="e">
        <f ca="1"/>
        <v>#NAME?</v>
      </c>
      <c r="U15" s="183" t="e">
        <f ca="1"/>
        <v>#NAME?</v>
      </c>
      <c r="V15" s="7" t="e">
        <f ca="1"/>
        <v>#NAME?</v>
      </c>
      <c r="W15" s="7" t="e">
        <f ca="1"/>
        <v>#NAME?</v>
      </c>
      <c r="X15" s="43" t="e">
        <f ca="1"/>
        <v>#NAME?</v>
      </c>
      <c r="Z15" s="183" t="e">
        <f ca="1"/>
        <v>#NAME?</v>
      </c>
      <c r="AA15" s="7" t="e">
        <f ca="1"/>
        <v>#NAME?</v>
      </c>
      <c r="AB15" s="7" t="e">
        <f ca="1"/>
        <v>#NAME?</v>
      </c>
      <c r="AC15" s="43" t="e">
        <f ca="1"/>
        <v>#NAME?</v>
      </c>
      <c r="AE15" s="183" t="e">
        <f ca="1"/>
        <v>#NAME?</v>
      </c>
      <c r="AF15" s="7" t="e">
        <f ca="1"/>
        <v>#NAME?</v>
      </c>
      <c r="AG15" s="7" t="e">
        <f ca="1"/>
        <v>#NAME?</v>
      </c>
      <c r="AH15" s="43" t="e">
        <f ca="1"/>
        <v>#NAME?</v>
      </c>
      <c r="AJ15" s="183" t="e">
        <f ca="1"/>
        <v>#NAME?</v>
      </c>
      <c r="AK15" s="7" t="e">
        <f ca="1"/>
        <v>#NAME?</v>
      </c>
      <c r="AL15" s="7" t="e">
        <f ca="1"/>
        <v>#NAME?</v>
      </c>
      <c r="AM15" s="43" t="e">
        <f ca="1"/>
        <v>#NAME?</v>
      </c>
      <c r="AO15" s="183" t="e">
        <f ca="1"/>
        <v>#NAME?</v>
      </c>
      <c r="AP15" s="7" t="e">
        <f ca="1"/>
        <v>#NAME?</v>
      </c>
      <c r="AQ15" s="7" t="e">
        <f ca="1"/>
        <v>#NAME?</v>
      </c>
      <c r="AR15" s="43" t="e">
        <f ca="1"/>
        <v>#NAME?</v>
      </c>
      <c r="AT15" s="183" t="e">
        <f ca="1"/>
        <v>#NAME?</v>
      </c>
      <c r="AU15" s="7" t="e">
        <f ca="1"/>
        <v>#NAME?</v>
      </c>
      <c r="AV15" s="7" t="e">
        <f ca="1"/>
        <v>#NAME?</v>
      </c>
      <c r="AW15" s="43" t="e">
        <f ca="1"/>
        <v>#NAME?</v>
      </c>
    </row>
    <row r="16" spans="1:49" x14ac:dyDescent="0.25">
      <c r="A16" s="183" t="e">
        <f ca="1"/>
        <v>#NAME?</v>
      </c>
      <c r="B16" s="7" t="e">
        <f ca="1"/>
        <v>#NAME?</v>
      </c>
      <c r="C16" s="7" t="e">
        <f ca="1"/>
        <v>#NAME?</v>
      </c>
      <c r="D16" s="43" t="e">
        <f ca="1"/>
        <v>#NAME?</v>
      </c>
      <c r="F16" s="183" t="e">
        <f ca="1"/>
        <v>#NAME?</v>
      </c>
      <c r="G16" s="7" t="e">
        <f ca="1"/>
        <v>#NAME?</v>
      </c>
      <c r="H16" s="7" t="e">
        <f ca="1"/>
        <v>#NAME?</v>
      </c>
      <c r="I16" s="43" t="e">
        <f ca="1"/>
        <v>#NAME?</v>
      </c>
      <c r="K16" s="183" t="e">
        <f ca="1"/>
        <v>#NAME?</v>
      </c>
      <c r="L16" s="7" t="e">
        <f ca="1"/>
        <v>#NAME?</v>
      </c>
      <c r="M16" s="7" t="e">
        <f ca="1"/>
        <v>#NAME?</v>
      </c>
      <c r="N16" s="43" t="e">
        <f ca="1"/>
        <v>#NAME?</v>
      </c>
      <c r="P16" s="183" t="e">
        <f ca="1"/>
        <v>#NAME?</v>
      </c>
      <c r="Q16" s="7" t="e">
        <f ca="1"/>
        <v>#NAME?</v>
      </c>
      <c r="R16" s="7" t="e">
        <f ca="1"/>
        <v>#NAME?</v>
      </c>
      <c r="S16" s="43" t="e">
        <f ca="1"/>
        <v>#NAME?</v>
      </c>
      <c r="U16" s="183" t="e">
        <f ca="1"/>
        <v>#NAME?</v>
      </c>
      <c r="V16" s="7" t="e">
        <f ca="1"/>
        <v>#NAME?</v>
      </c>
      <c r="W16" s="7" t="e">
        <f ca="1"/>
        <v>#NAME?</v>
      </c>
      <c r="X16" s="43" t="e">
        <f ca="1"/>
        <v>#NAME?</v>
      </c>
      <c r="Z16" s="183" t="e">
        <f ca="1"/>
        <v>#NAME?</v>
      </c>
      <c r="AA16" s="7" t="e">
        <f ca="1"/>
        <v>#NAME?</v>
      </c>
      <c r="AB16" s="7" t="e">
        <f ca="1"/>
        <v>#NAME?</v>
      </c>
      <c r="AC16" s="43" t="e">
        <f ca="1"/>
        <v>#NAME?</v>
      </c>
      <c r="AE16" s="183" t="e">
        <f ca="1"/>
        <v>#NAME?</v>
      </c>
      <c r="AF16" s="7" t="e">
        <f ca="1"/>
        <v>#NAME?</v>
      </c>
      <c r="AG16" s="7" t="e">
        <f ca="1"/>
        <v>#NAME?</v>
      </c>
      <c r="AH16" s="43" t="e">
        <f ca="1"/>
        <v>#NAME?</v>
      </c>
      <c r="AJ16" s="183" t="e">
        <f ca="1"/>
        <v>#NAME?</v>
      </c>
      <c r="AK16" s="7" t="e">
        <f ca="1"/>
        <v>#NAME?</v>
      </c>
      <c r="AL16" s="7" t="e">
        <f ca="1"/>
        <v>#NAME?</v>
      </c>
      <c r="AM16" s="43" t="e">
        <f ca="1"/>
        <v>#NAME?</v>
      </c>
      <c r="AO16" s="183" t="e">
        <f ca="1"/>
        <v>#NAME?</v>
      </c>
      <c r="AP16" s="7" t="e">
        <f ca="1"/>
        <v>#NAME?</v>
      </c>
      <c r="AQ16" s="7" t="e">
        <f ca="1"/>
        <v>#NAME?</v>
      </c>
      <c r="AR16" s="43" t="e">
        <f ca="1"/>
        <v>#NAME?</v>
      </c>
      <c r="AT16" s="183" t="e">
        <f ca="1"/>
        <v>#NAME?</v>
      </c>
      <c r="AU16" s="7" t="e">
        <f ca="1"/>
        <v>#NAME?</v>
      </c>
      <c r="AV16" s="7" t="e">
        <f ca="1"/>
        <v>#NAME?</v>
      </c>
      <c r="AW16" s="43" t="e">
        <f ca="1"/>
        <v>#NAME?</v>
      </c>
    </row>
    <row r="17" spans="1:49" x14ac:dyDescent="0.25">
      <c r="A17" s="183" t="e">
        <f ca="1"/>
        <v>#NAME?</v>
      </c>
      <c r="B17" s="7" t="e">
        <f ca="1"/>
        <v>#NAME?</v>
      </c>
      <c r="C17" s="7" t="e">
        <f ca="1"/>
        <v>#NAME?</v>
      </c>
      <c r="D17" s="43" t="e">
        <f ca="1"/>
        <v>#NAME?</v>
      </c>
      <c r="F17" s="183" t="e">
        <f ca="1"/>
        <v>#NAME?</v>
      </c>
      <c r="G17" s="7" t="e">
        <f ca="1"/>
        <v>#NAME?</v>
      </c>
      <c r="H17" s="7" t="e">
        <f ca="1"/>
        <v>#NAME?</v>
      </c>
      <c r="I17" s="43" t="e">
        <f ca="1"/>
        <v>#NAME?</v>
      </c>
      <c r="K17" s="183" t="e">
        <f ca="1"/>
        <v>#NAME?</v>
      </c>
      <c r="L17" s="7" t="e">
        <f ca="1"/>
        <v>#NAME?</v>
      </c>
      <c r="M17" s="7" t="e">
        <f ca="1"/>
        <v>#NAME?</v>
      </c>
      <c r="N17" s="43" t="e">
        <f ca="1"/>
        <v>#NAME?</v>
      </c>
      <c r="P17" s="183" t="e">
        <f ca="1"/>
        <v>#NAME?</v>
      </c>
      <c r="Q17" s="7" t="e">
        <f ca="1"/>
        <v>#NAME?</v>
      </c>
      <c r="R17" s="7" t="e">
        <f ca="1"/>
        <v>#NAME?</v>
      </c>
      <c r="S17" s="43" t="e">
        <f ca="1"/>
        <v>#NAME?</v>
      </c>
      <c r="U17" s="183" t="e">
        <f ca="1"/>
        <v>#NAME?</v>
      </c>
      <c r="V17" s="7" t="e">
        <f ca="1"/>
        <v>#NAME?</v>
      </c>
      <c r="W17" s="7" t="e">
        <f ca="1"/>
        <v>#NAME?</v>
      </c>
      <c r="X17" s="43" t="e">
        <f ca="1"/>
        <v>#NAME?</v>
      </c>
      <c r="Z17" s="183" t="e">
        <f ca="1"/>
        <v>#NAME?</v>
      </c>
      <c r="AA17" s="7" t="e">
        <f ca="1"/>
        <v>#NAME?</v>
      </c>
      <c r="AB17" s="7" t="e">
        <f ca="1"/>
        <v>#NAME?</v>
      </c>
      <c r="AC17" s="43" t="e">
        <f ca="1"/>
        <v>#NAME?</v>
      </c>
      <c r="AE17" s="183" t="e">
        <f ca="1"/>
        <v>#NAME?</v>
      </c>
      <c r="AF17" s="7" t="e">
        <f ca="1"/>
        <v>#NAME?</v>
      </c>
      <c r="AG17" s="7" t="e">
        <f ca="1"/>
        <v>#NAME?</v>
      </c>
      <c r="AH17" s="43" t="e">
        <f ca="1"/>
        <v>#NAME?</v>
      </c>
      <c r="AJ17" s="183" t="e">
        <f ca="1"/>
        <v>#NAME?</v>
      </c>
      <c r="AK17" s="7" t="e">
        <f ca="1"/>
        <v>#NAME?</v>
      </c>
      <c r="AL17" s="7" t="e">
        <f ca="1"/>
        <v>#NAME?</v>
      </c>
      <c r="AM17" s="43" t="e">
        <f ca="1"/>
        <v>#NAME?</v>
      </c>
      <c r="AO17" s="183" t="e">
        <f ca="1"/>
        <v>#NAME?</v>
      </c>
      <c r="AP17" s="7" t="e">
        <f ca="1"/>
        <v>#NAME?</v>
      </c>
      <c r="AQ17" s="7" t="e">
        <f ca="1"/>
        <v>#NAME?</v>
      </c>
      <c r="AR17" s="43" t="e">
        <f ca="1"/>
        <v>#NAME?</v>
      </c>
      <c r="AT17" s="183" t="e">
        <f ca="1"/>
        <v>#NAME?</v>
      </c>
      <c r="AU17" s="7" t="e">
        <f ca="1"/>
        <v>#NAME?</v>
      </c>
      <c r="AV17" s="7" t="e">
        <f ca="1"/>
        <v>#NAME?</v>
      </c>
      <c r="AW17" s="43" t="e">
        <f ca="1"/>
        <v>#NAME?</v>
      </c>
    </row>
    <row r="18" spans="1:49" x14ac:dyDescent="0.25">
      <c r="A18" s="183" t="e">
        <f ca="1"/>
        <v>#NAME?</v>
      </c>
      <c r="B18" s="7" t="e">
        <f ca="1"/>
        <v>#NAME?</v>
      </c>
      <c r="C18" s="7" t="e">
        <f ca="1"/>
        <v>#NAME?</v>
      </c>
      <c r="D18" s="43" t="e">
        <f ca="1"/>
        <v>#NAME?</v>
      </c>
      <c r="F18" s="183" t="e">
        <f ca="1"/>
        <v>#NAME?</v>
      </c>
      <c r="G18" s="7" t="e">
        <f ca="1"/>
        <v>#NAME?</v>
      </c>
      <c r="H18" s="7" t="e">
        <f ca="1"/>
        <v>#NAME?</v>
      </c>
      <c r="I18" s="43" t="e">
        <f ca="1"/>
        <v>#NAME?</v>
      </c>
      <c r="K18" s="183" t="e">
        <f ca="1"/>
        <v>#NAME?</v>
      </c>
      <c r="L18" s="7" t="e">
        <f ca="1"/>
        <v>#NAME?</v>
      </c>
      <c r="M18" s="7" t="e">
        <f ca="1"/>
        <v>#NAME?</v>
      </c>
      <c r="N18" s="43" t="e">
        <f ca="1"/>
        <v>#NAME?</v>
      </c>
      <c r="P18" s="183" t="e">
        <f ca="1"/>
        <v>#NAME?</v>
      </c>
      <c r="Q18" s="7" t="e">
        <f ca="1"/>
        <v>#NAME?</v>
      </c>
      <c r="R18" s="7" t="e">
        <f ca="1"/>
        <v>#NAME?</v>
      </c>
      <c r="S18" s="43" t="e">
        <f ca="1"/>
        <v>#NAME?</v>
      </c>
      <c r="U18" s="183" t="e">
        <f ca="1"/>
        <v>#NAME?</v>
      </c>
      <c r="V18" s="7" t="e">
        <f ca="1"/>
        <v>#NAME?</v>
      </c>
      <c r="W18" s="7" t="e">
        <f ca="1"/>
        <v>#NAME?</v>
      </c>
      <c r="X18" s="43" t="e">
        <f ca="1"/>
        <v>#NAME?</v>
      </c>
      <c r="Z18" s="183" t="e">
        <f ca="1"/>
        <v>#NAME?</v>
      </c>
      <c r="AA18" s="7" t="e">
        <f ca="1"/>
        <v>#NAME?</v>
      </c>
      <c r="AB18" s="7" t="e">
        <f ca="1"/>
        <v>#NAME?</v>
      </c>
      <c r="AC18" s="43" t="e">
        <f ca="1"/>
        <v>#NAME?</v>
      </c>
      <c r="AE18" s="183" t="e">
        <f ca="1"/>
        <v>#NAME?</v>
      </c>
      <c r="AF18" s="7" t="e">
        <f ca="1"/>
        <v>#NAME?</v>
      </c>
      <c r="AG18" s="7" t="e">
        <f ca="1"/>
        <v>#NAME?</v>
      </c>
      <c r="AH18" s="43" t="e">
        <f ca="1"/>
        <v>#NAME?</v>
      </c>
      <c r="AJ18" s="183" t="e">
        <f ca="1"/>
        <v>#NAME?</v>
      </c>
      <c r="AK18" s="7" t="e">
        <f ca="1"/>
        <v>#NAME?</v>
      </c>
      <c r="AL18" s="7" t="e">
        <f ca="1"/>
        <v>#NAME?</v>
      </c>
      <c r="AM18" s="43" t="e">
        <f ca="1"/>
        <v>#NAME?</v>
      </c>
      <c r="AO18" s="183" t="e">
        <f ca="1"/>
        <v>#NAME?</v>
      </c>
      <c r="AP18" s="7" t="e">
        <f ca="1"/>
        <v>#NAME?</v>
      </c>
      <c r="AQ18" s="7" t="e">
        <f ca="1"/>
        <v>#NAME?</v>
      </c>
      <c r="AR18" s="43" t="e">
        <f ca="1"/>
        <v>#NAME?</v>
      </c>
      <c r="AT18" s="183" t="e">
        <f ca="1"/>
        <v>#NAME?</v>
      </c>
      <c r="AU18" s="7" t="e">
        <f ca="1"/>
        <v>#NAME?</v>
      </c>
      <c r="AV18" s="7" t="e">
        <f ca="1"/>
        <v>#NAME?</v>
      </c>
      <c r="AW18" s="43" t="e">
        <f ca="1"/>
        <v>#NAME?</v>
      </c>
    </row>
    <row r="19" spans="1:49" x14ac:dyDescent="0.25">
      <c r="A19" s="183" t="e">
        <f ca="1"/>
        <v>#NAME?</v>
      </c>
      <c r="B19" s="7" t="e">
        <f ca="1"/>
        <v>#NAME?</v>
      </c>
      <c r="C19" s="7" t="e">
        <f ca="1"/>
        <v>#NAME?</v>
      </c>
      <c r="D19" s="43" t="e">
        <f ca="1"/>
        <v>#NAME?</v>
      </c>
      <c r="F19" s="183" t="e">
        <f ca="1"/>
        <v>#NAME?</v>
      </c>
      <c r="G19" s="7" t="e">
        <f ca="1"/>
        <v>#NAME?</v>
      </c>
      <c r="H19" s="7" t="e">
        <f ca="1"/>
        <v>#NAME?</v>
      </c>
      <c r="I19" s="43" t="e">
        <f ca="1"/>
        <v>#NAME?</v>
      </c>
      <c r="K19" s="183" t="e">
        <f ca="1"/>
        <v>#NAME?</v>
      </c>
      <c r="L19" s="7" t="e">
        <f ca="1"/>
        <v>#NAME?</v>
      </c>
      <c r="M19" s="7" t="e">
        <f ca="1"/>
        <v>#NAME?</v>
      </c>
      <c r="N19" s="43" t="e">
        <f ca="1"/>
        <v>#NAME?</v>
      </c>
      <c r="P19" s="183" t="e">
        <f ca="1"/>
        <v>#NAME?</v>
      </c>
      <c r="Q19" s="7" t="e">
        <f ca="1"/>
        <v>#NAME?</v>
      </c>
      <c r="R19" s="7" t="e">
        <f ca="1"/>
        <v>#NAME?</v>
      </c>
      <c r="S19" s="43" t="e">
        <f ca="1"/>
        <v>#NAME?</v>
      </c>
      <c r="U19" s="183" t="e">
        <f ca="1"/>
        <v>#NAME?</v>
      </c>
      <c r="V19" s="7" t="e">
        <f ca="1"/>
        <v>#NAME?</v>
      </c>
      <c r="W19" s="7" t="e">
        <f ca="1"/>
        <v>#NAME?</v>
      </c>
      <c r="X19" s="43" t="e">
        <f ca="1"/>
        <v>#NAME?</v>
      </c>
      <c r="Z19" s="183" t="e">
        <f ca="1"/>
        <v>#NAME?</v>
      </c>
      <c r="AA19" s="7" t="e">
        <f ca="1"/>
        <v>#NAME?</v>
      </c>
      <c r="AB19" s="7" t="e">
        <f ca="1"/>
        <v>#NAME?</v>
      </c>
      <c r="AC19" s="43" t="e">
        <f ca="1"/>
        <v>#NAME?</v>
      </c>
      <c r="AE19" s="183" t="e">
        <f ca="1"/>
        <v>#NAME?</v>
      </c>
      <c r="AF19" s="7" t="e">
        <f ca="1"/>
        <v>#NAME?</v>
      </c>
      <c r="AG19" s="7" t="e">
        <f ca="1"/>
        <v>#NAME?</v>
      </c>
      <c r="AH19" s="43" t="e">
        <f ca="1"/>
        <v>#NAME?</v>
      </c>
      <c r="AJ19" s="183" t="e">
        <f ca="1"/>
        <v>#NAME?</v>
      </c>
      <c r="AK19" s="7" t="e">
        <f ca="1"/>
        <v>#NAME?</v>
      </c>
      <c r="AL19" s="7" t="e">
        <f ca="1"/>
        <v>#NAME?</v>
      </c>
      <c r="AM19" s="43" t="e">
        <f ca="1"/>
        <v>#NAME?</v>
      </c>
      <c r="AO19" s="183" t="e">
        <f ca="1"/>
        <v>#NAME?</v>
      </c>
      <c r="AP19" s="7" t="e">
        <f ca="1"/>
        <v>#NAME?</v>
      </c>
      <c r="AQ19" s="7" t="e">
        <f ca="1"/>
        <v>#NAME?</v>
      </c>
      <c r="AR19" s="43" t="e">
        <f ca="1"/>
        <v>#NAME?</v>
      </c>
      <c r="AT19" s="183" t="e">
        <f ca="1"/>
        <v>#NAME?</v>
      </c>
      <c r="AU19" s="7" t="e">
        <f ca="1"/>
        <v>#NAME?</v>
      </c>
      <c r="AV19" s="7" t="e">
        <f ca="1"/>
        <v>#NAME?</v>
      </c>
      <c r="AW19" s="43" t="e">
        <f ca="1"/>
        <v>#NAME?</v>
      </c>
    </row>
    <row r="20" spans="1:49" x14ac:dyDescent="0.25">
      <c r="A20" s="183" t="e">
        <f ca="1"/>
        <v>#NAME?</v>
      </c>
      <c r="B20" s="7" t="e">
        <f ca="1"/>
        <v>#NAME?</v>
      </c>
      <c r="C20" s="7" t="e">
        <f ca="1"/>
        <v>#NAME?</v>
      </c>
      <c r="D20" s="43" t="e">
        <f ca="1"/>
        <v>#NAME?</v>
      </c>
      <c r="F20" s="183" t="e">
        <f ca="1"/>
        <v>#NAME?</v>
      </c>
      <c r="G20" s="7" t="e">
        <f ca="1"/>
        <v>#NAME?</v>
      </c>
      <c r="H20" s="7" t="e">
        <f ca="1"/>
        <v>#NAME?</v>
      </c>
      <c r="I20" s="43" t="e">
        <f ca="1"/>
        <v>#NAME?</v>
      </c>
      <c r="K20" s="183" t="e">
        <f ca="1"/>
        <v>#NAME?</v>
      </c>
      <c r="L20" s="7" t="e">
        <f ca="1"/>
        <v>#NAME?</v>
      </c>
      <c r="M20" s="7" t="e">
        <f ca="1"/>
        <v>#NAME?</v>
      </c>
      <c r="N20" s="43" t="e">
        <f ca="1"/>
        <v>#NAME?</v>
      </c>
      <c r="P20" s="183" t="e">
        <f ca="1"/>
        <v>#NAME?</v>
      </c>
      <c r="Q20" s="7" t="e">
        <f ca="1"/>
        <v>#NAME?</v>
      </c>
      <c r="R20" s="7" t="e">
        <f ca="1"/>
        <v>#NAME?</v>
      </c>
      <c r="S20" s="43" t="e">
        <f ca="1"/>
        <v>#NAME?</v>
      </c>
      <c r="U20" s="183" t="e">
        <f ca="1"/>
        <v>#NAME?</v>
      </c>
      <c r="V20" s="7" t="e">
        <f ca="1"/>
        <v>#NAME?</v>
      </c>
      <c r="W20" s="7" t="e">
        <f ca="1"/>
        <v>#NAME?</v>
      </c>
      <c r="X20" s="43" t="e">
        <f ca="1"/>
        <v>#NAME?</v>
      </c>
      <c r="Z20" s="183" t="e">
        <f ca="1"/>
        <v>#NAME?</v>
      </c>
      <c r="AA20" s="7" t="e">
        <f ca="1"/>
        <v>#NAME?</v>
      </c>
      <c r="AB20" s="7" t="e">
        <f ca="1"/>
        <v>#NAME?</v>
      </c>
      <c r="AC20" s="43" t="e">
        <f ca="1"/>
        <v>#NAME?</v>
      </c>
      <c r="AE20" s="183" t="e">
        <f ca="1"/>
        <v>#NAME?</v>
      </c>
      <c r="AF20" s="7" t="e">
        <f ca="1"/>
        <v>#NAME?</v>
      </c>
      <c r="AG20" s="7" t="e">
        <f ca="1"/>
        <v>#NAME?</v>
      </c>
      <c r="AH20" s="43" t="e">
        <f ca="1"/>
        <v>#NAME?</v>
      </c>
      <c r="AJ20" s="183" t="e">
        <f ca="1"/>
        <v>#NAME?</v>
      </c>
      <c r="AK20" s="7" t="e">
        <f ca="1"/>
        <v>#NAME?</v>
      </c>
      <c r="AL20" s="7" t="e">
        <f ca="1"/>
        <v>#NAME?</v>
      </c>
      <c r="AM20" s="43" t="e">
        <f ca="1"/>
        <v>#NAME?</v>
      </c>
      <c r="AO20" s="183" t="e">
        <f ca="1"/>
        <v>#NAME?</v>
      </c>
      <c r="AP20" s="7" t="e">
        <f ca="1"/>
        <v>#NAME?</v>
      </c>
      <c r="AQ20" s="7" t="e">
        <f ca="1"/>
        <v>#NAME?</v>
      </c>
      <c r="AR20" s="43" t="e">
        <f ca="1"/>
        <v>#NAME?</v>
      </c>
      <c r="AT20" s="183" t="e">
        <f ca="1"/>
        <v>#NAME?</v>
      </c>
      <c r="AU20" s="7" t="e">
        <f ca="1"/>
        <v>#NAME?</v>
      </c>
      <c r="AV20" s="7" t="e">
        <f ca="1"/>
        <v>#NAME?</v>
      </c>
      <c r="AW20" s="43" t="e">
        <f ca="1"/>
        <v>#NAME?</v>
      </c>
    </row>
    <row r="21" spans="1:49" x14ac:dyDescent="0.25">
      <c r="A21" s="183" t="e">
        <f ca="1"/>
        <v>#NAME?</v>
      </c>
      <c r="B21" s="7" t="e">
        <f ca="1"/>
        <v>#NAME?</v>
      </c>
      <c r="C21" s="7" t="e">
        <f ca="1"/>
        <v>#NAME?</v>
      </c>
      <c r="D21" s="43" t="e">
        <f ca="1"/>
        <v>#NAME?</v>
      </c>
      <c r="F21" s="183" t="e">
        <f ca="1"/>
        <v>#NAME?</v>
      </c>
      <c r="G21" s="7" t="e">
        <f ca="1"/>
        <v>#NAME?</v>
      </c>
      <c r="H21" s="7" t="e">
        <f ca="1"/>
        <v>#NAME?</v>
      </c>
      <c r="I21" s="43" t="e">
        <f ca="1"/>
        <v>#NAME?</v>
      </c>
      <c r="K21" s="183" t="e">
        <f ca="1"/>
        <v>#NAME?</v>
      </c>
      <c r="L21" s="7" t="e">
        <f ca="1"/>
        <v>#NAME?</v>
      </c>
      <c r="M21" s="7" t="e">
        <f ca="1"/>
        <v>#NAME?</v>
      </c>
      <c r="N21" s="43" t="e">
        <f ca="1"/>
        <v>#NAME?</v>
      </c>
      <c r="P21" s="183" t="e">
        <f ca="1"/>
        <v>#NAME?</v>
      </c>
      <c r="Q21" s="7" t="e">
        <f ca="1"/>
        <v>#NAME?</v>
      </c>
      <c r="R21" s="7" t="e">
        <f ca="1"/>
        <v>#NAME?</v>
      </c>
      <c r="S21" s="43" t="e">
        <f ca="1"/>
        <v>#NAME?</v>
      </c>
      <c r="U21" s="183" t="e">
        <f ca="1"/>
        <v>#NAME?</v>
      </c>
      <c r="V21" s="7" t="e">
        <f ca="1"/>
        <v>#NAME?</v>
      </c>
      <c r="W21" s="7" t="e">
        <f ca="1"/>
        <v>#NAME?</v>
      </c>
      <c r="X21" s="43" t="e">
        <f ca="1"/>
        <v>#NAME?</v>
      </c>
      <c r="Z21" s="183" t="e">
        <f ca="1"/>
        <v>#NAME?</v>
      </c>
      <c r="AA21" s="7" t="e">
        <f ca="1"/>
        <v>#NAME?</v>
      </c>
      <c r="AB21" s="7" t="e">
        <f ca="1"/>
        <v>#NAME?</v>
      </c>
      <c r="AC21" s="43" t="e">
        <f ca="1"/>
        <v>#NAME?</v>
      </c>
      <c r="AE21" s="183" t="e">
        <f ca="1"/>
        <v>#NAME?</v>
      </c>
      <c r="AF21" s="7" t="e">
        <f ca="1"/>
        <v>#NAME?</v>
      </c>
      <c r="AG21" s="7" t="e">
        <f ca="1"/>
        <v>#NAME?</v>
      </c>
      <c r="AH21" s="43" t="e">
        <f ca="1"/>
        <v>#NAME?</v>
      </c>
      <c r="AJ21" s="183" t="e">
        <f ca="1"/>
        <v>#NAME?</v>
      </c>
      <c r="AK21" s="7" t="e">
        <f ca="1"/>
        <v>#NAME?</v>
      </c>
      <c r="AL21" s="7" t="e">
        <f ca="1"/>
        <v>#NAME?</v>
      </c>
      <c r="AM21" s="43" t="e">
        <f ca="1"/>
        <v>#NAME?</v>
      </c>
      <c r="AO21" s="183" t="e">
        <f ca="1"/>
        <v>#NAME?</v>
      </c>
      <c r="AP21" s="7" t="e">
        <f ca="1"/>
        <v>#NAME?</v>
      </c>
      <c r="AQ21" s="7" t="e">
        <f ca="1"/>
        <v>#NAME?</v>
      </c>
      <c r="AR21" s="43" t="e">
        <f ca="1"/>
        <v>#NAME?</v>
      </c>
      <c r="AT21" s="183" t="e">
        <f ca="1"/>
        <v>#NAME?</v>
      </c>
      <c r="AU21" s="7" t="e">
        <f ca="1"/>
        <v>#NAME?</v>
      </c>
      <c r="AV21" s="7" t="e">
        <f ca="1"/>
        <v>#NAME?</v>
      </c>
      <c r="AW21" s="43" t="e">
        <f ca="1"/>
        <v>#NAME?</v>
      </c>
    </row>
    <row r="22" spans="1:49" x14ac:dyDescent="0.25">
      <c r="A22" s="183" t="e">
        <f ca="1"/>
        <v>#NAME?</v>
      </c>
      <c r="B22" s="7" t="e">
        <f ca="1"/>
        <v>#NAME?</v>
      </c>
      <c r="C22" s="7" t="e">
        <f ca="1"/>
        <v>#NAME?</v>
      </c>
      <c r="D22" s="43" t="e">
        <f ca="1"/>
        <v>#NAME?</v>
      </c>
      <c r="F22" s="183" t="e">
        <f ca="1"/>
        <v>#NAME?</v>
      </c>
      <c r="G22" s="7" t="e">
        <f ca="1"/>
        <v>#NAME?</v>
      </c>
      <c r="H22" s="7" t="e">
        <f ca="1"/>
        <v>#NAME?</v>
      </c>
      <c r="I22" s="43" t="e">
        <f ca="1"/>
        <v>#NAME?</v>
      </c>
      <c r="K22" s="183" t="e">
        <f ca="1"/>
        <v>#NAME?</v>
      </c>
      <c r="L22" s="7" t="e">
        <f ca="1"/>
        <v>#NAME?</v>
      </c>
      <c r="M22" s="7" t="e">
        <f ca="1"/>
        <v>#NAME?</v>
      </c>
      <c r="N22" s="43" t="e">
        <f ca="1"/>
        <v>#NAME?</v>
      </c>
      <c r="P22" s="183" t="e">
        <f ca="1"/>
        <v>#NAME?</v>
      </c>
      <c r="Q22" s="7" t="e">
        <f ca="1"/>
        <v>#NAME?</v>
      </c>
      <c r="R22" s="7" t="e">
        <f ca="1"/>
        <v>#NAME?</v>
      </c>
      <c r="S22" s="43" t="e">
        <f ca="1"/>
        <v>#NAME?</v>
      </c>
      <c r="U22" s="183" t="e">
        <f ca="1"/>
        <v>#NAME?</v>
      </c>
      <c r="V22" s="7" t="e">
        <f ca="1"/>
        <v>#NAME?</v>
      </c>
      <c r="W22" s="7" t="e">
        <f ca="1"/>
        <v>#NAME?</v>
      </c>
      <c r="X22" s="43" t="e">
        <f ca="1"/>
        <v>#NAME?</v>
      </c>
      <c r="Z22" s="183" t="e">
        <f ca="1"/>
        <v>#NAME?</v>
      </c>
      <c r="AA22" s="7" t="e">
        <f ca="1"/>
        <v>#NAME?</v>
      </c>
      <c r="AB22" s="7" t="e">
        <f ca="1"/>
        <v>#NAME?</v>
      </c>
      <c r="AC22" s="43" t="e">
        <f ca="1"/>
        <v>#NAME?</v>
      </c>
      <c r="AE22" s="183" t="e">
        <f ca="1"/>
        <v>#NAME?</v>
      </c>
      <c r="AF22" s="7" t="e">
        <f ca="1"/>
        <v>#NAME?</v>
      </c>
      <c r="AG22" s="7" t="e">
        <f ca="1"/>
        <v>#NAME?</v>
      </c>
      <c r="AH22" s="43" t="e">
        <f ca="1"/>
        <v>#NAME?</v>
      </c>
      <c r="AJ22" s="183" t="e">
        <f ca="1"/>
        <v>#NAME?</v>
      </c>
      <c r="AK22" s="7" t="e">
        <f ca="1"/>
        <v>#NAME?</v>
      </c>
      <c r="AL22" s="7" t="e">
        <f ca="1"/>
        <v>#NAME?</v>
      </c>
      <c r="AM22" s="43" t="e">
        <f ca="1"/>
        <v>#NAME?</v>
      </c>
      <c r="AO22" s="183" t="e">
        <f ca="1"/>
        <v>#NAME?</v>
      </c>
      <c r="AP22" s="7" t="e">
        <f ca="1"/>
        <v>#NAME?</v>
      </c>
      <c r="AQ22" s="7" t="e">
        <f ca="1"/>
        <v>#NAME?</v>
      </c>
      <c r="AR22" s="43" t="e">
        <f ca="1"/>
        <v>#NAME?</v>
      </c>
      <c r="AT22" s="183" t="e">
        <f ca="1"/>
        <v>#NAME?</v>
      </c>
      <c r="AU22" s="7" t="e">
        <f ca="1"/>
        <v>#NAME?</v>
      </c>
      <c r="AV22" s="7" t="e">
        <f ca="1"/>
        <v>#NAME?</v>
      </c>
      <c r="AW22" s="43" t="e">
        <f ca="1"/>
        <v>#NAME?</v>
      </c>
    </row>
    <row r="23" spans="1:49" x14ac:dyDescent="0.25">
      <c r="A23" s="351" t="e">
        <f ca="1"/>
        <v>#NAME?</v>
      </c>
      <c r="B23" s="352" t="e">
        <f ca="1"/>
        <v>#NAME?</v>
      </c>
      <c r="C23" s="352" t="e">
        <f ca="1"/>
        <v>#NAME?</v>
      </c>
      <c r="D23" s="353" t="e">
        <f ca="1"/>
        <v>#NAME?</v>
      </c>
      <c r="F23" s="351" t="e">
        <f ca="1"/>
        <v>#NAME?</v>
      </c>
      <c r="G23" s="352" t="e">
        <f ca="1"/>
        <v>#NAME?</v>
      </c>
      <c r="H23" s="352" t="e">
        <f ca="1"/>
        <v>#NAME?</v>
      </c>
      <c r="I23" s="353" t="e">
        <f ca="1"/>
        <v>#NAME?</v>
      </c>
      <c r="K23" s="351" t="e">
        <f ca="1"/>
        <v>#NAME?</v>
      </c>
      <c r="L23" s="352" t="e">
        <f ca="1"/>
        <v>#NAME?</v>
      </c>
      <c r="M23" s="352" t="e">
        <f ca="1"/>
        <v>#NAME?</v>
      </c>
      <c r="N23" s="353" t="e">
        <f ca="1"/>
        <v>#NAME?</v>
      </c>
      <c r="P23" s="351" t="e">
        <f ca="1"/>
        <v>#NAME?</v>
      </c>
      <c r="Q23" s="352" t="e">
        <f ca="1"/>
        <v>#NAME?</v>
      </c>
      <c r="R23" s="352" t="e">
        <f ca="1"/>
        <v>#NAME?</v>
      </c>
      <c r="S23" s="353" t="e">
        <f ca="1"/>
        <v>#NAME?</v>
      </c>
      <c r="U23" s="351" t="e">
        <f ca="1"/>
        <v>#NAME?</v>
      </c>
      <c r="V23" s="352" t="e">
        <f ca="1"/>
        <v>#NAME?</v>
      </c>
      <c r="W23" s="352" t="e">
        <f ca="1"/>
        <v>#NAME?</v>
      </c>
      <c r="X23" s="353" t="e">
        <f ca="1"/>
        <v>#NAME?</v>
      </c>
      <c r="Z23" s="351" t="e">
        <f ca="1"/>
        <v>#NAME?</v>
      </c>
      <c r="AA23" s="352" t="e">
        <f ca="1"/>
        <v>#NAME?</v>
      </c>
      <c r="AB23" s="352" t="e">
        <f ca="1"/>
        <v>#NAME?</v>
      </c>
      <c r="AC23" s="353" t="e">
        <f ca="1"/>
        <v>#NAME?</v>
      </c>
      <c r="AE23" s="351" t="e">
        <f ca="1"/>
        <v>#NAME?</v>
      </c>
      <c r="AF23" s="352" t="e">
        <f ca="1"/>
        <v>#NAME?</v>
      </c>
      <c r="AG23" s="352" t="e">
        <f ca="1"/>
        <v>#NAME?</v>
      </c>
      <c r="AH23" s="353" t="e">
        <f ca="1"/>
        <v>#NAME?</v>
      </c>
      <c r="AJ23" s="351" t="e">
        <f ca="1"/>
        <v>#NAME?</v>
      </c>
      <c r="AK23" s="352" t="e">
        <f ca="1"/>
        <v>#NAME?</v>
      </c>
      <c r="AL23" s="352" t="e">
        <f ca="1"/>
        <v>#NAME?</v>
      </c>
      <c r="AM23" s="353" t="e">
        <f ca="1"/>
        <v>#NAME?</v>
      </c>
      <c r="AO23" s="351" t="e">
        <f ca="1"/>
        <v>#NAME?</v>
      </c>
      <c r="AP23" s="352" t="e">
        <f ca="1"/>
        <v>#NAME?</v>
      </c>
      <c r="AQ23" s="352" t="e">
        <f ca="1"/>
        <v>#NAME?</v>
      </c>
      <c r="AR23" s="353" t="e">
        <f ca="1"/>
        <v>#NAME?</v>
      </c>
      <c r="AT23" s="351" t="e">
        <f ca="1"/>
        <v>#NAME?</v>
      </c>
      <c r="AU23" s="352" t="e">
        <f ca="1"/>
        <v>#NAME?</v>
      </c>
      <c r="AV23" s="352" t="e">
        <f ca="1"/>
        <v>#NAME?</v>
      </c>
      <c r="AW23" s="353" t="e">
        <f ca="1"/>
        <v>#NAME?</v>
      </c>
    </row>
    <row r="25" spans="1:49" x14ac:dyDescent="0.25">
      <c r="A25" s="414" t="e">
        <f t="array" aca="1" ref="A25:D29" ca="1">MISummary(A4:D23)</f>
        <v>#NAME?</v>
      </c>
      <c r="B25" s="358" t="e">
        <f ca="1"/>
        <v>#NAME?</v>
      </c>
      <c r="C25" s="358" t="e">
        <f ca="1"/>
        <v>#NAME?</v>
      </c>
      <c r="D25" s="415" t="e">
        <f ca="1"/>
        <v>#NAME?</v>
      </c>
      <c r="F25" s="414" t="e">
        <f t="array" aca="1" ref="F25:I29" ca="1">MISummary(F4:I23)</f>
        <v>#NAME?</v>
      </c>
      <c r="G25" s="358" t="e">
        <f ca="1"/>
        <v>#NAME?</v>
      </c>
      <c r="H25" s="358" t="e">
        <f ca="1"/>
        <v>#NAME?</v>
      </c>
      <c r="I25" s="415" t="e">
        <f ca="1"/>
        <v>#NAME?</v>
      </c>
      <c r="K25" s="414" t="e">
        <f t="array" aca="1" ref="K25:N29" ca="1">MISummary(K4:N23)</f>
        <v>#NAME?</v>
      </c>
      <c r="L25" s="358" t="e">
        <f ca="1"/>
        <v>#NAME?</v>
      </c>
      <c r="M25" s="358" t="e">
        <f ca="1"/>
        <v>#NAME?</v>
      </c>
      <c r="N25" s="415" t="e">
        <f ca="1"/>
        <v>#NAME?</v>
      </c>
      <c r="P25" s="414" t="e">
        <f t="array" aca="1" ref="P25:S29" ca="1">MISummary(P4:S23)</f>
        <v>#NAME?</v>
      </c>
      <c r="Q25" s="358" t="e">
        <f ca="1"/>
        <v>#NAME?</v>
      </c>
      <c r="R25" s="358" t="e">
        <f ca="1"/>
        <v>#NAME?</v>
      </c>
      <c r="S25" s="415" t="e">
        <f ca="1"/>
        <v>#NAME?</v>
      </c>
      <c r="U25" s="414" t="e">
        <f t="array" aca="1" ref="U25:X29" ca="1">MISummary(U4:X23)</f>
        <v>#NAME?</v>
      </c>
      <c r="V25" s="358" t="e">
        <f ca="1"/>
        <v>#NAME?</v>
      </c>
      <c r="W25" s="358" t="e">
        <f ca="1"/>
        <v>#NAME?</v>
      </c>
      <c r="X25" s="415" t="e">
        <f ca="1"/>
        <v>#NAME?</v>
      </c>
      <c r="Z25" s="414" t="e">
        <f t="array" aca="1" ref="Z25:AC29" ca="1">MISummary(Z4:AC23)</f>
        <v>#NAME?</v>
      </c>
      <c r="AA25" s="358" t="e">
        <f ca="1"/>
        <v>#NAME?</v>
      </c>
      <c r="AB25" s="358" t="e">
        <f ca="1"/>
        <v>#NAME?</v>
      </c>
      <c r="AC25" s="415" t="e">
        <f ca="1"/>
        <v>#NAME?</v>
      </c>
      <c r="AE25" s="414" t="e">
        <f t="array" aca="1" ref="AE25:AH29" ca="1">MISummary(AE4:AH23)</f>
        <v>#NAME?</v>
      </c>
      <c r="AF25" s="358" t="e">
        <f ca="1"/>
        <v>#NAME?</v>
      </c>
      <c r="AG25" s="358" t="e">
        <f ca="1"/>
        <v>#NAME?</v>
      </c>
      <c r="AH25" s="415" t="e">
        <f ca="1"/>
        <v>#NAME?</v>
      </c>
      <c r="AJ25" s="414" t="e">
        <f t="array" aca="1" ref="AJ25:AM29" ca="1">MISummary(AJ4:AM23)</f>
        <v>#NAME?</v>
      </c>
      <c r="AK25" s="358" t="e">
        <f ca="1"/>
        <v>#NAME?</v>
      </c>
      <c r="AL25" s="358" t="e">
        <f ca="1"/>
        <v>#NAME?</v>
      </c>
      <c r="AM25" s="415" t="e">
        <f ca="1"/>
        <v>#NAME?</v>
      </c>
      <c r="AO25" s="414" t="e">
        <f t="array" aca="1" ref="AO25:AR29" ca="1">MISummary(AO4:AR23)</f>
        <v>#NAME?</v>
      </c>
      <c r="AP25" s="358" t="e">
        <f ca="1"/>
        <v>#NAME?</v>
      </c>
      <c r="AQ25" s="358" t="e">
        <f ca="1"/>
        <v>#NAME?</v>
      </c>
      <c r="AR25" s="415" t="e">
        <f ca="1"/>
        <v>#NAME?</v>
      </c>
      <c r="AT25" s="414" t="e">
        <f t="array" aca="1" ref="AT25:AW29" ca="1">MISummary(AT4:AW23)</f>
        <v>#NAME?</v>
      </c>
      <c r="AU25" s="358" t="e">
        <f ca="1"/>
        <v>#NAME?</v>
      </c>
      <c r="AV25" s="358" t="e">
        <f ca="1"/>
        <v>#NAME?</v>
      </c>
      <c r="AW25" s="415" t="e">
        <f ca="1"/>
        <v>#NAME?</v>
      </c>
    </row>
    <row r="26" spans="1:49" x14ac:dyDescent="0.25">
      <c r="A26" s="183" t="e">
        <f ca="1"/>
        <v>#NAME?</v>
      </c>
      <c r="B26" s="7" t="e">
        <f ca="1"/>
        <v>#NAME?</v>
      </c>
      <c r="C26" s="7" t="e">
        <f ca="1"/>
        <v>#NAME?</v>
      </c>
      <c r="D26" s="43" t="e">
        <f ca="1"/>
        <v>#NAME?</v>
      </c>
      <c r="F26" s="183" t="e">
        <f ca="1"/>
        <v>#NAME?</v>
      </c>
      <c r="G26" s="7" t="e">
        <f ca="1"/>
        <v>#NAME?</v>
      </c>
      <c r="H26" s="7" t="e">
        <f ca="1"/>
        <v>#NAME?</v>
      </c>
      <c r="I26" s="43" t="e">
        <f ca="1"/>
        <v>#NAME?</v>
      </c>
      <c r="K26" s="183" t="e">
        <f ca="1"/>
        <v>#NAME?</v>
      </c>
      <c r="L26" s="7" t="e">
        <f ca="1"/>
        <v>#NAME?</v>
      </c>
      <c r="M26" s="7" t="e">
        <f ca="1"/>
        <v>#NAME?</v>
      </c>
      <c r="N26" s="43" t="e">
        <f ca="1"/>
        <v>#NAME?</v>
      </c>
      <c r="P26" s="183" t="e">
        <f ca="1"/>
        <v>#NAME?</v>
      </c>
      <c r="Q26" s="7" t="e">
        <f ca="1"/>
        <v>#NAME?</v>
      </c>
      <c r="R26" s="7" t="e">
        <f ca="1"/>
        <v>#NAME?</v>
      </c>
      <c r="S26" s="43" t="e">
        <f ca="1"/>
        <v>#NAME?</v>
      </c>
      <c r="U26" s="183" t="e">
        <f ca="1"/>
        <v>#NAME?</v>
      </c>
      <c r="V26" s="7" t="e">
        <f ca="1"/>
        <v>#NAME?</v>
      </c>
      <c r="W26" s="7" t="e">
        <f ca="1"/>
        <v>#NAME?</v>
      </c>
      <c r="X26" s="43" t="e">
        <f ca="1"/>
        <v>#NAME?</v>
      </c>
      <c r="Z26" s="183" t="e">
        <f ca="1"/>
        <v>#NAME?</v>
      </c>
      <c r="AA26" s="7" t="e">
        <f ca="1"/>
        <v>#NAME?</v>
      </c>
      <c r="AB26" s="7" t="e">
        <f ca="1"/>
        <v>#NAME?</v>
      </c>
      <c r="AC26" s="43" t="e">
        <f ca="1"/>
        <v>#NAME?</v>
      </c>
      <c r="AE26" s="183" t="e">
        <f ca="1"/>
        <v>#NAME?</v>
      </c>
      <c r="AF26" s="7" t="e">
        <f ca="1"/>
        <v>#NAME?</v>
      </c>
      <c r="AG26" s="7" t="e">
        <f ca="1"/>
        <v>#NAME?</v>
      </c>
      <c r="AH26" s="43" t="e">
        <f ca="1"/>
        <v>#NAME?</v>
      </c>
      <c r="AJ26" s="183" t="e">
        <f ca="1"/>
        <v>#NAME?</v>
      </c>
      <c r="AK26" s="7" t="e">
        <f ca="1"/>
        <v>#NAME?</v>
      </c>
      <c r="AL26" s="7" t="e">
        <f ca="1"/>
        <v>#NAME?</v>
      </c>
      <c r="AM26" s="43" t="e">
        <f ca="1"/>
        <v>#NAME?</v>
      </c>
      <c r="AO26" s="183" t="e">
        <f ca="1"/>
        <v>#NAME?</v>
      </c>
      <c r="AP26" s="7" t="e">
        <f ca="1"/>
        <v>#NAME?</v>
      </c>
      <c r="AQ26" s="7" t="e">
        <f ca="1"/>
        <v>#NAME?</v>
      </c>
      <c r="AR26" s="43" t="e">
        <f ca="1"/>
        <v>#NAME?</v>
      </c>
      <c r="AT26" s="183" t="e">
        <f ca="1"/>
        <v>#NAME?</v>
      </c>
      <c r="AU26" s="7" t="e">
        <f ca="1"/>
        <v>#NAME?</v>
      </c>
      <c r="AV26" s="7" t="e">
        <f ca="1"/>
        <v>#NAME?</v>
      </c>
      <c r="AW26" s="43" t="e">
        <f ca="1"/>
        <v>#NAME?</v>
      </c>
    </row>
    <row r="27" spans="1:49" x14ac:dyDescent="0.25">
      <c r="A27" s="183" t="e">
        <f ca="1"/>
        <v>#NAME?</v>
      </c>
      <c r="B27" s="7" t="e">
        <f ca="1"/>
        <v>#NAME?</v>
      </c>
      <c r="C27" s="7" t="e">
        <f ca="1"/>
        <v>#NAME?</v>
      </c>
      <c r="D27" s="43" t="e">
        <f ca="1"/>
        <v>#NAME?</v>
      </c>
      <c r="F27" s="183" t="e">
        <f ca="1"/>
        <v>#NAME?</v>
      </c>
      <c r="G27" s="7" t="e">
        <f ca="1"/>
        <v>#NAME?</v>
      </c>
      <c r="H27" s="7" t="e">
        <f ca="1"/>
        <v>#NAME?</v>
      </c>
      <c r="I27" s="43" t="e">
        <f ca="1"/>
        <v>#NAME?</v>
      </c>
      <c r="K27" s="183" t="e">
        <f ca="1"/>
        <v>#NAME?</v>
      </c>
      <c r="L27" s="7" t="e">
        <f ca="1"/>
        <v>#NAME?</v>
      </c>
      <c r="M27" s="7" t="e">
        <f ca="1"/>
        <v>#NAME?</v>
      </c>
      <c r="N27" s="43" t="e">
        <f ca="1"/>
        <v>#NAME?</v>
      </c>
      <c r="P27" s="183" t="e">
        <f ca="1"/>
        <v>#NAME?</v>
      </c>
      <c r="Q27" s="7" t="e">
        <f ca="1"/>
        <v>#NAME?</v>
      </c>
      <c r="R27" s="7" t="e">
        <f ca="1"/>
        <v>#NAME?</v>
      </c>
      <c r="S27" s="43" t="e">
        <f ca="1"/>
        <v>#NAME?</v>
      </c>
      <c r="U27" s="183" t="e">
        <f ca="1"/>
        <v>#NAME?</v>
      </c>
      <c r="V27" s="7" t="e">
        <f ca="1"/>
        <v>#NAME?</v>
      </c>
      <c r="W27" s="7" t="e">
        <f ca="1"/>
        <v>#NAME?</v>
      </c>
      <c r="X27" s="43" t="e">
        <f ca="1"/>
        <v>#NAME?</v>
      </c>
      <c r="Z27" s="183" t="e">
        <f ca="1"/>
        <v>#NAME?</v>
      </c>
      <c r="AA27" s="7" t="e">
        <f ca="1"/>
        <v>#NAME?</v>
      </c>
      <c r="AB27" s="7" t="e">
        <f ca="1"/>
        <v>#NAME?</v>
      </c>
      <c r="AC27" s="43" t="e">
        <f ca="1"/>
        <v>#NAME?</v>
      </c>
      <c r="AE27" s="183" t="e">
        <f ca="1"/>
        <v>#NAME?</v>
      </c>
      <c r="AF27" s="7" t="e">
        <f ca="1"/>
        <v>#NAME?</v>
      </c>
      <c r="AG27" s="7" t="e">
        <f ca="1"/>
        <v>#NAME?</v>
      </c>
      <c r="AH27" s="43" t="e">
        <f ca="1"/>
        <v>#NAME?</v>
      </c>
      <c r="AJ27" s="183" t="e">
        <f ca="1"/>
        <v>#NAME?</v>
      </c>
      <c r="AK27" s="7" t="e">
        <f ca="1"/>
        <v>#NAME?</v>
      </c>
      <c r="AL27" s="7" t="e">
        <f ca="1"/>
        <v>#NAME?</v>
      </c>
      <c r="AM27" s="43" t="e">
        <f ca="1"/>
        <v>#NAME?</v>
      </c>
      <c r="AO27" s="183" t="e">
        <f ca="1"/>
        <v>#NAME?</v>
      </c>
      <c r="AP27" s="7" t="e">
        <f ca="1"/>
        <v>#NAME?</v>
      </c>
      <c r="AQ27" s="7" t="e">
        <f ca="1"/>
        <v>#NAME?</v>
      </c>
      <c r="AR27" s="43" t="e">
        <f ca="1"/>
        <v>#NAME?</v>
      </c>
      <c r="AT27" s="183" t="e">
        <f ca="1"/>
        <v>#NAME?</v>
      </c>
      <c r="AU27" s="7" t="e">
        <f ca="1"/>
        <v>#NAME?</v>
      </c>
      <c r="AV27" s="7" t="e">
        <f ca="1"/>
        <v>#NAME?</v>
      </c>
      <c r="AW27" s="43" t="e">
        <f ca="1"/>
        <v>#NAME?</v>
      </c>
    </row>
    <row r="28" spans="1:49" x14ac:dyDescent="0.25">
      <c r="A28" s="183" t="e">
        <f ca="1"/>
        <v>#NAME?</v>
      </c>
      <c r="B28" s="7" t="e">
        <f ca="1"/>
        <v>#NAME?</v>
      </c>
      <c r="C28" s="7" t="e">
        <f ca="1"/>
        <v>#NAME?</v>
      </c>
      <c r="D28" s="43" t="e">
        <f ca="1"/>
        <v>#NAME?</v>
      </c>
      <c r="F28" s="183" t="e">
        <f ca="1"/>
        <v>#NAME?</v>
      </c>
      <c r="G28" s="7" t="e">
        <f ca="1"/>
        <v>#NAME?</v>
      </c>
      <c r="H28" s="7" t="e">
        <f ca="1"/>
        <v>#NAME?</v>
      </c>
      <c r="I28" s="43" t="e">
        <f ca="1"/>
        <v>#NAME?</v>
      </c>
      <c r="K28" s="183" t="e">
        <f ca="1"/>
        <v>#NAME?</v>
      </c>
      <c r="L28" s="7" t="e">
        <f ca="1"/>
        <v>#NAME?</v>
      </c>
      <c r="M28" s="7" t="e">
        <f ca="1"/>
        <v>#NAME?</v>
      </c>
      <c r="N28" s="43" t="e">
        <f ca="1"/>
        <v>#NAME?</v>
      </c>
      <c r="P28" s="183" t="e">
        <f ca="1"/>
        <v>#NAME?</v>
      </c>
      <c r="Q28" s="7" t="e">
        <f ca="1"/>
        <v>#NAME?</v>
      </c>
      <c r="R28" s="7" t="e">
        <f ca="1"/>
        <v>#NAME?</v>
      </c>
      <c r="S28" s="43" t="e">
        <f ca="1"/>
        <v>#NAME?</v>
      </c>
      <c r="U28" s="183" t="e">
        <f ca="1"/>
        <v>#NAME?</v>
      </c>
      <c r="V28" s="7" t="e">
        <f ca="1"/>
        <v>#NAME?</v>
      </c>
      <c r="W28" s="7" t="e">
        <f ca="1"/>
        <v>#NAME?</v>
      </c>
      <c r="X28" s="43" t="e">
        <f ca="1"/>
        <v>#NAME?</v>
      </c>
      <c r="Z28" s="183" t="e">
        <f ca="1"/>
        <v>#NAME?</v>
      </c>
      <c r="AA28" s="7" t="e">
        <f ca="1"/>
        <v>#NAME?</v>
      </c>
      <c r="AB28" s="7" t="e">
        <f ca="1"/>
        <v>#NAME?</v>
      </c>
      <c r="AC28" s="43" t="e">
        <f ca="1"/>
        <v>#NAME?</v>
      </c>
      <c r="AE28" s="183" t="e">
        <f ca="1"/>
        <v>#NAME?</v>
      </c>
      <c r="AF28" s="7" t="e">
        <f ca="1"/>
        <v>#NAME?</v>
      </c>
      <c r="AG28" s="7" t="e">
        <f ca="1"/>
        <v>#NAME?</v>
      </c>
      <c r="AH28" s="43" t="e">
        <f ca="1"/>
        <v>#NAME?</v>
      </c>
      <c r="AJ28" s="183" t="e">
        <f ca="1"/>
        <v>#NAME?</v>
      </c>
      <c r="AK28" s="7" t="e">
        <f ca="1"/>
        <v>#NAME?</v>
      </c>
      <c r="AL28" s="7" t="e">
        <f ca="1"/>
        <v>#NAME?</v>
      </c>
      <c r="AM28" s="43" t="e">
        <f ca="1"/>
        <v>#NAME?</v>
      </c>
      <c r="AO28" s="183" t="e">
        <f ca="1"/>
        <v>#NAME?</v>
      </c>
      <c r="AP28" s="7" t="e">
        <f ca="1"/>
        <v>#NAME?</v>
      </c>
      <c r="AQ28" s="7" t="e">
        <f ca="1"/>
        <v>#NAME?</v>
      </c>
      <c r="AR28" s="43" t="e">
        <f ca="1"/>
        <v>#NAME?</v>
      </c>
      <c r="AT28" s="183" t="e">
        <f ca="1"/>
        <v>#NAME?</v>
      </c>
      <c r="AU28" s="7" t="e">
        <f ca="1"/>
        <v>#NAME?</v>
      </c>
      <c r="AV28" s="7" t="e">
        <f ca="1"/>
        <v>#NAME?</v>
      </c>
      <c r="AW28" s="43" t="e">
        <f ca="1"/>
        <v>#NAME?</v>
      </c>
    </row>
    <row r="29" spans="1:49" x14ac:dyDescent="0.25">
      <c r="A29" s="351" t="e">
        <f ca="1"/>
        <v>#NAME?</v>
      </c>
      <c r="B29" s="352" t="e">
        <f ca="1"/>
        <v>#NAME?</v>
      </c>
      <c r="C29" s="352" t="e">
        <f ca="1"/>
        <v>#NAME?</v>
      </c>
      <c r="D29" s="353" t="e">
        <f ca="1"/>
        <v>#NAME?</v>
      </c>
      <c r="F29" s="351" t="e">
        <f ca="1"/>
        <v>#NAME?</v>
      </c>
      <c r="G29" s="352" t="e">
        <f ca="1"/>
        <v>#NAME?</v>
      </c>
      <c r="H29" s="352" t="e">
        <f ca="1"/>
        <v>#NAME?</v>
      </c>
      <c r="I29" s="353" t="e">
        <f ca="1"/>
        <v>#NAME?</v>
      </c>
      <c r="K29" s="351" t="e">
        <f ca="1"/>
        <v>#NAME?</v>
      </c>
      <c r="L29" s="352" t="e">
        <f ca="1"/>
        <v>#NAME?</v>
      </c>
      <c r="M29" s="352" t="e">
        <f ca="1"/>
        <v>#NAME?</v>
      </c>
      <c r="N29" s="353" t="e">
        <f ca="1"/>
        <v>#NAME?</v>
      </c>
      <c r="P29" s="351" t="e">
        <f ca="1"/>
        <v>#NAME?</v>
      </c>
      <c r="Q29" s="352" t="e">
        <f ca="1"/>
        <v>#NAME?</v>
      </c>
      <c r="R29" s="352" t="e">
        <f ca="1"/>
        <v>#NAME?</v>
      </c>
      <c r="S29" s="353" t="e">
        <f ca="1"/>
        <v>#NAME?</v>
      </c>
      <c r="U29" s="351" t="e">
        <f ca="1"/>
        <v>#NAME?</v>
      </c>
      <c r="V29" s="352" t="e">
        <f ca="1"/>
        <v>#NAME?</v>
      </c>
      <c r="W29" s="352" t="e">
        <f ca="1"/>
        <v>#NAME?</v>
      </c>
      <c r="X29" s="353" t="e">
        <f ca="1"/>
        <v>#NAME?</v>
      </c>
      <c r="Z29" s="351" t="e">
        <f ca="1"/>
        <v>#NAME?</v>
      </c>
      <c r="AA29" s="352" t="e">
        <f ca="1"/>
        <v>#NAME?</v>
      </c>
      <c r="AB29" s="352" t="e">
        <f ca="1"/>
        <v>#NAME?</v>
      </c>
      <c r="AC29" s="353" t="e">
        <f ca="1"/>
        <v>#NAME?</v>
      </c>
      <c r="AE29" s="351" t="e">
        <f ca="1"/>
        <v>#NAME?</v>
      </c>
      <c r="AF29" s="352" t="e">
        <f ca="1"/>
        <v>#NAME?</v>
      </c>
      <c r="AG29" s="352" t="e">
        <f ca="1"/>
        <v>#NAME?</v>
      </c>
      <c r="AH29" s="353" t="e">
        <f ca="1"/>
        <v>#NAME?</v>
      </c>
      <c r="AJ29" s="351" t="e">
        <f ca="1"/>
        <v>#NAME?</v>
      </c>
      <c r="AK29" s="352" t="e">
        <f ca="1"/>
        <v>#NAME?</v>
      </c>
      <c r="AL29" s="352" t="e">
        <f ca="1"/>
        <v>#NAME?</v>
      </c>
      <c r="AM29" s="353" t="e">
        <f ca="1"/>
        <v>#NAME?</v>
      </c>
      <c r="AO29" s="351" t="e">
        <f ca="1"/>
        <v>#NAME?</v>
      </c>
      <c r="AP29" s="352" t="e">
        <f ca="1"/>
        <v>#NAME?</v>
      </c>
      <c r="AQ29" s="352" t="e">
        <f ca="1"/>
        <v>#NAME?</v>
      </c>
      <c r="AR29" s="353" t="e">
        <f ca="1"/>
        <v>#NAME?</v>
      </c>
      <c r="AT29" s="351" t="e">
        <f ca="1"/>
        <v>#NAME?</v>
      </c>
      <c r="AU29" s="352" t="e">
        <f ca="1"/>
        <v>#NAME?</v>
      </c>
      <c r="AV29" s="352" t="e">
        <f ca="1"/>
        <v>#NAME?</v>
      </c>
      <c r="AW29" s="353" t="e">
        <f ca="1"/>
        <v>#NAME?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AE29"/>
  <sheetViews>
    <sheetView workbookViewId="0"/>
  </sheetViews>
  <sheetFormatPr defaultRowHeight="15" x14ac:dyDescent="0.25"/>
  <cols>
    <col min="25" max="25" width="17" customWidth="1"/>
  </cols>
  <sheetData>
    <row r="1" spans="1:31" x14ac:dyDescent="0.25">
      <c r="A1" s="1" t="s">
        <v>1029</v>
      </c>
    </row>
    <row r="3" spans="1:31" x14ac:dyDescent="0.25">
      <c r="A3" s="455" t="s">
        <v>1017</v>
      </c>
      <c r="B3" s="455" t="s">
        <v>1015</v>
      </c>
      <c r="C3" s="455" t="s">
        <v>997</v>
      </c>
      <c r="D3" s="455" t="s">
        <v>996</v>
      </c>
      <c r="E3" s="455" t="s">
        <v>1016</v>
      </c>
      <c r="H3" t="s">
        <v>1021</v>
      </c>
      <c r="I3" t="s">
        <v>1022</v>
      </c>
      <c r="J3" t="s">
        <v>1023</v>
      </c>
      <c r="L3" t="s">
        <v>1038</v>
      </c>
      <c r="S3" t="s">
        <v>1046</v>
      </c>
      <c r="Y3" t="s">
        <v>798</v>
      </c>
    </row>
    <row r="4" spans="1:31" x14ac:dyDescent="0.25">
      <c r="A4" s="455">
        <v>1</v>
      </c>
      <c r="B4" s="423">
        <v>12</v>
      </c>
      <c r="C4" s="429">
        <v>27</v>
      </c>
      <c r="D4" s="429">
        <v>19</v>
      </c>
      <c r="E4" s="424">
        <v>44</v>
      </c>
      <c r="G4" t="s">
        <v>997</v>
      </c>
      <c r="H4" s="418">
        <v>20</v>
      </c>
      <c r="I4" s="387">
        <v>50.4</v>
      </c>
      <c r="J4" s="419" t="b">
        <v>1</v>
      </c>
    </row>
    <row r="5" spans="1:31" ht="15.75" thickBot="1" x14ac:dyDescent="0.3">
      <c r="A5" s="455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t="s">
        <v>996</v>
      </c>
      <c r="H5" s="112"/>
      <c r="I5" s="354">
        <v>28.5</v>
      </c>
      <c r="J5" s="120"/>
      <c r="L5" t="e">
        <f t="array" aca="1" ref="L5:P10" ca="1">DescStats(B3:E23,TRUE,TRUE)</f>
        <v>#NAME?</v>
      </c>
      <c r="M5" s="455" t="e">
        <f ca="1"/>
        <v>#NAME?</v>
      </c>
      <c r="N5" s="455" t="e">
        <f ca="1"/>
        <v>#NAME?</v>
      </c>
      <c r="O5" s="455" t="e">
        <f ca="1"/>
        <v>#NAME?</v>
      </c>
      <c r="P5" s="455" t="e">
        <f ca="1"/>
        <v>#NAME?</v>
      </c>
      <c r="T5" s="455" t="str">
        <f>B3</f>
        <v>read</v>
      </c>
      <c r="U5" s="455" t="str">
        <f>C3</f>
        <v>science</v>
      </c>
      <c r="V5" s="455" t="str">
        <f>D3</f>
        <v>math</v>
      </c>
      <c r="W5" s="455" t="str">
        <f>E3</f>
        <v>medicine</v>
      </c>
      <c r="Y5" s="342" t="s">
        <v>799</v>
      </c>
      <c r="Z5" s="342"/>
    </row>
    <row r="6" spans="1:31" ht="15.75" thickTop="1" x14ac:dyDescent="0.25">
      <c r="A6" s="455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L6" t="e">
        <f ca="1"/>
        <v>#NAME?</v>
      </c>
      <c r="M6" s="414" t="e">
        <f ca="1"/>
        <v>#NAME?</v>
      </c>
      <c r="N6" s="358" t="e">
        <f ca="1"/>
        <v>#NAME?</v>
      </c>
      <c r="O6" s="358" t="e">
        <f ca="1"/>
        <v>#NAME?</v>
      </c>
      <c r="P6" s="415" t="e">
        <f ca="1"/>
        <v>#NAME?</v>
      </c>
      <c r="S6" t="s">
        <v>6</v>
      </c>
      <c r="T6" s="414" t="e">
        <f t="array" aca="1" ref="T6:W10" ca="1">MICombine('MI 9a'!A25:D29,10,1,FALSE,FALSE)</f>
        <v>#NAME?</v>
      </c>
      <c r="U6" s="358" t="e">
        <f ca="1"/>
        <v>#NAME?</v>
      </c>
      <c r="V6" s="358" t="e">
        <f ca="1"/>
        <v>#NAME?</v>
      </c>
      <c r="W6" s="415" t="e">
        <f ca="1"/>
        <v>#NAME?</v>
      </c>
      <c r="Y6" t="s">
        <v>123</v>
      </c>
      <c r="Z6" t="e">
        <f ca="1">SQRT(Z7)</f>
        <v>#NAME?</v>
      </c>
    </row>
    <row r="7" spans="1:31" x14ac:dyDescent="0.25">
      <c r="A7" s="455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L7" t="e">
        <f ca="1"/>
        <v>#NAME?</v>
      </c>
      <c r="M7" s="183" t="e">
        <f ca="1"/>
        <v>#NAME?</v>
      </c>
      <c r="N7" s="7" t="e">
        <f ca="1"/>
        <v>#NAME?</v>
      </c>
      <c r="O7" s="7" t="e">
        <f ca="1"/>
        <v>#NAME?</v>
      </c>
      <c r="P7" s="43" t="e">
        <f ca="1"/>
        <v>#NAME?</v>
      </c>
      <c r="S7" t="s">
        <v>8</v>
      </c>
      <c r="T7" s="183" t="e">
        <f ca="1"/>
        <v>#NAME?</v>
      </c>
      <c r="U7" s="7" t="e">
        <f ca="1"/>
        <v>#NAME?</v>
      </c>
      <c r="V7" s="7" t="e">
        <f ca="1"/>
        <v>#NAME?</v>
      </c>
      <c r="W7" s="43" t="e">
        <f ca="1"/>
        <v>#NAME?</v>
      </c>
      <c r="Y7" t="s">
        <v>120</v>
      </c>
      <c r="Z7" t="e">
        <f ca="1">T10</f>
        <v>#NAME?</v>
      </c>
    </row>
    <row r="8" spans="1:31" x14ac:dyDescent="0.25">
      <c r="A8" s="455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L8" t="e">
        <f ca="1"/>
        <v>#NAME?</v>
      </c>
      <c r="M8" s="183" t="e">
        <f ca="1"/>
        <v>#NAME?</v>
      </c>
      <c r="N8" s="7" t="e">
        <f ca="1"/>
        <v>#NAME?</v>
      </c>
      <c r="O8" s="7" t="e">
        <f ca="1"/>
        <v>#NAME?</v>
      </c>
      <c r="P8" s="43" t="e">
        <f ca="1"/>
        <v>#NAME?</v>
      </c>
      <c r="S8" t="s">
        <v>797</v>
      </c>
      <c r="T8" s="183" t="e">
        <f ca="1"/>
        <v>#NAME?</v>
      </c>
      <c r="U8" s="7" t="e">
        <f ca="1"/>
        <v>#NAME?</v>
      </c>
      <c r="V8" s="7" t="e">
        <f ca="1"/>
        <v>#NAME?</v>
      </c>
      <c r="W8" s="43" t="e">
        <f ca="1"/>
        <v>#NAME?</v>
      </c>
      <c r="Y8" t="s">
        <v>124</v>
      </c>
      <c r="Z8" t="e">
        <f ca="1">1-(1-Z7)*(Z10-1)/(Z10-Z14-1)</f>
        <v>#NAME?</v>
      </c>
    </row>
    <row r="9" spans="1:31" x14ac:dyDescent="0.25">
      <c r="A9" s="455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  <c r="L9" t="e">
        <f ca="1"/>
        <v>#NAME?</v>
      </c>
      <c r="M9" s="183" t="e">
        <f ca="1"/>
        <v>#NAME?</v>
      </c>
      <c r="N9" s="7" t="e">
        <f ca="1"/>
        <v>#NAME?</v>
      </c>
      <c r="O9" s="7" t="e">
        <f ca="1"/>
        <v>#NAME?</v>
      </c>
      <c r="P9" s="43" t="e">
        <f ca="1"/>
        <v>#NAME?</v>
      </c>
      <c r="S9" t="s">
        <v>148</v>
      </c>
      <c r="T9" s="183" t="e">
        <f ca="1"/>
        <v>#NAME?</v>
      </c>
      <c r="U9" s="7" t="e">
        <f ca="1"/>
        <v>#NAME?</v>
      </c>
      <c r="V9" s="7" t="e">
        <f ca="1"/>
        <v>#NAME?</v>
      </c>
      <c r="W9" s="43" t="e">
        <f ca="1"/>
        <v>#NAME?</v>
      </c>
      <c r="Y9" t="s">
        <v>10</v>
      </c>
      <c r="Z9" t="e">
        <f ca="1">SQRT(AB15)</f>
        <v>#NAME?</v>
      </c>
    </row>
    <row r="10" spans="1:31" x14ac:dyDescent="0.25">
      <c r="A10" s="455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L10" t="e">
        <f ca="1"/>
        <v>#NAME?</v>
      </c>
      <c r="M10" s="351" t="e">
        <f ca="1"/>
        <v>#NAME?</v>
      </c>
      <c r="N10" s="352" t="e">
        <f ca="1"/>
        <v>#NAME?</v>
      </c>
      <c r="O10" s="352" t="e">
        <f ca="1"/>
        <v>#NAME?</v>
      </c>
      <c r="P10" s="353" t="e">
        <f ca="1"/>
        <v>#NAME?</v>
      </c>
      <c r="S10" t="s">
        <v>1047</v>
      </c>
      <c r="T10" s="351" t="e">
        <f ca="1"/>
        <v>#NAME?</v>
      </c>
      <c r="U10" s="352" t="e">
        <f ca="1"/>
        <v>#NAME?</v>
      </c>
      <c r="V10" s="352" t="e">
        <f ca="1"/>
        <v>#NAME?</v>
      </c>
      <c r="W10" s="353" t="e">
        <f ca="1"/>
        <v>#NAME?</v>
      </c>
      <c r="Y10" s="354" t="s">
        <v>55</v>
      </c>
      <c r="Z10" s="354" t="e">
        <f ca="1">U10</f>
        <v>#NAME?</v>
      </c>
    </row>
    <row r="11" spans="1:31" x14ac:dyDescent="0.25">
      <c r="A11" s="455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</row>
    <row r="12" spans="1:31" ht="15.75" thickBot="1" x14ac:dyDescent="0.3">
      <c r="A12" s="455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L12" t="s">
        <v>1018</v>
      </c>
      <c r="Y12" t="s">
        <v>125</v>
      </c>
      <c r="AC12" s="455" t="s">
        <v>18</v>
      </c>
      <c r="AD12" s="455">
        <v>0.05</v>
      </c>
    </row>
    <row r="13" spans="1:31" ht="15.75" thickTop="1" x14ac:dyDescent="0.25">
      <c r="A13" s="455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Y13" s="386"/>
      <c r="Z13" s="386" t="s">
        <v>41</v>
      </c>
      <c r="AA13" s="386" t="s">
        <v>111</v>
      </c>
      <c r="AB13" s="386" t="s">
        <v>115</v>
      </c>
      <c r="AC13" s="386" t="s">
        <v>98</v>
      </c>
      <c r="AD13" s="386" t="s">
        <v>48</v>
      </c>
      <c r="AE13" s="386" t="s">
        <v>164</v>
      </c>
    </row>
    <row r="14" spans="1:31" x14ac:dyDescent="0.25">
      <c r="A14" s="455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L14" s="455" t="e">
        <f t="array" aca="1" ref="L14:Q16" ca="1">MissingFreq(B3:E23)</f>
        <v>#NAME?</v>
      </c>
      <c r="M14" s="455" t="e">
        <f ca="1"/>
        <v>#NAME?</v>
      </c>
      <c r="N14" s="455" t="e">
        <f ca="1"/>
        <v>#NAME?</v>
      </c>
      <c r="O14" s="455" t="e">
        <f ca="1"/>
        <v>#NAME?</v>
      </c>
      <c r="P14" s="455" t="e">
        <f ca="1"/>
        <v>#NAME?</v>
      </c>
      <c r="Q14" s="455" t="e">
        <f ca="1"/>
        <v>#NAME?</v>
      </c>
      <c r="Y14" t="s">
        <v>113</v>
      </c>
      <c r="Z14">
        <f ca="1">COUNT(T6:W6)-1</f>
        <v>-1</v>
      </c>
      <c r="AA14" t="e">
        <f ca="1">Z7*AA16</f>
        <v>#NAME?</v>
      </c>
      <c r="AB14" t="e">
        <f ca="1">AA14/Z14</f>
        <v>#NAME?</v>
      </c>
      <c r="AC14" t="e">
        <f ca="1">AB14/AB15</f>
        <v>#NAME?</v>
      </c>
      <c r="AD14" t="e">
        <f ca="1">FDIST(AC14,Z14,Z15)</f>
        <v>#NAME?</v>
      </c>
      <c r="AE14" s="455" t="e">
        <f ca="1">IF(AD14&lt;AD12,"yes","no")</f>
        <v>#NAME?</v>
      </c>
    </row>
    <row r="15" spans="1:31" x14ac:dyDescent="0.25">
      <c r="A15" s="455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L15" s="414" t="e">
        <f ca="1"/>
        <v>#NAME?</v>
      </c>
      <c r="M15" s="358" t="e">
        <f ca="1"/>
        <v>#NAME?</v>
      </c>
      <c r="N15" s="358" t="e">
        <f ca="1"/>
        <v>#NAME?</v>
      </c>
      <c r="O15" s="358" t="e">
        <f ca="1"/>
        <v>#NAME?</v>
      </c>
      <c r="P15" s="358" t="e">
        <f ca="1"/>
        <v>#NAME?</v>
      </c>
      <c r="Q15" s="415" t="e">
        <f ca="1"/>
        <v>#NAME?</v>
      </c>
      <c r="Y15" t="s">
        <v>126</v>
      </c>
      <c r="Z15" t="e">
        <f ca="1">Z16-Z14</f>
        <v>#NAME?</v>
      </c>
      <c r="AA15" t="e">
        <f ca="1">AA16-AA14</f>
        <v>#NAME?</v>
      </c>
      <c r="AB15" t="e">
        <f ca="1">AA15/Z15</f>
        <v>#NAME?</v>
      </c>
    </row>
    <row r="16" spans="1:31" x14ac:dyDescent="0.25">
      <c r="A16" s="455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L16" s="442" t="e">
        <f ca="1"/>
        <v>#NAME?</v>
      </c>
      <c r="M16" s="443" t="e">
        <f ca="1"/>
        <v>#NAME?</v>
      </c>
      <c r="N16" s="443" t="e">
        <f ca="1"/>
        <v>#NAME?</v>
      </c>
      <c r="O16" s="443" t="e">
        <f ca="1"/>
        <v>#NAME?</v>
      </c>
      <c r="P16" s="443" t="e">
        <f ca="1"/>
        <v>#NAME?</v>
      </c>
      <c r="Q16" s="441" t="e">
        <f ca="1"/>
        <v>#NAME?</v>
      </c>
      <c r="Y16" s="354" t="s">
        <v>1</v>
      </c>
      <c r="Z16" s="354" t="e">
        <f ca="1">Z10-1</f>
        <v>#NAME?</v>
      </c>
      <c r="AA16" s="354" t="e">
        <f ca="1">W7^2*Z16</f>
        <v>#NAME?</v>
      </c>
      <c r="AB16" s="354"/>
      <c r="AC16" s="354"/>
      <c r="AD16" s="354"/>
      <c r="AE16" s="354"/>
    </row>
    <row r="17" spans="1:31" ht="15.75" thickBot="1" x14ac:dyDescent="0.3">
      <c r="A17" s="455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</row>
    <row r="18" spans="1:31" ht="15.75" thickTop="1" x14ac:dyDescent="0.25">
      <c r="A18" s="455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L18" t="s">
        <v>1019</v>
      </c>
      <c r="Y18" s="386"/>
      <c r="Z18" s="386" t="s">
        <v>797</v>
      </c>
      <c r="AA18" s="386" t="s">
        <v>390</v>
      </c>
      <c r="AB18" s="386" t="s">
        <v>42</v>
      </c>
      <c r="AC18" s="386" t="s">
        <v>48</v>
      </c>
      <c r="AD18" s="386" t="s">
        <v>15</v>
      </c>
      <c r="AE18" s="386" t="s">
        <v>16</v>
      </c>
    </row>
    <row r="19" spans="1:31" x14ac:dyDescent="0.25">
      <c r="A19" s="455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  <c r="Y19" t="s">
        <v>127</v>
      </c>
      <c r="Z19" t="e">
        <f ca="1">W8</f>
        <v>#NAME?</v>
      </c>
      <c r="AA19" t="e">
        <f ca="1">W9</f>
        <v>#NAME?</v>
      </c>
      <c r="AB19" t="e">
        <f ca="1">Z19/AA19</f>
        <v>#NAME?</v>
      </c>
      <c r="AC19" t="e">
        <f ca="1">TDIST(ABS(AB19),$Z$15,2)</f>
        <v>#NAME?</v>
      </c>
      <c r="AD19" t="e">
        <f ca="1">Z19-TINV(AD$12,$Z$15)*AA19</f>
        <v>#NAME?</v>
      </c>
      <c r="AE19" t="e">
        <f ca="1">Z19+TINV(AD$12,$Z$15)*AA19</f>
        <v>#NAME?</v>
      </c>
    </row>
    <row r="20" spans="1:31" x14ac:dyDescent="0.25">
      <c r="A20" s="455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L20" s="455" t="e">
        <f t="array" aca="1" ref="L20:Q28" ca="1">MissingPatterns(B3:E23)</f>
        <v>#NAME?</v>
      </c>
      <c r="M20" s="455" t="e">
        <f ca="1"/>
        <v>#NAME?</v>
      </c>
      <c r="N20" s="455" t="e">
        <f ca="1"/>
        <v>#NAME?</v>
      </c>
      <c r="O20" s="455" t="e">
        <f ca="1"/>
        <v>#NAME?</v>
      </c>
      <c r="P20" s="455" t="e">
        <f ca="1"/>
        <v>#NAME?</v>
      </c>
      <c r="Q20" s="455" t="e">
        <f ca="1"/>
        <v>#NAME?</v>
      </c>
      <c r="Y20" t="str">
        <f t="array" ref="Y20:Y22">TRANSPOSE(T5:V5)</f>
        <v>read</v>
      </c>
      <c r="Z20" t="e">
        <f t="array" aca="1" ref="Z20:Z22" ca="1">TRANSPOSE(T8:V8)</f>
        <v>#NAME?</v>
      </c>
      <c r="AA20" t="e">
        <f t="array" aca="1" ref="AA20:AA22" ca="1">TRANSPOSE(T9:V9)</f>
        <v>#NAME?</v>
      </c>
      <c r="AB20" t="e">
        <f ca="1">Z20/AA20</f>
        <v>#NAME?</v>
      </c>
      <c r="AC20" t="e">
        <f ca="1">TDIST(ABS(AB20),$Z$15,2)</f>
        <v>#NAME?</v>
      </c>
      <c r="AD20" t="e">
        <f ca="1">Z20-TINV(AD$12,$Z$15)*AA20</f>
        <v>#NAME?</v>
      </c>
      <c r="AE20" t="e">
        <f ca="1">Z20+TINV(AD$12,$Z$15)*AA20</f>
        <v>#NAME?</v>
      </c>
    </row>
    <row r="21" spans="1:31" x14ac:dyDescent="0.25">
      <c r="A21" s="455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L21" s="436" t="e">
        <f ca="1"/>
        <v>#NAME?</v>
      </c>
      <c r="M21" s="437" t="e">
        <f ca="1"/>
        <v>#NAME?</v>
      </c>
      <c r="N21" s="437" t="e">
        <f ca="1"/>
        <v>#NAME?</v>
      </c>
      <c r="O21" s="437" t="e">
        <f ca="1"/>
        <v>#NAME?</v>
      </c>
      <c r="P21" s="358" t="e">
        <f ca="1"/>
        <v>#NAME?</v>
      </c>
      <c r="Q21" s="438" t="e">
        <f ca="1"/>
        <v>#NAME?</v>
      </c>
      <c r="Y21" t="str">
        <v>science</v>
      </c>
      <c r="Z21" t="e">
        <f ca="1"/>
        <v>#NAME?</v>
      </c>
      <c r="AA21" t="e">
        <f ca="1"/>
        <v>#NAME?</v>
      </c>
      <c r="AB21" t="e">
        <f ca="1">Z21/AA21</f>
        <v>#NAME?</v>
      </c>
      <c r="AC21" t="e">
        <f ca="1">TDIST(ABS(AB21),$Z$15,2)</f>
        <v>#NAME?</v>
      </c>
      <c r="AD21" t="e">
        <f ca="1">Z21-TINV(AD$12,$Z$15)*AA21</f>
        <v>#NAME?</v>
      </c>
      <c r="AE21" t="e">
        <f ca="1">Z21+TINV(AD$12,$Z$15)*AA21</f>
        <v>#NAME?</v>
      </c>
    </row>
    <row r="22" spans="1:31" x14ac:dyDescent="0.25">
      <c r="A22" s="455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L22" s="182" t="e">
        <f ca="1"/>
        <v>#NAME?</v>
      </c>
      <c r="M22" s="456" t="e">
        <f ca="1"/>
        <v>#NAME?</v>
      </c>
      <c r="N22" s="456" t="e">
        <f ca="1"/>
        <v>#NAME?</v>
      </c>
      <c r="O22" s="456" t="e">
        <f ca="1"/>
        <v>#NAME?</v>
      </c>
      <c r="P22" s="7" t="e">
        <f ca="1"/>
        <v>#NAME?</v>
      </c>
      <c r="Q22" s="439" t="e">
        <f ca="1"/>
        <v>#NAME?</v>
      </c>
      <c r="Y22" s="354" t="str">
        <v>math</v>
      </c>
      <c r="Z22" s="354" t="e">
        <f ca="1"/>
        <v>#NAME?</v>
      </c>
      <c r="AA22" s="354" t="e">
        <f ca="1"/>
        <v>#NAME?</v>
      </c>
      <c r="AB22" s="354" t="e">
        <f ca="1">Z22/AA22</f>
        <v>#NAME?</v>
      </c>
      <c r="AC22" s="354" t="e">
        <f ca="1">TDIST(ABS(AB22),$Z$15,2)</f>
        <v>#NAME?</v>
      </c>
      <c r="AD22" s="354" t="e">
        <f ca="1">Z22-TINV(AD$12,$Z$15)*AA22</f>
        <v>#NAME?</v>
      </c>
      <c r="AE22" s="354" t="e">
        <f ca="1">Z22+TINV(AD$12,$Z$15)*AA22</f>
        <v>#NAME?</v>
      </c>
    </row>
    <row r="23" spans="1:31" x14ac:dyDescent="0.25">
      <c r="A23" s="455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L23" s="182" t="e">
        <f ca="1"/>
        <v>#NAME?</v>
      </c>
      <c r="M23" s="456" t="e">
        <f ca="1"/>
        <v>#NAME?</v>
      </c>
      <c r="N23" s="456" t="e">
        <f ca="1"/>
        <v>#NAME?</v>
      </c>
      <c r="O23" s="456" t="e">
        <f ca="1"/>
        <v>#NAME?</v>
      </c>
      <c r="P23" s="7" t="e">
        <f ca="1"/>
        <v>#NAME?</v>
      </c>
      <c r="Q23" s="439" t="e">
        <f ca="1"/>
        <v>#NAME?</v>
      </c>
    </row>
    <row r="24" spans="1:31" x14ac:dyDescent="0.25">
      <c r="A24" s="455" t="s">
        <v>6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L24" s="182" t="e">
        <f ca="1"/>
        <v>#NAME?</v>
      </c>
      <c r="M24" s="456" t="e">
        <f ca="1"/>
        <v>#NAME?</v>
      </c>
      <c r="N24" s="456" t="e">
        <f ca="1"/>
        <v>#NAME?</v>
      </c>
      <c r="O24" s="456" t="e">
        <f ca="1"/>
        <v>#NAME?</v>
      </c>
      <c r="P24" s="7" t="e">
        <f ca="1"/>
        <v>#NAME?</v>
      </c>
      <c r="Q24" s="439" t="e">
        <f ca="1"/>
        <v>#NAME?</v>
      </c>
    </row>
    <row r="25" spans="1:31" x14ac:dyDescent="0.25">
      <c r="A25" s="455" t="s">
        <v>8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L25" s="182" t="e">
        <f ca="1"/>
        <v>#NAME?</v>
      </c>
      <c r="M25" s="456" t="e">
        <f ca="1"/>
        <v>#NAME?</v>
      </c>
      <c r="N25" s="456" t="e">
        <f ca="1"/>
        <v>#NAME?</v>
      </c>
      <c r="O25" s="456" t="e">
        <f ca="1"/>
        <v>#NAME?</v>
      </c>
      <c r="P25" s="7" t="e">
        <f ca="1"/>
        <v>#NAME?</v>
      </c>
      <c r="Q25" s="439" t="e">
        <f ca="1"/>
        <v>#NAME?</v>
      </c>
    </row>
    <row r="26" spans="1:31" x14ac:dyDescent="0.25">
      <c r="L26" s="182" t="e">
        <f ca="1"/>
        <v>#NAME?</v>
      </c>
      <c r="M26" s="456" t="e">
        <f ca="1"/>
        <v>#NAME?</v>
      </c>
      <c r="N26" s="456" t="e">
        <f ca="1"/>
        <v>#NAME?</v>
      </c>
      <c r="O26" s="456" t="e">
        <f ca="1"/>
        <v>#NAME?</v>
      </c>
      <c r="P26" s="7" t="e">
        <f ca="1"/>
        <v>#NAME?</v>
      </c>
      <c r="Q26" s="439" t="e">
        <f ca="1"/>
        <v>#NAME?</v>
      </c>
    </row>
    <row r="27" spans="1:31" x14ac:dyDescent="0.25">
      <c r="L27" s="182" t="e">
        <f ca="1"/>
        <v>#NAME?</v>
      </c>
      <c r="M27" s="456" t="e">
        <f ca="1"/>
        <v>#NAME?</v>
      </c>
      <c r="N27" s="456" t="e">
        <f ca="1"/>
        <v>#NAME?</v>
      </c>
      <c r="O27" s="456" t="e">
        <f ca="1"/>
        <v>#NAME?</v>
      </c>
      <c r="P27" s="7" t="e">
        <f ca="1"/>
        <v>#NAME?</v>
      </c>
      <c r="Q27" s="439" t="e">
        <f ca="1"/>
        <v>#NAME?</v>
      </c>
    </row>
    <row r="28" spans="1:31" x14ac:dyDescent="0.25">
      <c r="L28" s="377" t="e">
        <f ca="1"/>
        <v>#NAME?</v>
      </c>
      <c r="M28" s="440" t="e">
        <f ca="1"/>
        <v>#NAME?</v>
      </c>
      <c r="N28" s="440" t="e">
        <f ca="1"/>
        <v>#NAME?</v>
      </c>
      <c r="O28" s="440" t="e">
        <f ca="1"/>
        <v>#NAME?</v>
      </c>
      <c r="P28" s="352" t="e">
        <f ca="1"/>
        <v>#NAME?</v>
      </c>
      <c r="Q28" s="441" t="e">
        <f ca="1"/>
        <v>#NAME?</v>
      </c>
    </row>
    <row r="29" spans="1:31" x14ac:dyDescent="0.25">
      <c r="P29" t="e">
        <f ca="1">SUM(P21:P28)</f>
        <v>#NAME?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AW29"/>
  <sheetViews>
    <sheetView workbookViewId="0"/>
  </sheetViews>
  <sheetFormatPr defaultRowHeight="15" x14ac:dyDescent="0.25"/>
  <sheetData>
    <row r="1" spans="1:49" x14ac:dyDescent="0.25">
      <c r="A1" t="s">
        <v>1045</v>
      </c>
      <c r="B1">
        <v>1</v>
      </c>
      <c r="F1" t="s">
        <v>1045</v>
      </c>
      <c r="G1">
        <v>2</v>
      </c>
      <c r="K1" t="s">
        <v>1045</v>
      </c>
      <c r="L1">
        <v>3</v>
      </c>
      <c r="P1" t="s">
        <v>1045</v>
      </c>
      <c r="Q1">
        <v>4</v>
      </c>
      <c r="U1" t="s">
        <v>1045</v>
      </c>
      <c r="V1">
        <v>5</v>
      </c>
      <c r="Z1" t="s">
        <v>1045</v>
      </c>
      <c r="AA1">
        <v>6</v>
      </c>
      <c r="AE1" t="s">
        <v>1045</v>
      </c>
      <c r="AF1">
        <v>7</v>
      </c>
      <c r="AJ1" t="s">
        <v>1045</v>
      </c>
      <c r="AK1">
        <v>8</v>
      </c>
      <c r="AO1" t="s">
        <v>1045</v>
      </c>
      <c r="AP1">
        <v>9</v>
      </c>
      <c r="AT1" t="s">
        <v>1045</v>
      </c>
      <c r="AU1">
        <v>10</v>
      </c>
    </row>
    <row r="3" spans="1:49" x14ac:dyDescent="0.25">
      <c r="A3" s="455" t="e">
        <f t="array" aca="1" ref="A3:D23" ca="1">ImputeFCS('MI 9'!B3:E23,TRUE,20,'MI 9'!G4:J5)</f>
        <v>#NAME?</v>
      </c>
      <c r="B3" s="455" t="e">
        <f ca="1"/>
        <v>#NAME?</v>
      </c>
      <c r="C3" s="455" t="e">
        <f ca="1"/>
        <v>#NAME?</v>
      </c>
      <c r="D3" s="455" t="e">
        <f ca="1"/>
        <v>#NAME?</v>
      </c>
      <c r="F3" s="455" t="e">
        <f t="array" aca="1" ref="F3:I23" ca="1">ImputeFCS('MI 9'!B3:E23,TRUE,20,'MI 9'!G4:J5)</f>
        <v>#NAME?</v>
      </c>
      <c r="G3" s="455" t="e">
        <f ca="1"/>
        <v>#NAME?</v>
      </c>
      <c r="H3" s="455" t="e">
        <f ca="1"/>
        <v>#NAME?</v>
      </c>
      <c r="I3" s="455" t="e">
        <f ca="1"/>
        <v>#NAME?</v>
      </c>
      <c r="K3" s="455" t="e">
        <f t="array" aca="1" ref="K3:N23" ca="1">ImputeFCS('MI 9'!B3:E23,TRUE,20,'MI 9'!G4:J5)</f>
        <v>#NAME?</v>
      </c>
      <c r="L3" s="455" t="e">
        <f ca="1"/>
        <v>#NAME?</v>
      </c>
      <c r="M3" s="455" t="e">
        <f ca="1"/>
        <v>#NAME?</v>
      </c>
      <c r="N3" s="455" t="e">
        <f ca="1"/>
        <v>#NAME?</v>
      </c>
      <c r="P3" s="455" t="e">
        <f t="array" aca="1" ref="P3:S23" ca="1">ImputeFCS('MI 9'!B3:E23,TRUE,20,'MI 9'!G4:J5)</f>
        <v>#NAME?</v>
      </c>
      <c r="Q3" s="455" t="e">
        <f ca="1"/>
        <v>#NAME?</v>
      </c>
      <c r="R3" s="455" t="e">
        <f ca="1"/>
        <v>#NAME?</v>
      </c>
      <c r="S3" s="455" t="e">
        <f ca="1"/>
        <v>#NAME?</v>
      </c>
      <c r="U3" s="455" t="e">
        <f t="array" aca="1" ref="U3:X23" ca="1">ImputeFCS('MI 9'!B3:E23,TRUE,20,'MI 9'!G4:J5)</f>
        <v>#NAME?</v>
      </c>
      <c r="V3" s="455" t="e">
        <f ca="1"/>
        <v>#NAME?</v>
      </c>
      <c r="W3" s="455" t="e">
        <f ca="1"/>
        <v>#NAME?</v>
      </c>
      <c r="X3" s="455" t="e">
        <f ca="1"/>
        <v>#NAME?</v>
      </c>
      <c r="Z3" s="455" t="e">
        <f t="array" aca="1" ref="Z3:AC23" ca="1">ImputeFCS('MI 9'!B3:E23,TRUE,20,'MI 9'!G4:J5)</f>
        <v>#NAME?</v>
      </c>
      <c r="AA3" s="455" t="e">
        <f ca="1"/>
        <v>#NAME?</v>
      </c>
      <c r="AB3" s="455" t="e">
        <f ca="1"/>
        <v>#NAME?</v>
      </c>
      <c r="AC3" s="455" t="e">
        <f ca="1"/>
        <v>#NAME?</v>
      </c>
      <c r="AE3" s="455" t="e">
        <f t="array" aca="1" ref="AE3:AH23" ca="1">ImputeFCS('MI 9'!B3:E23,TRUE,20,'MI 9'!G4:J5)</f>
        <v>#NAME?</v>
      </c>
      <c r="AF3" s="455" t="e">
        <f ca="1"/>
        <v>#NAME?</v>
      </c>
      <c r="AG3" s="455" t="e">
        <f ca="1"/>
        <v>#NAME?</v>
      </c>
      <c r="AH3" s="455" t="e">
        <f ca="1"/>
        <v>#NAME?</v>
      </c>
      <c r="AJ3" s="455" t="e">
        <f t="array" aca="1" ref="AJ3:AM23" ca="1">ImputeFCS('MI 9'!B3:E23,TRUE,20,'MI 9'!G4:J5)</f>
        <v>#NAME?</v>
      </c>
      <c r="AK3" s="455" t="e">
        <f ca="1"/>
        <v>#NAME?</v>
      </c>
      <c r="AL3" s="455" t="e">
        <f ca="1"/>
        <v>#NAME?</v>
      </c>
      <c r="AM3" s="455" t="e">
        <f ca="1"/>
        <v>#NAME?</v>
      </c>
      <c r="AO3" s="455" t="e">
        <f t="array" aca="1" ref="AO3:AR23" ca="1">ImputeFCS('MI 9'!B3:E23,TRUE,20,'MI 9'!G4:J5)</f>
        <v>#NAME?</v>
      </c>
      <c r="AP3" s="455" t="e">
        <f ca="1"/>
        <v>#NAME?</v>
      </c>
      <c r="AQ3" s="455" t="e">
        <f ca="1"/>
        <v>#NAME?</v>
      </c>
      <c r="AR3" s="455" t="e">
        <f ca="1"/>
        <v>#NAME?</v>
      </c>
      <c r="AT3" s="455" t="e">
        <f t="array" aca="1" ref="AT3:AW23" ca="1">ImputeFCS('MI 9'!B3:E23,TRUE,20,'MI 9'!G4:J5)</f>
        <v>#NAME?</v>
      </c>
      <c r="AU3" s="455" t="e">
        <f ca="1"/>
        <v>#NAME?</v>
      </c>
      <c r="AV3" s="455" t="e">
        <f ca="1"/>
        <v>#NAME?</v>
      </c>
      <c r="AW3" s="455" t="e">
        <f ca="1"/>
        <v>#NAME?</v>
      </c>
    </row>
    <row r="4" spans="1:49" x14ac:dyDescent="0.25">
      <c r="A4" s="414" t="e">
        <f ca="1"/>
        <v>#NAME?</v>
      </c>
      <c r="B4" s="358" t="e">
        <f ca="1"/>
        <v>#NAME?</v>
      </c>
      <c r="C4" s="358" t="e">
        <f ca="1"/>
        <v>#NAME?</v>
      </c>
      <c r="D4" s="415" t="e">
        <f ca="1"/>
        <v>#NAME?</v>
      </c>
      <c r="F4" s="414" t="e">
        <f ca="1"/>
        <v>#NAME?</v>
      </c>
      <c r="G4" s="358" t="e">
        <f ca="1"/>
        <v>#NAME?</v>
      </c>
      <c r="H4" s="358" t="e">
        <f ca="1"/>
        <v>#NAME?</v>
      </c>
      <c r="I4" s="415" t="e">
        <f ca="1"/>
        <v>#NAME?</v>
      </c>
      <c r="K4" s="414" t="e">
        <f ca="1"/>
        <v>#NAME?</v>
      </c>
      <c r="L4" s="358" t="e">
        <f ca="1"/>
        <v>#NAME?</v>
      </c>
      <c r="M4" s="358" t="e">
        <f ca="1"/>
        <v>#NAME?</v>
      </c>
      <c r="N4" s="415" t="e">
        <f ca="1"/>
        <v>#NAME?</v>
      </c>
      <c r="P4" s="414" t="e">
        <f ca="1"/>
        <v>#NAME?</v>
      </c>
      <c r="Q4" s="358" t="e">
        <f ca="1"/>
        <v>#NAME?</v>
      </c>
      <c r="R4" s="358" t="e">
        <f ca="1"/>
        <v>#NAME?</v>
      </c>
      <c r="S4" s="415" t="e">
        <f ca="1"/>
        <v>#NAME?</v>
      </c>
      <c r="U4" s="414" t="e">
        <f ca="1"/>
        <v>#NAME?</v>
      </c>
      <c r="V4" s="358" t="e">
        <f ca="1"/>
        <v>#NAME?</v>
      </c>
      <c r="W4" s="358" t="e">
        <f ca="1"/>
        <v>#NAME?</v>
      </c>
      <c r="X4" s="415" t="e">
        <f ca="1"/>
        <v>#NAME?</v>
      </c>
      <c r="Z4" s="414" t="e">
        <f ca="1"/>
        <v>#NAME?</v>
      </c>
      <c r="AA4" s="358" t="e">
        <f ca="1"/>
        <v>#NAME?</v>
      </c>
      <c r="AB4" s="358" t="e">
        <f ca="1"/>
        <v>#NAME?</v>
      </c>
      <c r="AC4" s="415" t="e">
        <f ca="1"/>
        <v>#NAME?</v>
      </c>
      <c r="AE4" s="414" t="e">
        <f ca="1"/>
        <v>#NAME?</v>
      </c>
      <c r="AF4" s="358" t="e">
        <f ca="1"/>
        <v>#NAME?</v>
      </c>
      <c r="AG4" s="358" t="e">
        <f ca="1"/>
        <v>#NAME?</v>
      </c>
      <c r="AH4" s="415" t="e">
        <f ca="1"/>
        <v>#NAME?</v>
      </c>
      <c r="AJ4" s="414" t="e">
        <f ca="1"/>
        <v>#NAME?</v>
      </c>
      <c r="AK4" s="358" t="e">
        <f ca="1"/>
        <v>#NAME?</v>
      </c>
      <c r="AL4" s="358" t="e">
        <f ca="1"/>
        <v>#NAME?</v>
      </c>
      <c r="AM4" s="415" t="e">
        <f ca="1"/>
        <v>#NAME?</v>
      </c>
      <c r="AO4" s="414" t="e">
        <f ca="1"/>
        <v>#NAME?</v>
      </c>
      <c r="AP4" s="358" t="e">
        <f ca="1"/>
        <v>#NAME?</v>
      </c>
      <c r="AQ4" s="358" t="e">
        <f ca="1"/>
        <v>#NAME?</v>
      </c>
      <c r="AR4" s="415" t="e">
        <f ca="1"/>
        <v>#NAME?</v>
      </c>
      <c r="AT4" s="414" t="e">
        <f ca="1"/>
        <v>#NAME?</v>
      </c>
      <c r="AU4" s="358" t="e">
        <f ca="1"/>
        <v>#NAME?</v>
      </c>
      <c r="AV4" s="358" t="e">
        <f ca="1"/>
        <v>#NAME?</v>
      </c>
      <c r="AW4" s="415" t="e">
        <f ca="1"/>
        <v>#NAME?</v>
      </c>
    </row>
    <row r="5" spans="1:49" x14ac:dyDescent="0.25">
      <c r="A5" s="183" t="e">
        <f ca="1"/>
        <v>#NAME?</v>
      </c>
      <c r="B5" s="7" t="e">
        <f ca="1"/>
        <v>#NAME?</v>
      </c>
      <c r="C5" s="7" t="e">
        <f ca="1"/>
        <v>#NAME?</v>
      </c>
      <c r="D5" s="43" t="e">
        <f ca="1"/>
        <v>#NAME?</v>
      </c>
      <c r="F5" s="183" t="e">
        <f ca="1"/>
        <v>#NAME?</v>
      </c>
      <c r="G5" s="7" t="e">
        <f ca="1"/>
        <v>#NAME?</v>
      </c>
      <c r="H5" s="7" t="e">
        <f ca="1"/>
        <v>#NAME?</v>
      </c>
      <c r="I5" s="43" t="e">
        <f ca="1"/>
        <v>#NAME?</v>
      </c>
      <c r="K5" s="183" t="e">
        <f ca="1"/>
        <v>#NAME?</v>
      </c>
      <c r="L5" s="7" t="e">
        <f ca="1"/>
        <v>#NAME?</v>
      </c>
      <c r="M5" s="7" t="e">
        <f ca="1"/>
        <v>#NAME?</v>
      </c>
      <c r="N5" s="43" t="e">
        <f ca="1"/>
        <v>#NAME?</v>
      </c>
      <c r="P5" s="183" t="e">
        <f ca="1"/>
        <v>#NAME?</v>
      </c>
      <c r="Q5" s="7" t="e">
        <f ca="1"/>
        <v>#NAME?</v>
      </c>
      <c r="R5" s="7" t="e">
        <f ca="1"/>
        <v>#NAME?</v>
      </c>
      <c r="S5" s="43" t="e">
        <f ca="1"/>
        <v>#NAME?</v>
      </c>
      <c r="U5" s="183" t="e">
        <f ca="1"/>
        <v>#NAME?</v>
      </c>
      <c r="V5" s="7" t="e">
        <f ca="1"/>
        <v>#NAME?</v>
      </c>
      <c r="W5" s="7" t="e">
        <f ca="1"/>
        <v>#NAME?</v>
      </c>
      <c r="X5" s="43" t="e">
        <f ca="1"/>
        <v>#NAME?</v>
      </c>
      <c r="Z5" s="183" t="e">
        <f ca="1"/>
        <v>#NAME?</v>
      </c>
      <c r="AA5" s="7" t="e">
        <f ca="1"/>
        <v>#NAME?</v>
      </c>
      <c r="AB5" s="7" t="e">
        <f ca="1"/>
        <v>#NAME?</v>
      </c>
      <c r="AC5" s="43" t="e">
        <f ca="1"/>
        <v>#NAME?</v>
      </c>
      <c r="AE5" s="183" t="e">
        <f ca="1"/>
        <v>#NAME?</v>
      </c>
      <c r="AF5" s="7" t="e">
        <f ca="1"/>
        <v>#NAME?</v>
      </c>
      <c r="AG5" s="7" t="e">
        <f ca="1"/>
        <v>#NAME?</v>
      </c>
      <c r="AH5" s="43" t="e">
        <f ca="1"/>
        <v>#NAME?</v>
      </c>
      <c r="AJ5" s="183" t="e">
        <f ca="1"/>
        <v>#NAME?</v>
      </c>
      <c r="AK5" s="7" t="e">
        <f ca="1"/>
        <v>#NAME?</v>
      </c>
      <c r="AL5" s="7" t="e">
        <f ca="1"/>
        <v>#NAME?</v>
      </c>
      <c r="AM5" s="43" t="e">
        <f ca="1"/>
        <v>#NAME?</v>
      </c>
      <c r="AO5" s="183" t="e">
        <f ca="1"/>
        <v>#NAME?</v>
      </c>
      <c r="AP5" s="7" t="e">
        <f ca="1"/>
        <v>#NAME?</v>
      </c>
      <c r="AQ5" s="7" t="e">
        <f ca="1"/>
        <v>#NAME?</v>
      </c>
      <c r="AR5" s="43" t="e">
        <f ca="1"/>
        <v>#NAME?</v>
      </c>
      <c r="AT5" s="183" t="e">
        <f ca="1"/>
        <v>#NAME?</v>
      </c>
      <c r="AU5" s="7" t="e">
        <f ca="1"/>
        <v>#NAME?</v>
      </c>
      <c r="AV5" s="7" t="e">
        <f ca="1"/>
        <v>#NAME?</v>
      </c>
      <c r="AW5" s="43" t="e">
        <f ca="1"/>
        <v>#NAME?</v>
      </c>
    </row>
    <row r="6" spans="1:49" x14ac:dyDescent="0.25">
      <c r="A6" s="183" t="e">
        <f ca="1"/>
        <v>#NAME?</v>
      </c>
      <c r="B6" s="7" t="e">
        <f ca="1"/>
        <v>#NAME?</v>
      </c>
      <c r="C6" s="7" t="e">
        <f ca="1"/>
        <v>#NAME?</v>
      </c>
      <c r="D6" s="43" t="e">
        <f ca="1"/>
        <v>#NAME?</v>
      </c>
      <c r="F6" s="183" t="e">
        <f ca="1"/>
        <v>#NAME?</v>
      </c>
      <c r="G6" s="7" t="e">
        <f ca="1"/>
        <v>#NAME?</v>
      </c>
      <c r="H6" s="7" t="e">
        <f ca="1"/>
        <v>#NAME?</v>
      </c>
      <c r="I6" s="43" t="e">
        <f ca="1"/>
        <v>#NAME?</v>
      </c>
      <c r="K6" s="183" t="e">
        <f ca="1"/>
        <v>#NAME?</v>
      </c>
      <c r="L6" s="7" t="e">
        <f ca="1"/>
        <v>#NAME?</v>
      </c>
      <c r="M6" s="7" t="e">
        <f ca="1"/>
        <v>#NAME?</v>
      </c>
      <c r="N6" s="43" t="e">
        <f ca="1"/>
        <v>#NAME?</v>
      </c>
      <c r="P6" s="183" t="e">
        <f ca="1"/>
        <v>#NAME?</v>
      </c>
      <c r="Q6" s="7" t="e">
        <f ca="1"/>
        <v>#NAME?</v>
      </c>
      <c r="R6" s="7" t="e">
        <f ca="1"/>
        <v>#NAME?</v>
      </c>
      <c r="S6" s="43" t="e">
        <f ca="1"/>
        <v>#NAME?</v>
      </c>
      <c r="U6" s="183" t="e">
        <f ca="1"/>
        <v>#NAME?</v>
      </c>
      <c r="V6" s="7" t="e">
        <f ca="1"/>
        <v>#NAME?</v>
      </c>
      <c r="W6" s="7" t="e">
        <f ca="1"/>
        <v>#NAME?</v>
      </c>
      <c r="X6" s="43" t="e">
        <f ca="1"/>
        <v>#NAME?</v>
      </c>
      <c r="Z6" s="183" t="e">
        <f ca="1"/>
        <v>#NAME?</v>
      </c>
      <c r="AA6" s="7" t="e">
        <f ca="1"/>
        <v>#NAME?</v>
      </c>
      <c r="AB6" s="7" t="e">
        <f ca="1"/>
        <v>#NAME?</v>
      </c>
      <c r="AC6" s="43" t="e">
        <f ca="1"/>
        <v>#NAME?</v>
      </c>
      <c r="AE6" s="183" t="e">
        <f ca="1"/>
        <v>#NAME?</v>
      </c>
      <c r="AF6" s="7" t="e">
        <f ca="1"/>
        <v>#NAME?</v>
      </c>
      <c r="AG6" s="7" t="e">
        <f ca="1"/>
        <v>#NAME?</v>
      </c>
      <c r="AH6" s="43" t="e">
        <f ca="1"/>
        <v>#NAME?</v>
      </c>
      <c r="AJ6" s="183" t="e">
        <f ca="1"/>
        <v>#NAME?</v>
      </c>
      <c r="AK6" s="7" t="e">
        <f ca="1"/>
        <v>#NAME?</v>
      </c>
      <c r="AL6" s="7" t="e">
        <f ca="1"/>
        <v>#NAME?</v>
      </c>
      <c r="AM6" s="43" t="e">
        <f ca="1"/>
        <v>#NAME?</v>
      </c>
      <c r="AO6" s="183" t="e">
        <f ca="1"/>
        <v>#NAME?</v>
      </c>
      <c r="AP6" s="7" t="e">
        <f ca="1"/>
        <v>#NAME?</v>
      </c>
      <c r="AQ6" s="7" t="e">
        <f ca="1"/>
        <v>#NAME?</v>
      </c>
      <c r="AR6" s="43" t="e">
        <f ca="1"/>
        <v>#NAME?</v>
      </c>
      <c r="AT6" s="183" t="e">
        <f ca="1"/>
        <v>#NAME?</v>
      </c>
      <c r="AU6" s="7" t="e">
        <f ca="1"/>
        <v>#NAME?</v>
      </c>
      <c r="AV6" s="7" t="e">
        <f ca="1"/>
        <v>#NAME?</v>
      </c>
      <c r="AW6" s="43" t="e">
        <f ca="1"/>
        <v>#NAME?</v>
      </c>
    </row>
    <row r="7" spans="1:49" x14ac:dyDescent="0.25">
      <c r="A7" s="183" t="e">
        <f ca="1"/>
        <v>#NAME?</v>
      </c>
      <c r="B7" s="7" t="e">
        <f ca="1"/>
        <v>#NAME?</v>
      </c>
      <c r="C7" s="7" t="e">
        <f ca="1"/>
        <v>#NAME?</v>
      </c>
      <c r="D7" s="43" t="e">
        <f ca="1"/>
        <v>#NAME?</v>
      </c>
      <c r="F7" s="183" t="e">
        <f ca="1"/>
        <v>#NAME?</v>
      </c>
      <c r="G7" s="7" t="e">
        <f ca="1"/>
        <v>#NAME?</v>
      </c>
      <c r="H7" s="7" t="e">
        <f ca="1"/>
        <v>#NAME?</v>
      </c>
      <c r="I7" s="43" t="e">
        <f ca="1"/>
        <v>#NAME?</v>
      </c>
      <c r="K7" s="183" t="e">
        <f ca="1"/>
        <v>#NAME?</v>
      </c>
      <c r="L7" s="7" t="e">
        <f ca="1"/>
        <v>#NAME?</v>
      </c>
      <c r="M7" s="7" t="e">
        <f ca="1"/>
        <v>#NAME?</v>
      </c>
      <c r="N7" s="43" t="e">
        <f ca="1"/>
        <v>#NAME?</v>
      </c>
      <c r="P7" s="183" t="e">
        <f ca="1"/>
        <v>#NAME?</v>
      </c>
      <c r="Q7" s="7" t="e">
        <f ca="1"/>
        <v>#NAME?</v>
      </c>
      <c r="R7" s="7" t="e">
        <f ca="1"/>
        <v>#NAME?</v>
      </c>
      <c r="S7" s="43" t="e">
        <f ca="1"/>
        <v>#NAME?</v>
      </c>
      <c r="U7" s="183" t="e">
        <f ca="1"/>
        <v>#NAME?</v>
      </c>
      <c r="V7" s="7" t="e">
        <f ca="1"/>
        <v>#NAME?</v>
      </c>
      <c r="W7" s="7" t="e">
        <f ca="1"/>
        <v>#NAME?</v>
      </c>
      <c r="X7" s="43" t="e">
        <f ca="1"/>
        <v>#NAME?</v>
      </c>
      <c r="Z7" s="183" t="e">
        <f ca="1"/>
        <v>#NAME?</v>
      </c>
      <c r="AA7" s="7" t="e">
        <f ca="1"/>
        <v>#NAME?</v>
      </c>
      <c r="AB7" s="7" t="e">
        <f ca="1"/>
        <v>#NAME?</v>
      </c>
      <c r="AC7" s="43" t="e">
        <f ca="1"/>
        <v>#NAME?</v>
      </c>
      <c r="AE7" s="183" t="e">
        <f ca="1"/>
        <v>#NAME?</v>
      </c>
      <c r="AF7" s="7" t="e">
        <f ca="1"/>
        <v>#NAME?</v>
      </c>
      <c r="AG7" s="7" t="e">
        <f ca="1"/>
        <v>#NAME?</v>
      </c>
      <c r="AH7" s="43" t="e">
        <f ca="1"/>
        <v>#NAME?</v>
      </c>
      <c r="AJ7" s="183" t="e">
        <f ca="1"/>
        <v>#NAME?</v>
      </c>
      <c r="AK7" s="7" t="e">
        <f ca="1"/>
        <v>#NAME?</v>
      </c>
      <c r="AL7" s="7" t="e">
        <f ca="1"/>
        <v>#NAME?</v>
      </c>
      <c r="AM7" s="43" t="e">
        <f ca="1"/>
        <v>#NAME?</v>
      </c>
      <c r="AO7" s="183" t="e">
        <f ca="1"/>
        <v>#NAME?</v>
      </c>
      <c r="AP7" s="7" t="e">
        <f ca="1"/>
        <v>#NAME?</v>
      </c>
      <c r="AQ7" s="7" t="e">
        <f ca="1"/>
        <v>#NAME?</v>
      </c>
      <c r="AR7" s="43" t="e">
        <f ca="1"/>
        <v>#NAME?</v>
      </c>
      <c r="AT7" s="183" t="e">
        <f ca="1"/>
        <v>#NAME?</v>
      </c>
      <c r="AU7" s="7" t="e">
        <f ca="1"/>
        <v>#NAME?</v>
      </c>
      <c r="AV7" s="7" t="e">
        <f ca="1"/>
        <v>#NAME?</v>
      </c>
      <c r="AW7" s="43" t="e">
        <f ca="1"/>
        <v>#NAME?</v>
      </c>
    </row>
    <row r="8" spans="1:49" x14ac:dyDescent="0.25">
      <c r="A8" s="183" t="e">
        <f ca="1"/>
        <v>#NAME?</v>
      </c>
      <c r="B8" s="7" t="e">
        <f ca="1"/>
        <v>#NAME?</v>
      </c>
      <c r="C8" s="7" t="e">
        <f ca="1"/>
        <v>#NAME?</v>
      </c>
      <c r="D8" s="43" t="e">
        <f ca="1"/>
        <v>#NAME?</v>
      </c>
      <c r="F8" s="183" t="e">
        <f ca="1"/>
        <v>#NAME?</v>
      </c>
      <c r="G8" s="7" t="e">
        <f ca="1"/>
        <v>#NAME?</v>
      </c>
      <c r="H8" s="7" t="e">
        <f ca="1"/>
        <v>#NAME?</v>
      </c>
      <c r="I8" s="43" t="e">
        <f ca="1"/>
        <v>#NAME?</v>
      </c>
      <c r="K8" s="183" t="e">
        <f ca="1"/>
        <v>#NAME?</v>
      </c>
      <c r="L8" s="7" t="e">
        <f ca="1"/>
        <v>#NAME?</v>
      </c>
      <c r="M8" s="7" t="e">
        <f ca="1"/>
        <v>#NAME?</v>
      </c>
      <c r="N8" s="43" t="e">
        <f ca="1"/>
        <v>#NAME?</v>
      </c>
      <c r="P8" s="183" t="e">
        <f ca="1"/>
        <v>#NAME?</v>
      </c>
      <c r="Q8" s="7" t="e">
        <f ca="1"/>
        <v>#NAME?</v>
      </c>
      <c r="R8" s="7" t="e">
        <f ca="1"/>
        <v>#NAME?</v>
      </c>
      <c r="S8" s="43" t="e">
        <f ca="1"/>
        <v>#NAME?</v>
      </c>
      <c r="U8" s="183" t="e">
        <f ca="1"/>
        <v>#NAME?</v>
      </c>
      <c r="V8" s="7" t="e">
        <f ca="1"/>
        <v>#NAME?</v>
      </c>
      <c r="W8" s="7" t="e">
        <f ca="1"/>
        <v>#NAME?</v>
      </c>
      <c r="X8" s="43" t="e">
        <f ca="1"/>
        <v>#NAME?</v>
      </c>
      <c r="Z8" s="183" t="e">
        <f ca="1"/>
        <v>#NAME?</v>
      </c>
      <c r="AA8" s="7" t="e">
        <f ca="1"/>
        <v>#NAME?</v>
      </c>
      <c r="AB8" s="7" t="e">
        <f ca="1"/>
        <v>#NAME?</v>
      </c>
      <c r="AC8" s="43" t="e">
        <f ca="1"/>
        <v>#NAME?</v>
      </c>
      <c r="AE8" s="183" t="e">
        <f ca="1"/>
        <v>#NAME?</v>
      </c>
      <c r="AF8" s="7" t="e">
        <f ca="1"/>
        <v>#NAME?</v>
      </c>
      <c r="AG8" s="7" t="e">
        <f ca="1"/>
        <v>#NAME?</v>
      </c>
      <c r="AH8" s="43" t="e">
        <f ca="1"/>
        <v>#NAME?</v>
      </c>
      <c r="AJ8" s="183" t="e">
        <f ca="1"/>
        <v>#NAME?</v>
      </c>
      <c r="AK8" s="7" t="e">
        <f ca="1"/>
        <v>#NAME?</v>
      </c>
      <c r="AL8" s="7" t="e">
        <f ca="1"/>
        <v>#NAME?</v>
      </c>
      <c r="AM8" s="43" t="e">
        <f ca="1"/>
        <v>#NAME?</v>
      </c>
      <c r="AO8" s="183" t="e">
        <f ca="1"/>
        <v>#NAME?</v>
      </c>
      <c r="AP8" s="7" t="e">
        <f ca="1"/>
        <v>#NAME?</v>
      </c>
      <c r="AQ8" s="7" t="e">
        <f ca="1"/>
        <v>#NAME?</v>
      </c>
      <c r="AR8" s="43" t="e">
        <f ca="1"/>
        <v>#NAME?</v>
      </c>
      <c r="AT8" s="183" t="e">
        <f ca="1"/>
        <v>#NAME?</v>
      </c>
      <c r="AU8" s="7" t="e">
        <f ca="1"/>
        <v>#NAME?</v>
      </c>
      <c r="AV8" s="7" t="e">
        <f ca="1"/>
        <v>#NAME?</v>
      </c>
      <c r="AW8" s="43" t="e">
        <f ca="1"/>
        <v>#NAME?</v>
      </c>
    </row>
    <row r="9" spans="1:49" x14ac:dyDescent="0.25">
      <c r="A9" s="183" t="e">
        <f ca="1"/>
        <v>#NAME?</v>
      </c>
      <c r="B9" s="7" t="e">
        <f ca="1"/>
        <v>#NAME?</v>
      </c>
      <c r="C9" s="7" t="e">
        <f ca="1"/>
        <v>#NAME?</v>
      </c>
      <c r="D9" s="43" t="e">
        <f ca="1"/>
        <v>#NAME?</v>
      </c>
      <c r="F9" s="183" t="e">
        <f ca="1"/>
        <v>#NAME?</v>
      </c>
      <c r="G9" s="7" t="e">
        <f ca="1"/>
        <v>#NAME?</v>
      </c>
      <c r="H9" s="7" t="e">
        <f ca="1"/>
        <v>#NAME?</v>
      </c>
      <c r="I9" s="43" t="e">
        <f ca="1"/>
        <v>#NAME?</v>
      </c>
      <c r="K9" s="183" t="e">
        <f ca="1"/>
        <v>#NAME?</v>
      </c>
      <c r="L9" s="7" t="e">
        <f ca="1"/>
        <v>#NAME?</v>
      </c>
      <c r="M9" s="7" t="e">
        <f ca="1"/>
        <v>#NAME?</v>
      </c>
      <c r="N9" s="43" t="e">
        <f ca="1"/>
        <v>#NAME?</v>
      </c>
      <c r="P9" s="183" t="e">
        <f ca="1"/>
        <v>#NAME?</v>
      </c>
      <c r="Q9" s="7" t="e">
        <f ca="1"/>
        <v>#NAME?</v>
      </c>
      <c r="R9" s="7" t="e">
        <f ca="1"/>
        <v>#NAME?</v>
      </c>
      <c r="S9" s="43" t="e">
        <f ca="1"/>
        <v>#NAME?</v>
      </c>
      <c r="U9" s="183" t="e">
        <f ca="1"/>
        <v>#NAME?</v>
      </c>
      <c r="V9" s="7" t="e">
        <f ca="1"/>
        <v>#NAME?</v>
      </c>
      <c r="W9" s="7" t="e">
        <f ca="1"/>
        <v>#NAME?</v>
      </c>
      <c r="X9" s="43" t="e">
        <f ca="1"/>
        <v>#NAME?</v>
      </c>
      <c r="Z9" s="183" t="e">
        <f ca="1"/>
        <v>#NAME?</v>
      </c>
      <c r="AA9" s="7" t="e">
        <f ca="1"/>
        <v>#NAME?</v>
      </c>
      <c r="AB9" s="7" t="e">
        <f ca="1"/>
        <v>#NAME?</v>
      </c>
      <c r="AC9" s="43" t="e">
        <f ca="1"/>
        <v>#NAME?</v>
      </c>
      <c r="AE9" s="183" t="e">
        <f ca="1"/>
        <v>#NAME?</v>
      </c>
      <c r="AF9" s="7" t="e">
        <f ca="1"/>
        <v>#NAME?</v>
      </c>
      <c r="AG9" s="7" t="e">
        <f ca="1"/>
        <v>#NAME?</v>
      </c>
      <c r="AH9" s="43" t="e">
        <f ca="1"/>
        <v>#NAME?</v>
      </c>
      <c r="AJ9" s="183" t="e">
        <f ca="1"/>
        <v>#NAME?</v>
      </c>
      <c r="AK9" s="7" t="e">
        <f ca="1"/>
        <v>#NAME?</v>
      </c>
      <c r="AL9" s="7" t="e">
        <f ca="1"/>
        <v>#NAME?</v>
      </c>
      <c r="AM9" s="43" t="e">
        <f ca="1"/>
        <v>#NAME?</v>
      </c>
      <c r="AO9" s="183" t="e">
        <f ca="1"/>
        <v>#NAME?</v>
      </c>
      <c r="AP9" s="7" t="e">
        <f ca="1"/>
        <v>#NAME?</v>
      </c>
      <c r="AQ9" s="7" t="e">
        <f ca="1"/>
        <v>#NAME?</v>
      </c>
      <c r="AR9" s="43" t="e">
        <f ca="1"/>
        <v>#NAME?</v>
      </c>
      <c r="AT9" s="183" t="e">
        <f ca="1"/>
        <v>#NAME?</v>
      </c>
      <c r="AU9" s="7" t="e">
        <f ca="1"/>
        <v>#NAME?</v>
      </c>
      <c r="AV9" s="7" t="e">
        <f ca="1"/>
        <v>#NAME?</v>
      </c>
      <c r="AW9" s="43" t="e">
        <f ca="1"/>
        <v>#NAME?</v>
      </c>
    </row>
    <row r="10" spans="1:49" x14ac:dyDescent="0.25">
      <c r="A10" s="183" t="e">
        <f ca="1"/>
        <v>#NAME?</v>
      </c>
      <c r="B10" s="7" t="e">
        <f ca="1"/>
        <v>#NAME?</v>
      </c>
      <c r="C10" s="7" t="e">
        <f ca="1"/>
        <v>#NAME?</v>
      </c>
      <c r="D10" s="43" t="e">
        <f ca="1"/>
        <v>#NAME?</v>
      </c>
      <c r="F10" s="183" t="e">
        <f ca="1"/>
        <v>#NAME?</v>
      </c>
      <c r="G10" s="7" t="e">
        <f ca="1"/>
        <v>#NAME?</v>
      </c>
      <c r="H10" s="7" t="e">
        <f ca="1"/>
        <v>#NAME?</v>
      </c>
      <c r="I10" s="43" t="e">
        <f ca="1"/>
        <v>#NAME?</v>
      </c>
      <c r="K10" s="183" t="e">
        <f ca="1"/>
        <v>#NAME?</v>
      </c>
      <c r="L10" s="7" t="e">
        <f ca="1"/>
        <v>#NAME?</v>
      </c>
      <c r="M10" s="7" t="e">
        <f ca="1"/>
        <v>#NAME?</v>
      </c>
      <c r="N10" s="43" t="e">
        <f ca="1"/>
        <v>#NAME?</v>
      </c>
      <c r="P10" s="183" t="e">
        <f ca="1"/>
        <v>#NAME?</v>
      </c>
      <c r="Q10" s="7" t="e">
        <f ca="1"/>
        <v>#NAME?</v>
      </c>
      <c r="R10" s="7" t="e">
        <f ca="1"/>
        <v>#NAME?</v>
      </c>
      <c r="S10" s="43" t="e">
        <f ca="1"/>
        <v>#NAME?</v>
      </c>
      <c r="U10" s="183" t="e">
        <f ca="1"/>
        <v>#NAME?</v>
      </c>
      <c r="V10" s="7" t="e">
        <f ca="1"/>
        <v>#NAME?</v>
      </c>
      <c r="W10" s="7" t="e">
        <f ca="1"/>
        <v>#NAME?</v>
      </c>
      <c r="X10" s="43" t="e">
        <f ca="1"/>
        <v>#NAME?</v>
      </c>
      <c r="Z10" s="183" t="e">
        <f ca="1"/>
        <v>#NAME?</v>
      </c>
      <c r="AA10" s="7" t="e">
        <f ca="1"/>
        <v>#NAME?</v>
      </c>
      <c r="AB10" s="7" t="e">
        <f ca="1"/>
        <v>#NAME?</v>
      </c>
      <c r="AC10" s="43" t="e">
        <f ca="1"/>
        <v>#NAME?</v>
      </c>
      <c r="AE10" s="183" t="e">
        <f ca="1"/>
        <v>#NAME?</v>
      </c>
      <c r="AF10" s="7" t="e">
        <f ca="1"/>
        <v>#NAME?</v>
      </c>
      <c r="AG10" s="7" t="e">
        <f ca="1"/>
        <v>#NAME?</v>
      </c>
      <c r="AH10" s="43" t="e">
        <f ca="1"/>
        <v>#NAME?</v>
      </c>
      <c r="AJ10" s="183" t="e">
        <f ca="1"/>
        <v>#NAME?</v>
      </c>
      <c r="AK10" s="7" t="e">
        <f ca="1"/>
        <v>#NAME?</v>
      </c>
      <c r="AL10" s="7" t="e">
        <f ca="1"/>
        <v>#NAME?</v>
      </c>
      <c r="AM10" s="43" t="e">
        <f ca="1"/>
        <v>#NAME?</v>
      </c>
      <c r="AO10" s="183" t="e">
        <f ca="1"/>
        <v>#NAME?</v>
      </c>
      <c r="AP10" s="7" t="e">
        <f ca="1"/>
        <v>#NAME?</v>
      </c>
      <c r="AQ10" s="7" t="e">
        <f ca="1"/>
        <v>#NAME?</v>
      </c>
      <c r="AR10" s="43" t="e">
        <f ca="1"/>
        <v>#NAME?</v>
      </c>
      <c r="AT10" s="183" t="e">
        <f ca="1"/>
        <v>#NAME?</v>
      </c>
      <c r="AU10" s="7" t="e">
        <f ca="1"/>
        <v>#NAME?</v>
      </c>
      <c r="AV10" s="7" t="e">
        <f ca="1"/>
        <v>#NAME?</v>
      </c>
      <c r="AW10" s="43" t="e">
        <f ca="1"/>
        <v>#NAME?</v>
      </c>
    </row>
    <row r="11" spans="1:49" x14ac:dyDescent="0.25">
      <c r="A11" s="183" t="e">
        <f ca="1"/>
        <v>#NAME?</v>
      </c>
      <c r="B11" s="7" t="e">
        <f ca="1"/>
        <v>#NAME?</v>
      </c>
      <c r="C11" s="7" t="e">
        <f ca="1"/>
        <v>#NAME?</v>
      </c>
      <c r="D11" s="43" t="e">
        <f ca="1"/>
        <v>#NAME?</v>
      </c>
      <c r="F11" s="183" t="e">
        <f ca="1"/>
        <v>#NAME?</v>
      </c>
      <c r="G11" s="7" t="e">
        <f ca="1"/>
        <v>#NAME?</v>
      </c>
      <c r="H11" s="7" t="e">
        <f ca="1"/>
        <v>#NAME?</v>
      </c>
      <c r="I11" s="43" t="e">
        <f ca="1"/>
        <v>#NAME?</v>
      </c>
      <c r="K11" s="183" t="e">
        <f ca="1"/>
        <v>#NAME?</v>
      </c>
      <c r="L11" s="7" t="e">
        <f ca="1"/>
        <v>#NAME?</v>
      </c>
      <c r="M11" s="7" t="e">
        <f ca="1"/>
        <v>#NAME?</v>
      </c>
      <c r="N11" s="43" t="e">
        <f ca="1"/>
        <v>#NAME?</v>
      </c>
      <c r="P11" s="183" t="e">
        <f ca="1"/>
        <v>#NAME?</v>
      </c>
      <c r="Q11" s="7" t="e">
        <f ca="1"/>
        <v>#NAME?</v>
      </c>
      <c r="R11" s="7" t="e">
        <f ca="1"/>
        <v>#NAME?</v>
      </c>
      <c r="S11" s="43" t="e">
        <f ca="1"/>
        <v>#NAME?</v>
      </c>
      <c r="U11" s="183" t="e">
        <f ca="1"/>
        <v>#NAME?</v>
      </c>
      <c r="V11" s="7" t="e">
        <f ca="1"/>
        <v>#NAME?</v>
      </c>
      <c r="W11" s="7" t="e">
        <f ca="1"/>
        <v>#NAME?</v>
      </c>
      <c r="X11" s="43" t="e">
        <f ca="1"/>
        <v>#NAME?</v>
      </c>
      <c r="Z11" s="183" t="e">
        <f ca="1"/>
        <v>#NAME?</v>
      </c>
      <c r="AA11" s="7" t="e">
        <f ca="1"/>
        <v>#NAME?</v>
      </c>
      <c r="AB11" s="7" t="e">
        <f ca="1"/>
        <v>#NAME?</v>
      </c>
      <c r="AC11" s="43" t="e">
        <f ca="1"/>
        <v>#NAME?</v>
      </c>
      <c r="AE11" s="183" t="e">
        <f ca="1"/>
        <v>#NAME?</v>
      </c>
      <c r="AF11" s="7" t="e">
        <f ca="1"/>
        <v>#NAME?</v>
      </c>
      <c r="AG11" s="7" t="e">
        <f ca="1"/>
        <v>#NAME?</v>
      </c>
      <c r="AH11" s="43" t="e">
        <f ca="1"/>
        <v>#NAME?</v>
      </c>
      <c r="AJ11" s="183" t="e">
        <f ca="1"/>
        <v>#NAME?</v>
      </c>
      <c r="AK11" s="7" t="e">
        <f ca="1"/>
        <v>#NAME?</v>
      </c>
      <c r="AL11" s="7" t="e">
        <f ca="1"/>
        <v>#NAME?</v>
      </c>
      <c r="AM11" s="43" t="e">
        <f ca="1"/>
        <v>#NAME?</v>
      </c>
      <c r="AO11" s="183" t="e">
        <f ca="1"/>
        <v>#NAME?</v>
      </c>
      <c r="AP11" s="7" t="e">
        <f ca="1"/>
        <v>#NAME?</v>
      </c>
      <c r="AQ11" s="7" t="e">
        <f ca="1"/>
        <v>#NAME?</v>
      </c>
      <c r="AR11" s="43" t="e">
        <f ca="1"/>
        <v>#NAME?</v>
      </c>
      <c r="AT11" s="183" t="e">
        <f ca="1"/>
        <v>#NAME?</v>
      </c>
      <c r="AU11" s="7" t="e">
        <f ca="1"/>
        <v>#NAME?</v>
      </c>
      <c r="AV11" s="7" t="e">
        <f ca="1"/>
        <v>#NAME?</v>
      </c>
      <c r="AW11" s="43" t="e">
        <f ca="1"/>
        <v>#NAME?</v>
      </c>
    </row>
    <row r="12" spans="1:49" x14ac:dyDescent="0.25">
      <c r="A12" s="183" t="e">
        <f ca="1"/>
        <v>#NAME?</v>
      </c>
      <c r="B12" s="7" t="e">
        <f ca="1"/>
        <v>#NAME?</v>
      </c>
      <c r="C12" s="7" t="e">
        <f ca="1"/>
        <v>#NAME?</v>
      </c>
      <c r="D12" s="43" t="e">
        <f ca="1"/>
        <v>#NAME?</v>
      </c>
      <c r="F12" s="183" t="e">
        <f ca="1"/>
        <v>#NAME?</v>
      </c>
      <c r="G12" s="7" t="e">
        <f ca="1"/>
        <v>#NAME?</v>
      </c>
      <c r="H12" s="7" t="e">
        <f ca="1"/>
        <v>#NAME?</v>
      </c>
      <c r="I12" s="43" t="e">
        <f ca="1"/>
        <v>#NAME?</v>
      </c>
      <c r="K12" s="183" t="e">
        <f ca="1"/>
        <v>#NAME?</v>
      </c>
      <c r="L12" s="7" t="e">
        <f ca="1"/>
        <v>#NAME?</v>
      </c>
      <c r="M12" s="7" t="e">
        <f ca="1"/>
        <v>#NAME?</v>
      </c>
      <c r="N12" s="43" t="e">
        <f ca="1"/>
        <v>#NAME?</v>
      </c>
      <c r="P12" s="183" t="e">
        <f ca="1"/>
        <v>#NAME?</v>
      </c>
      <c r="Q12" s="7" t="e">
        <f ca="1"/>
        <v>#NAME?</v>
      </c>
      <c r="R12" s="7" t="e">
        <f ca="1"/>
        <v>#NAME?</v>
      </c>
      <c r="S12" s="43" t="e">
        <f ca="1"/>
        <v>#NAME?</v>
      </c>
      <c r="U12" s="183" t="e">
        <f ca="1"/>
        <v>#NAME?</v>
      </c>
      <c r="V12" s="7" t="e">
        <f ca="1"/>
        <v>#NAME?</v>
      </c>
      <c r="W12" s="7" t="e">
        <f ca="1"/>
        <v>#NAME?</v>
      </c>
      <c r="X12" s="43" t="e">
        <f ca="1"/>
        <v>#NAME?</v>
      </c>
      <c r="Z12" s="183" t="e">
        <f ca="1"/>
        <v>#NAME?</v>
      </c>
      <c r="AA12" s="7" t="e">
        <f ca="1"/>
        <v>#NAME?</v>
      </c>
      <c r="AB12" s="7" t="e">
        <f ca="1"/>
        <v>#NAME?</v>
      </c>
      <c r="AC12" s="43" t="e">
        <f ca="1"/>
        <v>#NAME?</v>
      </c>
      <c r="AE12" s="183" t="e">
        <f ca="1"/>
        <v>#NAME?</v>
      </c>
      <c r="AF12" s="7" t="e">
        <f ca="1"/>
        <v>#NAME?</v>
      </c>
      <c r="AG12" s="7" t="e">
        <f ca="1"/>
        <v>#NAME?</v>
      </c>
      <c r="AH12" s="43" t="e">
        <f ca="1"/>
        <v>#NAME?</v>
      </c>
      <c r="AJ12" s="183" t="e">
        <f ca="1"/>
        <v>#NAME?</v>
      </c>
      <c r="AK12" s="7" t="e">
        <f ca="1"/>
        <v>#NAME?</v>
      </c>
      <c r="AL12" s="7" t="e">
        <f ca="1"/>
        <v>#NAME?</v>
      </c>
      <c r="AM12" s="43" t="e">
        <f ca="1"/>
        <v>#NAME?</v>
      </c>
      <c r="AO12" s="183" t="e">
        <f ca="1"/>
        <v>#NAME?</v>
      </c>
      <c r="AP12" s="7" t="e">
        <f ca="1"/>
        <v>#NAME?</v>
      </c>
      <c r="AQ12" s="7" t="e">
        <f ca="1"/>
        <v>#NAME?</v>
      </c>
      <c r="AR12" s="43" t="e">
        <f ca="1"/>
        <v>#NAME?</v>
      </c>
      <c r="AT12" s="183" t="e">
        <f ca="1"/>
        <v>#NAME?</v>
      </c>
      <c r="AU12" s="7" t="e">
        <f ca="1"/>
        <v>#NAME?</v>
      </c>
      <c r="AV12" s="7" t="e">
        <f ca="1"/>
        <v>#NAME?</v>
      </c>
      <c r="AW12" s="43" t="e">
        <f ca="1"/>
        <v>#NAME?</v>
      </c>
    </row>
    <row r="13" spans="1:49" x14ac:dyDescent="0.25">
      <c r="A13" s="183" t="e">
        <f ca="1"/>
        <v>#NAME?</v>
      </c>
      <c r="B13" s="7" t="e">
        <f ca="1"/>
        <v>#NAME?</v>
      </c>
      <c r="C13" s="7" t="e">
        <f ca="1"/>
        <v>#NAME?</v>
      </c>
      <c r="D13" s="43" t="e">
        <f ca="1"/>
        <v>#NAME?</v>
      </c>
      <c r="F13" s="183" t="e">
        <f ca="1"/>
        <v>#NAME?</v>
      </c>
      <c r="G13" s="7" t="e">
        <f ca="1"/>
        <v>#NAME?</v>
      </c>
      <c r="H13" s="7" t="e">
        <f ca="1"/>
        <v>#NAME?</v>
      </c>
      <c r="I13" s="43" t="e">
        <f ca="1"/>
        <v>#NAME?</v>
      </c>
      <c r="K13" s="183" t="e">
        <f ca="1"/>
        <v>#NAME?</v>
      </c>
      <c r="L13" s="7" t="e">
        <f ca="1"/>
        <v>#NAME?</v>
      </c>
      <c r="M13" s="7" t="e">
        <f ca="1"/>
        <v>#NAME?</v>
      </c>
      <c r="N13" s="43" t="e">
        <f ca="1"/>
        <v>#NAME?</v>
      </c>
      <c r="P13" s="183" t="e">
        <f ca="1"/>
        <v>#NAME?</v>
      </c>
      <c r="Q13" s="7" t="e">
        <f ca="1"/>
        <v>#NAME?</v>
      </c>
      <c r="R13" s="7" t="e">
        <f ca="1"/>
        <v>#NAME?</v>
      </c>
      <c r="S13" s="43" t="e">
        <f ca="1"/>
        <v>#NAME?</v>
      </c>
      <c r="U13" s="183" t="e">
        <f ca="1"/>
        <v>#NAME?</v>
      </c>
      <c r="V13" s="7" t="e">
        <f ca="1"/>
        <v>#NAME?</v>
      </c>
      <c r="W13" s="7" t="e">
        <f ca="1"/>
        <v>#NAME?</v>
      </c>
      <c r="X13" s="43" t="e">
        <f ca="1"/>
        <v>#NAME?</v>
      </c>
      <c r="Z13" s="183" t="e">
        <f ca="1"/>
        <v>#NAME?</v>
      </c>
      <c r="AA13" s="7" t="e">
        <f ca="1"/>
        <v>#NAME?</v>
      </c>
      <c r="AB13" s="7" t="e">
        <f ca="1"/>
        <v>#NAME?</v>
      </c>
      <c r="AC13" s="43" t="e">
        <f ca="1"/>
        <v>#NAME?</v>
      </c>
      <c r="AE13" s="183" t="e">
        <f ca="1"/>
        <v>#NAME?</v>
      </c>
      <c r="AF13" s="7" t="e">
        <f ca="1"/>
        <v>#NAME?</v>
      </c>
      <c r="AG13" s="7" t="e">
        <f ca="1"/>
        <v>#NAME?</v>
      </c>
      <c r="AH13" s="43" t="e">
        <f ca="1"/>
        <v>#NAME?</v>
      </c>
      <c r="AJ13" s="183" t="e">
        <f ca="1"/>
        <v>#NAME?</v>
      </c>
      <c r="AK13" s="7" t="e">
        <f ca="1"/>
        <v>#NAME?</v>
      </c>
      <c r="AL13" s="7" t="e">
        <f ca="1"/>
        <v>#NAME?</v>
      </c>
      <c r="AM13" s="43" t="e">
        <f ca="1"/>
        <v>#NAME?</v>
      </c>
      <c r="AO13" s="183" t="e">
        <f ca="1"/>
        <v>#NAME?</v>
      </c>
      <c r="AP13" s="7" t="e">
        <f ca="1"/>
        <v>#NAME?</v>
      </c>
      <c r="AQ13" s="7" t="e">
        <f ca="1"/>
        <v>#NAME?</v>
      </c>
      <c r="AR13" s="43" t="e">
        <f ca="1"/>
        <v>#NAME?</v>
      </c>
      <c r="AT13" s="183" t="e">
        <f ca="1"/>
        <v>#NAME?</v>
      </c>
      <c r="AU13" s="7" t="e">
        <f ca="1"/>
        <v>#NAME?</v>
      </c>
      <c r="AV13" s="7" t="e">
        <f ca="1"/>
        <v>#NAME?</v>
      </c>
      <c r="AW13" s="43" t="e">
        <f ca="1"/>
        <v>#NAME?</v>
      </c>
    </row>
    <row r="14" spans="1:49" x14ac:dyDescent="0.25">
      <c r="A14" s="183" t="e">
        <f ca="1"/>
        <v>#NAME?</v>
      </c>
      <c r="B14" s="7" t="e">
        <f ca="1"/>
        <v>#NAME?</v>
      </c>
      <c r="C14" s="7" t="e">
        <f ca="1"/>
        <v>#NAME?</v>
      </c>
      <c r="D14" s="43" t="e">
        <f ca="1"/>
        <v>#NAME?</v>
      </c>
      <c r="F14" s="183" t="e">
        <f ca="1"/>
        <v>#NAME?</v>
      </c>
      <c r="G14" s="7" t="e">
        <f ca="1"/>
        <v>#NAME?</v>
      </c>
      <c r="H14" s="7" t="e">
        <f ca="1"/>
        <v>#NAME?</v>
      </c>
      <c r="I14" s="43" t="e">
        <f ca="1"/>
        <v>#NAME?</v>
      </c>
      <c r="K14" s="183" t="e">
        <f ca="1"/>
        <v>#NAME?</v>
      </c>
      <c r="L14" s="7" t="e">
        <f ca="1"/>
        <v>#NAME?</v>
      </c>
      <c r="M14" s="7" t="e">
        <f ca="1"/>
        <v>#NAME?</v>
      </c>
      <c r="N14" s="43" t="e">
        <f ca="1"/>
        <v>#NAME?</v>
      </c>
      <c r="P14" s="183" t="e">
        <f ca="1"/>
        <v>#NAME?</v>
      </c>
      <c r="Q14" s="7" t="e">
        <f ca="1"/>
        <v>#NAME?</v>
      </c>
      <c r="R14" s="7" t="e">
        <f ca="1"/>
        <v>#NAME?</v>
      </c>
      <c r="S14" s="43" t="e">
        <f ca="1"/>
        <v>#NAME?</v>
      </c>
      <c r="U14" s="183" t="e">
        <f ca="1"/>
        <v>#NAME?</v>
      </c>
      <c r="V14" s="7" t="e">
        <f ca="1"/>
        <v>#NAME?</v>
      </c>
      <c r="W14" s="7" t="e">
        <f ca="1"/>
        <v>#NAME?</v>
      </c>
      <c r="X14" s="43" t="e">
        <f ca="1"/>
        <v>#NAME?</v>
      </c>
      <c r="Z14" s="183" t="e">
        <f ca="1"/>
        <v>#NAME?</v>
      </c>
      <c r="AA14" s="7" t="e">
        <f ca="1"/>
        <v>#NAME?</v>
      </c>
      <c r="AB14" s="7" t="e">
        <f ca="1"/>
        <v>#NAME?</v>
      </c>
      <c r="AC14" s="43" t="e">
        <f ca="1"/>
        <v>#NAME?</v>
      </c>
      <c r="AE14" s="183" t="e">
        <f ca="1"/>
        <v>#NAME?</v>
      </c>
      <c r="AF14" s="7" t="e">
        <f ca="1"/>
        <v>#NAME?</v>
      </c>
      <c r="AG14" s="7" t="e">
        <f ca="1"/>
        <v>#NAME?</v>
      </c>
      <c r="AH14" s="43" t="e">
        <f ca="1"/>
        <v>#NAME?</v>
      </c>
      <c r="AJ14" s="183" t="e">
        <f ca="1"/>
        <v>#NAME?</v>
      </c>
      <c r="AK14" s="7" t="e">
        <f ca="1"/>
        <v>#NAME?</v>
      </c>
      <c r="AL14" s="7" t="e">
        <f ca="1"/>
        <v>#NAME?</v>
      </c>
      <c r="AM14" s="43" t="e">
        <f ca="1"/>
        <v>#NAME?</v>
      </c>
      <c r="AO14" s="183" t="e">
        <f ca="1"/>
        <v>#NAME?</v>
      </c>
      <c r="AP14" s="7" t="e">
        <f ca="1"/>
        <v>#NAME?</v>
      </c>
      <c r="AQ14" s="7" t="e">
        <f ca="1"/>
        <v>#NAME?</v>
      </c>
      <c r="AR14" s="43" t="e">
        <f ca="1"/>
        <v>#NAME?</v>
      </c>
      <c r="AT14" s="183" t="e">
        <f ca="1"/>
        <v>#NAME?</v>
      </c>
      <c r="AU14" s="7" t="e">
        <f ca="1"/>
        <v>#NAME?</v>
      </c>
      <c r="AV14" s="7" t="e">
        <f ca="1"/>
        <v>#NAME?</v>
      </c>
      <c r="AW14" s="43" t="e">
        <f ca="1"/>
        <v>#NAME?</v>
      </c>
    </row>
    <row r="15" spans="1:49" x14ac:dyDescent="0.25">
      <c r="A15" s="183" t="e">
        <f ca="1"/>
        <v>#NAME?</v>
      </c>
      <c r="B15" s="7" t="e">
        <f ca="1"/>
        <v>#NAME?</v>
      </c>
      <c r="C15" s="7" t="e">
        <f ca="1"/>
        <v>#NAME?</v>
      </c>
      <c r="D15" s="43" t="e">
        <f ca="1"/>
        <v>#NAME?</v>
      </c>
      <c r="F15" s="183" t="e">
        <f ca="1"/>
        <v>#NAME?</v>
      </c>
      <c r="G15" s="7" t="e">
        <f ca="1"/>
        <v>#NAME?</v>
      </c>
      <c r="H15" s="7" t="e">
        <f ca="1"/>
        <v>#NAME?</v>
      </c>
      <c r="I15" s="43" t="e">
        <f ca="1"/>
        <v>#NAME?</v>
      </c>
      <c r="K15" s="183" t="e">
        <f ca="1"/>
        <v>#NAME?</v>
      </c>
      <c r="L15" s="7" t="e">
        <f ca="1"/>
        <v>#NAME?</v>
      </c>
      <c r="M15" s="7" t="e">
        <f ca="1"/>
        <v>#NAME?</v>
      </c>
      <c r="N15" s="43" t="e">
        <f ca="1"/>
        <v>#NAME?</v>
      </c>
      <c r="P15" s="183" t="e">
        <f ca="1"/>
        <v>#NAME?</v>
      </c>
      <c r="Q15" s="7" t="e">
        <f ca="1"/>
        <v>#NAME?</v>
      </c>
      <c r="R15" s="7" t="e">
        <f ca="1"/>
        <v>#NAME?</v>
      </c>
      <c r="S15" s="43" t="e">
        <f ca="1"/>
        <v>#NAME?</v>
      </c>
      <c r="U15" s="183" t="e">
        <f ca="1"/>
        <v>#NAME?</v>
      </c>
      <c r="V15" s="7" t="e">
        <f ca="1"/>
        <v>#NAME?</v>
      </c>
      <c r="W15" s="7" t="e">
        <f ca="1"/>
        <v>#NAME?</v>
      </c>
      <c r="X15" s="43" t="e">
        <f ca="1"/>
        <v>#NAME?</v>
      </c>
      <c r="Z15" s="183" t="e">
        <f ca="1"/>
        <v>#NAME?</v>
      </c>
      <c r="AA15" s="7" t="e">
        <f ca="1"/>
        <v>#NAME?</v>
      </c>
      <c r="AB15" s="7" t="e">
        <f ca="1"/>
        <v>#NAME?</v>
      </c>
      <c r="AC15" s="43" t="e">
        <f ca="1"/>
        <v>#NAME?</v>
      </c>
      <c r="AE15" s="183" t="e">
        <f ca="1"/>
        <v>#NAME?</v>
      </c>
      <c r="AF15" s="7" t="e">
        <f ca="1"/>
        <v>#NAME?</v>
      </c>
      <c r="AG15" s="7" t="e">
        <f ca="1"/>
        <v>#NAME?</v>
      </c>
      <c r="AH15" s="43" t="e">
        <f ca="1"/>
        <v>#NAME?</v>
      </c>
      <c r="AJ15" s="183" t="e">
        <f ca="1"/>
        <v>#NAME?</v>
      </c>
      <c r="AK15" s="7" t="e">
        <f ca="1"/>
        <v>#NAME?</v>
      </c>
      <c r="AL15" s="7" t="e">
        <f ca="1"/>
        <v>#NAME?</v>
      </c>
      <c r="AM15" s="43" t="e">
        <f ca="1"/>
        <v>#NAME?</v>
      </c>
      <c r="AO15" s="183" t="e">
        <f ca="1"/>
        <v>#NAME?</v>
      </c>
      <c r="AP15" s="7" t="e">
        <f ca="1"/>
        <v>#NAME?</v>
      </c>
      <c r="AQ15" s="7" t="e">
        <f ca="1"/>
        <v>#NAME?</v>
      </c>
      <c r="AR15" s="43" t="e">
        <f ca="1"/>
        <v>#NAME?</v>
      </c>
      <c r="AT15" s="183" t="e">
        <f ca="1"/>
        <v>#NAME?</v>
      </c>
      <c r="AU15" s="7" t="e">
        <f ca="1"/>
        <v>#NAME?</v>
      </c>
      <c r="AV15" s="7" t="e">
        <f ca="1"/>
        <v>#NAME?</v>
      </c>
      <c r="AW15" s="43" t="e">
        <f ca="1"/>
        <v>#NAME?</v>
      </c>
    </row>
    <row r="16" spans="1:49" x14ac:dyDescent="0.25">
      <c r="A16" s="183" t="e">
        <f ca="1"/>
        <v>#NAME?</v>
      </c>
      <c r="B16" s="7" t="e">
        <f ca="1"/>
        <v>#NAME?</v>
      </c>
      <c r="C16" s="7" t="e">
        <f ca="1"/>
        <v>#NAME?</v>
      </c>
      <c r="D16" s="43" t="e">
        <f ca="1"/>
        <v>#NAME?</v>
      </c>
      <c r="F16" s="183" t="e">
        <f ca="1"/>
        <v>#NAME?</v>
      </c>
      <c r="G16" s="7" t="e">
        <f ca="1"/>
        <v>#NAME?</v>
      </c>
      <c r="H16" s="7" t="e">
        <f ca="1"/>
        <v>#NAME?</v>
      </c>
      <c r="I16" s="43" t="e">
        <f ca="1"/>
        <v>#NAME?</v>
      </c>
      <c r="K16" s="183" t="e">
        <f ca="1"/>
        <v>#NAME?</v>
      </c>
      <c r="L16" s="7" t="e">
        <f ca="1"/>
        <v>#NAME?</v>
      </c>
      <c r="M16" s="7" t="e">
        <f ca="1"/>
        <v>#NAME?</v>
      </c>
      <c r="N16" s="43" t="e">
        <f ca="1"/>
        <v>#NAME?</v>
      </c>
      <c r="P16" s="183" t="e">
        <f ca="1"/>
        <v>#NAME?</v>
      </c>
      <c r="Q16" s="7" t="e">
        <f ca="1"/>
        <v>#NAME?</v>
      </c>
      <c r="R16" s="7" t="e">
        <f ca="1"/>
        <v>#NAME?</v>
      </c>
      <c r="S16" s="43" t="e">
        <f ca="1"/>
        <v>#NAME?</v>
      </c>
      <c r="U16" s="183" t="e">
        <f ca="1"/>
        <v>#NAME?</v>
      </c>
      <c r="V16" s="7" t="e">
        <f ca="1"/>
        <v>#NAME?</v>
      </c>
      <c r="W16" s="7" t="e">
        <f ca="1"/>
        <v>#NAME?</v>
      </c>
      <c r="X16" s="43" t="e">
        <f ca="1"/>
        <v>#NAME?</v>
      </c>
      <c r="Z16" s="183" t="e">
        <f ca="1"/>
        <v>#NAME?</v>
      </c>
      <c r="AA16" s="7" t="e">
        <f ca="1"/>
        <v>#NAME?</v>
      </c>
      <c r="AB16" s="7" t="e">
        <f ca="1"/>
        <v>#NAME?</v>
      </c>
      <c r="AC16" s="43" t="e">
        <f ca="1"/>
        <v>#NAME?</v>
      </c>
      <c r="AE16" s="183" t="e">
        <f ca="1"/>
        <v>#NAME?</v>
      </c>
      <c r="AF16" s="7" t="e">
        <f ca="1"/>
        <v>#NAME?</v>
      </c>
      <c r="AG16" s="7" t="e">
        <f ca="1"/>
        <v>#NAME?</v>
      </c>
      <c r="AH16" s="43" t="e">
        <f ca="1"/>
        <v>#NAME?</v>
      </c>
      <c r="AJ16" s="183" t="e">
        <f ca="1"/>
        <v>#NAME?</v>
      </c>
      <c r="AK16" s="7" t="e">
        <f ca="1"/>
        <v>#NAME?</v>
      </c>
      <c r="AL16" s="7" t="e">
        <f ca="1"/>
        <v>#NAME?</v>
      </c>
      <c r="AM16" s="43" t="e">
        <f ca="1"/>
        <v>#NAME?</v>
      </c>
      <c r="AO16" s="183" t="e">
        <f ca="1"/>
        <v>#NAME?</v>
      </c>
      <c r="AP16" s="7" t="e">
        <f ca="1"/>
        <v>#NAME?</v>
      </c>
      <c r="AQ16" s="7" t="e">
        <f ca="1"/>
        <v>#NAME?</v>
      </c>
      <c r="AR16" s="43" t="e">
        <f ca="1"/>
        <v>#NAME?</v>
      </c>
      <c r="AT16" s="183" t="e">
        <f ca="1"/>
        <v>#NAME?</v>
      </c>
      <c r="AU16" s="7" t="e">
        <f ca="1"/>
        <v>#NAME?</v>
      </c>
      <c r="AV16" s="7" t="e">
        <f ca="1"/>
        <v>#NAME?</v>
      </c>
      <c r="AW16" s="43" t="e">
        <f ca="1"/>
        <v>#NAME?</v>
      </c>
    </row>
    <row r="17" spans="1:49" x14ac:dyDescent="0.25">
      <c r="A17" s="183" t="e">
        <f ca="1"/>
        <v>#NAME?</v>
      </c>
      <c r="B17" s="7" t="e">
        <f ca="1"/>
        <v>#NAME?</v>
      </c>
      <c r="C17" s="7" t="e">
        <f ca="1"/>
        <v>#NAME?</v>
      </c>
      <c r="D17" s="43" t="e">
        <f ca="1"/>
        <v>#NAME?</v>
      </c>
      <c r="F17" s="183" t="e">
        <f ca="1"/>
        <v>#NAME?</v>
      </c>
      <c r="G17" s="7" t="e">
        <f ca="1"/>
        <v>#NAME?</v>
      </c>
      <c r="H17" s="7" t="e">
        <f ca="1"/>
        <v>#NAME?</v>
      </c>
      <c r="I17" s="43" t="e">
        <f ca="1"/>
        <v>#NAME?</v>
      </c>
      <c r="K17" s="183" t="e">
        <f ca="1"/>
        <v>#NAME?</v>
      </c>
      <c r="L17" s="7" t="e">
        <f ca="1"/>
        <v>#NAME?</v>
      </c>
      <c r="M17" s="7" t="e">
        <f ca="1"/>
        <v>#NAME?</v>
      </c>
      <c r="N17" s="43" t="e">
        <f ca="1"/>
        <v>#NAME?</v>
      </c>
      <c r="P17" s="183" t="e">
        <f ca="1"/>
        <v>#NAME?</v>
      </c>
      <c r="Q17" s="7" t="e">
        <f ca="1"/>
        <v>#NAME?</v>
      </c>
      <c r="R17" s="7" t="e">
        <f ca="1"/>
        <v>#NAME?</v>
      </c>
      <c r="S17" s="43" t="e">
        <f ca="1"/>
        <v>#NAME?</v>
      </c>
      <c r="U17" s="183" t="e">
        <f ca="1"/>
        <v>#NAME?</v>
      </c>
      <c r="V17" s="7" t="e">
        <f ca="1"/>
        <v>#NAME?</v>
      </c>
      <c r="W17" s="7" t="e">
        <f ca="1"/>
        <v>#NAME?</v>
      </c>
      <c r="X17" s="43" t="e">
        <f ca="1"/>
        <v>#NAME?</v>
      </c>
      <c r="Z17" s="183" t="e">
        <f ca="1"/>
        <v>#NAME?</v>
      </c>
      <c r="AA17" s="7" t="e">
        <f ca="1"/>
        <v>#NAME?</v>
      </c>
      <c r="AB17" s="7" t="e">
        <f ca="1"/>
        <v>#NAME?</v>
      </c>
      <c r="AC17" s="43" t="e">
        <f ca="1"/>
        <v>#NAME?</v>
      </c>
      <c r="AE17" s="183" t="e">
        <f ca="1"/>
        <v>#NAME?</v>
      </c>
      <c r="AF17" s="7" t="e">
        <f ca="1"/>
        <v>#NAME?</v>
      </c>
      <c r="AG17" s="7" t="e">
        <f ca="1"/>
        <v>#NAME?</v>
      </c>
      <c r="AH17" s="43" t="e">
        <f ca="1"/>
        <v>#NAME?</v>
      </c>
      <c r="AJ17" s="183" t="e">
        <f ca="1"/>
        <v>#NAME?</v>
      </c>
      <c r="AK17" s="7" t="e">
        <f ca="1"/>
        <v>#NAME?</v>
      </c>
      <c r="AL17" s="7" t="e">
        <f ca="1"/>
        <v>#NAME?</v>
      </c>
      <c r="AM17" s="43" t="e">
        <f ca="1"/>
        <v>#NAME?</v>
      </c>
      <c r="AO17" s="183" t="e">
        <f ca="1"/>
        <v>#NAME?</v>
      </c>
      <c r="AP17" s="7" t="e">
        <f ca="1"/>
        <v>#NAME?</v>
      </c>
      <c r="AQ17" s="7" t="e">
        <f ca="1"/>
        <v>#NAME?</v>
      </c>
      <c r="AR17" s="43" t="e">
        <f ca="1"/>
        <v>#NAME?</v>
      </c>
      <c r="AT17" s="183" t="e">
        <f ca="1"/>
        <v>#NAME?</v>
      </c>
      <c r="AU17" s="7" t="e">
        <f ca="1"/>
        <v>#NAME?</v>
      </c>
      <c r="AV17" s="7" t="e">
        <f ca="1"/>
        <v>#NAME?</v>
      </c>
      <c r="AW17" s="43" t="e">
        <f ca="1"/>
        <v>#NAME?</v>
      </c>
    </row>
    <row r="18" spans="1:49" x14ac:dyDescent="0.25">
      <c r="A18" s="183" t="e">
        <f ca="1"/>
        <v>#NAME?</v>
      </c>
      <c r="B18" s="7" t="e">
        <f ca="1"/>
        <v>#NAME?</v>
      </c>
      <c r="C18" s="7" t="e">
        <f ca="1"/>
        <v>#NAME?</v>
      </c>
      <c r="D18" s="43" t="e">
        <f ca="1"/>
        <v>#NAME?</v>
      </c>
      <c r="F18" s="183" t="e">
        <f ca="1"/>
        <v>#NAME?</v>
      </c>
      <c r="G18" s="7" t="e">
        <f ca="1"/>
        <v>#NAME?</v>
      </c>
      <c r="H18" s="7" t="e">
        <f ca="1"/>
        <v>#NAME?</v>
      </c>
      <c r="I18" s="43" t="e">
        <f ca="1"/>
        <v>#NAME?</v>
      </c>
      <c r="K18" s="183" t="e">
        <f ca="1"/>
        <v>#NAME?</v>
      </c>
      <c r="L18" s="7" t="e">
        <f ca="1"/>
        <v>#NAME?</v>
      </c>
      <c r="M18" s="7" t="e">
        <f ca="1"/>
        <v>#NAME?</v>
      </c>
      <c r="N18" s="43" t="e">
        <f ca="1"/>
        <v>#NAME?</v>
      </c>
      <c r="P18" s="183" t="e">
        <f ca="1"/>
        <v>#NAME?</v>
      </c>
      <c r="Q18" s="7" t="e">
        <f ca="1"/>
        <v>#NAME?</v>
      </c>
      <c r="R18" s="7" t="e">
        <f ca="1"/>
        <v>#NAME?</v>
      </c>
      <c r="S18" s="43" t="e">
        <f ca="1"/>
        <v>#NAME?</v>
      </c>
      <c r="U18" s="183" t="e">
        <f ca="1"/>
        <v>#NAME?</v>
      </c>
      <c r="V18" s="7" t="e">
        <f ca="1"/>
        <v>#NAME?</v>
      </c>
      <c r="W18" s="7" t="e">
        <f ca="1"/>
        <v>#NAME?</v>
      </c>
      <c r="X18" s="43" t="e">
        <f ca="1"/>
        <v>#NAME?</v>
      </c>
      <c r="Z18" s="183" t="e">
        <f ca="1"/>
        <v>#NAME?</v>
      </c>
      <c r="AA18" s="7" t="e">
        <f ca="1"/>
        <v>#NAME?</v>
      </c>
      <c r="AB18" s="7" t="e">
        <f ca="1"/>
        <v>#NAME?</v>
      </c>
      <c r="AC18" s="43" t="e">
        <f ca="1"/>
        <v>#NAME?</v>
      </c>
      <c r="AE18" s="183" t="e">
        <f ca="1"/>
        <v>#NAME?</v>
      </c>
      <c r="AF18" s="7" t="e">
        <f ca="1"/>
        <v>#NAME?</v>
      </c>
      <c r="AG18" s="7" t="e">
        <f ca="1"/>
        <v>#NAME?</v>
      </c>
      <c r="AH18" s="43" t="e">
        <f ca="1"/>
        <v>#NAME?</v>
      </c>
      <c r="AJ18" s="183" t="e">
        <f ca="1"/>
        <v>#NAME?</v>
      </c>
      <c r="AK18" s="7" t="e">
        <f ca="1"/>
        <v>#NAME?</v>
      </c>
      <c r="AL18" s="7" t="e">
        <f ca="1"/>
        <v>#NAME?</v>
      </c>
      <c r="AM18" s="43" t="e">
        <f ca="1"/>
        <v>#NAME?</v>
      </c>
      <c r="AO18" s="183" t="e">
        <f ca="1"/>
        <v>#NAME?</v>
      </c>
      <c r="AP18" s="7" t="e">
        <f ca="1"/>
        <v>#NAME?</v>
      </c>
      <c r="AQ18" s="7" t="e">
        <f ca="1"/>
        <v>#NAME?</v>
      </c>
      <c r="AR18" s="43" t="e">
        <f ca="1"/>
        <v>#NAME?</v>
      </c>
      <c r="AT18" s="183" t="e">
        <f ca="1"/>
        <v>#NAME?</v>
      </c>
      <c r="AU18" s="7" t="e">
        <f ca="1"/>
        <v>#NAME?</v>
      </c>
      <c r="AV18" s="7" t="e">
        <f ca="1"/>
        <v>#NAME?</v>
      </c>
      <c r="AW18" s="43" t="e">
        <f ca="1"/>
        <v>#NAME?</v>
      </c>
    </row>
    <row r="19" spans="1:49" x14ac:dyDescent="0.25">
      <c r="A19" s="183" t="e">
        <f ca="1"/>
        <v>#NAME?</v>
      </c>
      <c r="B19" s="7" t="e">
        <f ca="1"/>
        <v>#NAME?</v>
      </c>
      <c r="C19" s="7" t="e">
        <f ca="1"/>
        <v>#NAME?</v>
      </c>
      <c r="D19" s="43" t="e">
        <f ca="1"/>
        <v>#NAME?</v>
      </c>
      <c r="F19" s="183" t="e">
        <f ca="1"/>
        <v>#NAME?</v>
      </c>
      <c r="G19" s="7" t="e">
        <f ca="1"/>
        <v>#NAME?</v>
      </c>
      <c r="H19" s="7" t="e">
        <f ca="1"/>
        <v>#NAME?</v>
      </c>
      <c r="I19" s="43" t="e">
        <f ca="1"/>
        <v>#NAME?</v>
      </c>
      <c r="K19" s="183" t="e">
        <f ca="1"/>
        <v>#NAME?</v>
      </c>
      <c r="L19" s="7" t="e">
        <f ca="1"/>
        <v>#NAME?</v>
      </c>
      <c r="M19" s="7" t="e">
        <f ca="1"/>
        <v>#NAME?</v>
      </c>
      <c r="N19" s="43" t="e">
        <f ca="1"/>
        <v>#NAME?</v>
      </c>
      <c r="P19" s="183" t="e">
        <f ca="1"/>
        <v>#NAME?</v>
      </c>
      <c r="Q19" s="7" t="e">
        <f ca="1"/>
        <v>#NAME?</v>
      </c>
      <c r="R19" s="7" t="e">
        <f ca="1"/>
        <v>#NAME?</v>
      </c>
      <c r="S19" s="43" t="e">
        <f ca="1"/>
        <v>#NAME?</v>
      </c>
      <c r="U19" s="183" t="e">
        <f ca="1"/>
        <v>#NAME?</v>
      </c>
      <c r="V19" s="7" t="e">
        <f ca="1"/>
        <v>#NAME?</v>
      </c>
      <c r="W19" s="7" t="e">
        <f ca="1"/>
        <v>#NAME?</v>
      </c>
      <c r="X19" s="43" t="e">
        <f ca="1"/>
        <v>#NAME?</v>
      </c>
      <c r="Z19" s="183" t="e">
        <f ca="1"/>
        <v>#NAME?</v>
      </c>
      <c r="AA19" s="7" t="e">
        <f ca="1"/>
        <v>#NAME?</v>
      </c>
      <c r="AB19" s="7" t="e">
        <f ca="1"/>
        <v>#NAME?</v>
      </c>
      <c r="AC19" s="43" t="e">
        <f ca="1"/>
        <v>#NAME?</v>
      </c>
      <c r="AE19" s="183" t="e">
        <f ca="1"/>
        <v>#NAME?</v>
      </c>
      <c r="AF19" s="7" t="e">
        <f ca="1"/>
        <v>#NAME?</v>
      </c>
      <c r="AG19" s="7" t="e">
        <f ca="1"/>
        <v>#NAME?</v>
      </c>
      <c r="AH19" s="43" t="e">
        <f ca="1"/>
        <v>#NAME?</v>
      </c>
      <c r="AJ19" s="183" t="e">
        <f ca="1"/>
        <v>#NAME?</v>
      </c>
      <c r="AK19" s="7" t="e">
        <f ca="1"/>
        <v>#NAME?</v>
      </c>
      <c r="AL19" s="7" t="e">
        <f ca="1"/>
        <v>#NAME?</v>
      </c>
      <c r="AM19" s="43" t="e">
        <f ca="1"/>
        <v>#NAME?</v>
      </c>
      <c r="AO19" s="183" t="e">
        <f ca="1"/>
        <v>#NAME?</v>
      </c>
      <c r="AP19" s="7" t="e">
        <f ca="1"/>
        <v>#NAME?</v>
      </c>
      <c r="AQ19" s="7" t="e">
        <f ca="1"/>
        <v>#NAME?</v>
      </c>
      <c r="AR19" s="43" t="e">
        <f ca="1"/>
        <v>#NAME?</v>
      </c>
      <c r="AT19" s="183" t="e">
        <f ca="1"/>
        <v>#NAME?</v>
      </c>
      <c r="AU19" s="7" t="e">
        <f ca="1"/>
        <v>#NAME?</v>
      </c>
      <c r="AV19" s="7" t="e">
        <f ca="1"/>
        <v>#NAME?</v>
      </c>
      <c r="AW19" s="43" t="e">
        <f ca="1"/>
        <v>#NAME?</v>
      </c>
    </row>
    <row r="20" spans="1:49" x14ac:dyDescent="0.25">
      <c r="A20" s="183" t="e">
        <f ca="1"/>
        <v>#NAME?</v>
      </c>
      <c r="B20" s="7" t="e">
        <f ca="1"/>
        <v>#NAME?</v>
      </c>
      <c r="C20" s="7" t="e">
        <f ca="1"/>
        <v>#NAME?</v>
      </c>
      <c r="D20" s="43" t="e">
        <f ca="1"/>
        <v>#NAME?</v>
      </c>
      <c r="F20" s="183" t="e">
        <f ca="1"/>
        <v>#NAME?</v>
      </c>
      <c r="G20" s="7" t="e">
        <f ca="1"/>
        <v>#NAME?</v>
      </c>
      <c r="H20" s="7" t="e">
        <f ca="1"/>
        <v>#NAME?</v>
      </c>
      <c r="I20" s="43" t="e">
        <f ca="1"/>
        <v>#NAME?</v>
      </c>
      <c r="K20" s="183" t="e">
        <f ca="1"/>
        <v>#NAME?</v>
      </c>
      <c r="L20" s="7" t="e">
        <f ca="1"/>
        <v>#NAME?</v>
      </c>
      <c r="M20" s="7" t="e">
        <f ca="1"/>
        <v>#NAME?</v>
      </c>
      <c r="N20" s="43" t="e">
        <f ca="1"/>
        <v>#NAME?</v>
      </c>
      <c r="P20" s="183" t="e">
        <f ca="1"/>
        <v>#NAME?</v>
      </c>
      <c r="Q20" s="7" t="e">
        <f ca="1"/>
        <v>#NAME?</v>
      </c>
      <c r="R20" s="7" t="e">
        <f ca="1"/>
        <v>#NAME?</v>
      </c>
      <c r="S20" s="43" t="e">
        <f ca="1"/>
        <v>#NAME?</v>
      </c>
      <c r="U20" s="183" t="e">
        <f ca="1"/>
        <v>#NAME?</v>
      </c>
      <c r="V20" s="7" t="e">
        <f ca="1"/>
        <v>#NAME?</v>
      </c>
      <c r="W20" s="7" t="e">
        <f ca="1"/>
        <v>#NAME?</v>
      </c>
      <c r="X20" s="43" t="e">
        <f ca="1"/>
        <v>#NAME?</v>
      </c>
      <c r="Z20" s="183" t="e">
        <f ca="1"/>
        <v>#NAME?</v>
      </c>
      <c r="AA20" s="7" t="e">
        <f ca="1"/>
        <v>#NAME?</v>
      </c>
      <c r="AB20" s="7" t="e">
        <f ca="1"/>
        <v>#NAME?</v>
      </c>
      <c r="AC20" s="43" t="e">
        <f ca="1"/>
        <v>#NAME?</v>
      </c>
      <c r="AE20" s="183" t="e">
        <f ca="1"/>
        <v>#NAME?</v>
      </c>
      <c r="AF20" s="7" t="e">
        <f ca="1"/>
        <v>#NAME?</v>
      </c>
      <c r="AG20" s="7" t="e">
        <f ca="1"/>
        <v>#NAME?</v>
      </c>
      <c r="AH20" s="43" t="e">
        <f ca="1"/>
        <v>#NAME?</v>
      </c>
      <c r="AJ20" s="183" t="e">
        <f ca="1"/>
        <v>#NAME?</v>
      </c>
      <c r="AK20" s="7" t="e">
        <f ca="1"/>
        <v>#NAME?</v>
      </c>
      <c r="AL20" s="7" t="e">
        <f ca="1"/>
        <v>#NAME?</v>
      </c>
      <c r="AM20" s="43" t="e">
        <f ca="1"/>
        <v>#NAME?</v>
      </c>
      <c r="AO20" s="183" t="e">
        <f ca="1"/>
        <v>#NAME?</v>
      </c>
      <c r="AP20" s="7" t="e">
        <f ca="1"/>
        <v>#NAME?</v>
      </c>
      <c r="AQ20" s="7" t="e">
        <f ca="1"/>
        <v>#NAME?</v>
      </c>
      <c r="AR20" s="43" t="e">
        <f ca="1"/>
        <v>#NAME?</v>
      </c>
      <c r="AT20" s="183" t="e">
        <f ca="1"/>
        <v>#NAME?</v>
      </c>
      <c r="AU20" s="7" t="e">
        <f ca="1"/>
        <v>#NAME?</v>
      </c>
      <c r="AV20" s="7" t="e">
        <f ca="1"/>
        <v>#NAME?</v>
      </c>
      <c r="AW20" s="43" t="e">
        <f ca="1"/>
        <v>#NAME?</v>
      </c>
    </row>
    <row r="21" spans="1:49" x14ac:dyDescent="0.25">
      <c r="A21" s="183" t="e">
        <f ca="1"/>
        <v>#NAME?</v>
      </c>
      <c r="B21" s="7" t="e">
        <f ca="1"/>
        <v>#NAME?</v>
      </c>
      <c r="C21" s="7" t="e">
        <f ca="1"/>
        <v>#NAME?</v>
      </c>
      <c r="D21" s="43" t="e">
        <f ca="1"/>
        <v>#NAME?</v>
      </c>
      <c r="F21" s="183" t="e">
        <f ca="1"/>
        <v>#NAME?</v>
      </c>
      <c r="G21" s="7" t="e">
        <f ca="1"/>
        <v>#NAME?</v>
      </c>
      <c r="H21" s="7" t="e">
        <f ca="1"/>
        <v>#NAME?</v>
      </c>
      <c r="I21" s="43" t="e">
        <f ca="1"/>
        <v>#NAME?</v>
      </c>
      <c r="K21" s="183" t="e">
        <f ca="1"/>
        <v>#NAME?</v>
      </c>
      <c r="L21" s="7" t="e">
        <f ca="1"/>
        <v>#NAME?</v>
      </c>
      <c r="M21" s="7" t="e">
        <f ca="1"/>
        <v>#NAME?</v>
      </c>
      <c r="N21" s="43" t="e">
        <f ca="1"/>
        <v>#NAME?</v>
      </c>
      <c r="P21" s="183" t="e">
        <f ca="1"/>
        <v>#NAME?</v>
      </c>
      <c r="Q21" s="7" t="e">
        <f ca="1"/>
        <v>#NAME?</v>
      </c>
      <c r="R21" s="7" t="e">
        <f ca="1"/>
        <v>#NAME?</v>
      </c>
      <c r="S21" s="43" t="e">
        <f ca="1"/>
        <v>#NAME?</v>
      </c>
      <c r="U21" s="183" t="e">
        <f ca="1"/>
        <v>#NAME?</v>
      </c>
      <c r="V21" s="7" t="e">
        <f ca="1"/>
        <v>#NAME?</v>
      </c>
      <c r="W21" s="7" t="e">
        <f ca="1"/>
        <v>#NAME?</v>
      </c>
      <c r="X21" s="43" t="e">
        <f ca="1"/>
        <v>#NAME?</v>
      </c>
      <c r="Z21" s="183" t="e">
        <f ca="1"/>
        <v>#NAME?</v>
      </c>
      <c r="AA21" s="7" t="e">
        <f ca="1"/>
        <v>#NAME?</v>
      </c>
      <c r="AB21" s="7" t="e">
        <f ca="1"/>
        <v>#NAME?</v>
      </c>
      <c r="AC21" s="43" t="e">
        <f ca="1"/>
        <v>#NAME?</v>
      </c>
      <c r="AE21" s="183" t="e">
        <f ca="1"/>
        <v>#NAME?</v>
      </c>
      <c r="AF21" s="7" t="e">
        <f ca="1"/>
        <v>#NAME?</v>
      </c>
      <c r="AG21" s="7" t="e">
        <f ca="1"/>
        <v>#NAME?</v>
      </c>
      <c r="AH21" s="43" t="e">
        <f ca="1"/>
        <v>#NAME?</v>
      </c>
      <c r="AJ21" s="183" t="e">
        <f ca="1"/>
        <v>#NAME?</v>
      </c>
      <c r="AK21" s="7" t="e">
        <f ca="1"/>
        <v>#NAME?</v>
      </c>
      <c r="AL21" s="7" t="e">
        <f ca="1"/>
        <v>#NAME?</v>
      </c>
      <c r="AM21" s="43" t="e">
        <f ca="1"/>
        <v>#NAME?</v>
      </c>
      <c r="AO21" s="183" t="e">
        <f ca="1"/>
        <v>#NAME?</v>
      </c>
      <c r="AP21" s="7" t="e">
        <f ca="1"/>
        <v>#NAME?</v>
      </c>
      <c r="AQ21" s="7" t="e">
        <f ca="1"/>
        <v>#NAME?</v>
      </c>
      <c r="AR21" s="43" t="e">
        <f ca="1"/>
        <v>#NAME?</v>
      </c>
      <c r="AT21" s="183" t="e">
        <f ca="1"/>
        <v>#NAME?</v>
      </c>
      <c r="AU21" s="7" t="e">
        <f ca="1"/>
        <v>#NAME?</v>
      </c>
      <c r="AV21" s="7" t="e">
        <f ca="1"/>
        <v>#NAME?</v>
      </c>
      <c r="AW21" s="43" t="e">
        <f ca="1"/>
        <v>#NAME?</v>
      </c>
    </row>
    <row r="22" spans="1:49" x14ac:dyDescent="0.25">
      <c r="A22" s="183" t="e">
        <f ca="1"/>
        <v>#NAME?</v>
      </c>
      <c r="B22" s="7" t="e">
        <f ca="1"/>
        <v>#NAME?</v>
      </c>
      <c r="C22" s="7" t="e">
        <f ca="1"/>
        <v>#NAME?</v>
      </c>
      <c r="D22" s="43" t="e">
        <f ca="1"/>
        <v>#NAME?</v>
      </c>
      <c r="F22" s="183" t="e">
        <f ca="1"/>
        <v>#NAME?</v>
      </c>
      <c r="G22" s="7" t="e">
        <f ca="1"/>
        <v>#NAME?</v>
      </c>
      <c r="H22" s="7" t="e">
        <f ca="1"/>
        <v>#NAME?</v>
      </c>
      <c r="I22" s="43" t="e">
        <f ca="1"/>
        <v>#NAME?</v>
      </c>
      <c r="K22" s="183" t="e">
        <f ca="1"/>
        <v>#NAME?</v>
      </c>
      <c r="L22" s="7" t="e">
        <f ca="1"/>
        <v>#NAME?</v>
      </c>
      <c r="M22" s="7" t="e">
        <f ca="1"/>
        <v>#NAME?</v>
      </c>
      <c r="N22" s="43" t="e">
        <f ca="1"/>
        <v>#NAME?</v>
      </c>
      <c r="P22" s="183" t="e">
        <f ca="1"/>
        <v>#NAME?</v>
      </c>
      <c r="Q22" s="7" t="e">
        <f ca="1"/>
        <v>#NAME?</v>
      </c>
      <c r="R22" s="7" t="e">
        <f ca="1"/>
        <v>#NAME?</v>
      </c>
      <c r="S22" s="43" t="e">
        <f ca="1"/>
        <v>#NAME?</v>
      </c>
      <c r="U22" s="183" t="e">
        <f ca="1"/>
        <v>#NAME?</v>
      </c>
      <c r="V22" s="7" t="e">
        <f ca="1"/>
        <v>#NAME?</v>
      </c>
      <c r="W22" s="7" t="e">
        <f ca="1"/>
        <v>#NAME?</v>
      </c>
      <c r="X22" s="43" t="e">
        <f ca="1"/>
        <v>#NAME?</v>
      </c>
      <c r="Z22" s="183" t="e">
        <f ca="1"/>
        <v>#NAME?</v>
      </c>
      <c r="AA22" s="7" t="e">
        <f ca="1"/>
        <v>#NAME?</v>
      </c>
      <c r="AB22" s="7" t="e">
        <f ca="1"/>
        <v>#NAME?</v>
      </c>
      <c r="AC22" s="43" t="e">
        <f ca="1"/>
        <v>#NAME?</v>
      </c>
      <c r="AE22" s="183" t="e">
        <f ca="1"/>
        <v>#NAME?</v>
      </c>
      <c r="AF22" s="7" t="e">
        <f ca="1"/>
        <v>#NAME?</v>
      </c>
      <c r="AG22" s="7" t="e">
        <f ca="1"/>
        <v>#NAME?</v>
      </c>
      <c r="AH22" s="43" t="e">
        <f ca="1"/>
        <v>#NAME?</v>
      </c>
      <c r="AJ22" s="183" t="e">
        <f ca="1"/>
        <v>#NAME?</v>
      </c>
      <c r="AK22" s="7" t="e">
        <f ca="1"/>
        <v>#NAME?</v>
      </c>
      <c r="AL22" s="7" t="e">
        <f ca="1"/>
        <v>#NAME?</v>
      </c>
      <c r="AM22" s="43" t="e">
        <f ca="1"/>
        <v>#NAME?</v>
      </c>
      <c r="AO22" s="183" t="e">
        <f ca="1"/>
        <v>#NAME?</v>
      </c>
      <c r="AP22" s="7" t="e">
        <f ca="1"/>
        <v>#NAME?</v>
      </c>
      <c r="AQ22" s="7" t="e">
        <f ca="1"/>
        <v>#NAME?</v>
      </c>
      <c r="AR22" s="43" t="e">
        <f ca="1"/>
        <v>#NAME?</v>
      </c>
      <c r="AT22" s="183" t="e">
        <f ca="1"/>
        <v>#NAME?</v>
      </c>
      <c r="AU22" s="7" t="e">
        <f ca="1"/>
        <v>#NAME?</v>
      </c>
      <c r="AV22" s="7" t="e">
        <f ca="1"/>
        <v>#NAME?</v>
      </c>
      <c r="AW22" s="43" t="e">
        <f ca="1"/>
        <v>#NAME?</v>
      </c>
    </row>
    <row r="23" spans="1:49" x14ac:dyDescent="0.25">
      <c r="A23" s="351" t="e">
        <f ca="1"/>
        <v>#NAME?</v>
      </c>
      <c r="B23" s="352" t="e">
        <f ca="1"/>
        <v>#NAME?</v>
      </c>
      <c r="C23" s="352" t="e">
        <f ca="1"/>
        <v>#NAME?</v>
      </c>
      <c r="D23" s="353" t="e">
        <f ca="1"/>
        <v>#NAME?</v>
      </c>
      <c r="F23" s="351" t="e">
        <f ca="1"/>
        <v>#NAME?</v>
      </c>
      <c r="G23" s="352" t="e">
        <f ca="1"/>
        <v>#NAME?</v>
      </c>
      <c r="H23" s="352" t="e">
        <f ca="1"/>
        <v>#NAME?</v>
      </c>
      <c r="I23" s="353" t="e">
        <f ca="1"/>
        <v>#NAME?</v>
      </c>
      <c r="K23" s="351" t="e">
        <f ca="1"/>
        <v>#NAME?</v>
      </c>
      <c r="L23" s="352" t="e">
        <f ca="1"/>
        <v>#NAME?</v>
      </c>
      <c r="M23" s="352" t="e">
        <f ca="1"/>
        <v>#NAME?</v>
      </c>
      <c r="N23" s="353" t="e">
        <f ca="1"/>
        <v>#NAME?</v>
      </c>
      <c r="P23" s="351" t="e">
        <f ca="1"/>
        <v>#NAME?</v>
      </c>
      <c r="Q23" s="352" t="e">
        <f ca="1"/>
        <v>#NAME?</v>
      </c>
      <c r="R23" s="352" t="e">
        <f ca="1"/>
        <v>#NAME?</v>
      </c>
      <c r="S23" s="353" t="e">
        <f ca="1"/>
        <v>#NAME?</v>
      </c>
      <c r="U23" s="351" t="e">
        <f ca="1"/>
        <v>#NAME?</v>
      </c>
      <c r="V23" s="352" t="e">
        <f ca="1"/>
        <v>#NAME?</v>
      </c>
      <c r="W23" s="352" t="e">
        <f ca="1"/>
        <v>#NAME?</v>
      </c>
      <c r="X23" s="353" t="e">
        <f ca="1"/>
        <v>#NAME?</v>
      </c>
      <c r="Z23" s="351" t="e">
        <f ca="1"/>
        <v>#NAME?</v>
      </c>
      <c r="AA23" s="352" t="e">
        <f ca="1"/>
        <v>#NAME?</v>
      </c>
      <c r="AB23" s="352" t="e">
        <f ca="1"/>
        <v>#NAME?</v>
      </c>
      <c r="AC23" s="353" t="e">
        <f ca="1"/>
        <v>#NAME?</v>
      </c>
      <c r="AE23" s="351" t="e">
        <f ca="1"/>
        <v>#NAME?</v>
      </c>
      <c r="AF23" s="352" t="e">
        <f ca="1"/>
        <v>#NAME?</v>
      </c>
      <c r="AG23" s="352" t="e">
        <f ca="1"/>
        <v>#NAME?</v>
      </c>
      <c r="AH23" s="353" t="e">
        <f ca="1"/>
        <v>#NAME?</v>
      </c>
      <c r="AJ23" s="351" t="e">
        <f ca="1"/>
        <v>#NAME?</v>
      </c>
      <c r="AK23" s="352" t="e">
        <f ca="1"/>
        <v>#NAME?</v>
      </c>
      <c r="AL23" s="352" t="e">
        <f ca="1"/>
        <v>#NAME?</v>
      </c>
      <c r="AM23" s="353" t="e">
        <f ca="1"/>
        <v>#NAME?</v>
      </c>
      <c r="AO23" s="351" t="e">
        <f ca="1"/>
        <v>#NAME?</v>
      </c>
      <c r="AP23" s="352" t="e">
        <f ca="1"/>
        <v>#NAME?</v>
      </c>
      <c r="AQ23" s="352" t="e">
        <f ca="1"/>
        <v>#NAME?</v>
      </c>
      <c r="AR23" s="353" t="e">
        <f ca="1"/>
        <v>#NAME?</v>
      </c>
      <c r="AT23" s="351" t="e">
        <f ca="1"/>
        <v>#NAME?</v>
      </c>
      <c r="AU23" s="352" t="e">
        <f ca="1"/>
        <v>#NAME?</v>
      </c>
      <c r="AV23" s="352" t="e">
        <f ca="1"/>
        <v>#NAME?</v>
      </c>
      <c r="AW23" s="353" t="e">
        <f ca="1"/>
        <v>#NAME?</v>
      </c>
    </row>
    <row r="25" spans="1:49" x14ac:dyDescent="0.25">
      <c r="A25" s="414" t="e">
        <f t="array" aca="1" ref="A25:D29" ca="1">MISummary(A4:D23)</f>
        <v>#NAME?</v>
      </c>
      <c r="B25" s="358" t="e">
        <f ca="1"/>
        <v>#NAME?</v>
      </c>
      <c r="C25" s="358" t="e">
        <f ca="1"/>
        <v>#NAME?</v>
      </c>
      <c r="D25" s="415" t="e">
        <f ca="1"/>
        <v>#NAME?</v>
      </c>
      <c r="F25" s="414" t="e">
        <f t="array" aca="1" ref="F25:I29" ca="1">MISummary(F4:I23)</f>
        <v>#NAME?</v>
      </c>
      <c r="G25" s="358" t="e">
        <f ca="1"/>
        <v>#NAME?</v>
      </c>
      <c r="H25" s="358" t="e">
        <f ca="1"/>
        <v>#NAME?</v>
      </c>
      <c r="I25" s="415" t="e">
        <f ca="1"/>
        <v>#NAME?</v>
      </c>
      <c r="K25" s="414" t="e">
        <f t="array" aca="1" ref="K25:N29" ca="1">MISummary(K4:N23)</f>
        <v>#NAME?</v>
      </c>
      <c r="L25" s="358" t="e">
        <f ca="1"/>
        <v>#NAME?</v>
      </c>
      <c r="M25" s="358" t="e">
        <f ca="1"/>
        <v>#NAME?</v>
      </c>
      <c r="N25" s="415" t="e">
        <f ca="1"/>
        <v>#NAME?</v>
      </c>
      <c r="P25" s="414" t="e">
        <f t="array" aca="1" ref="P25:S29" ca="1">MISummary(P4:S23)</f>
        <v>#NAME?</v>
      </c>
      <c r="Q25" s="358" t="e">
        <f ca="1"/>
        <v>#NAME?</v>
      </c>
      <c r="R25" s="358" t="e">
        <f ca="1"/>
        <v>#NAME?</v>
      </c>
      <c r="S25" s="415" t="e">
        <f ca="1"/>
        <v>#NAME?</v>
      </c>
      <c r="U25" s="414" t="e">
        <f t="array" aca="1" ref="U25:X29" ca="1">MISummary(U4:X23)</f>
        <v>#NAME?</v>
      </c>
      <c r="V25" s="358" t="e">
        <f ca="1"/>
        <v>#NAME?</v>
      </c>
      <c r="W25" s="358" t="e">
        <f ca="1"/>
        <v>#NAME?</v>
      </c>
      <c r="X25" s="415" t="e">
        <f ca="1"/>
        <v>#NAME?</v>
      </c>
      <c r="Z25" s="414" t="e">
        <f t="array" aca="1" ref="Z25:AC29" ca="1">MISummary(Z4:AC23)</f>
        <v>#NAME?</v>
      </c>
      <c r="AA25" s="358" t="e">
        <f ca="1"/>
        <v>#NAME?</v>
      </c>
      <c r="AB25" s="358" t="e">
        <f ca="1"/>
        <v>#NAME?</v>
      </c>
      <c r="AC25" s="415" t="e">
        <f ca="1"/>
        <v>#NAME?</v>
      </c>
      <c r="AE25" s="414" t="e">
        <f t="array" aca="1" ref="AE25:AH29" ca="1">MISummary(AE4:AH23)</f>
        <v>#NAME?</v>
      </c>
      <c r="AF25" s="358" t="e">
        <f ca="1"/>
        <v>#NAME?</v>
      </c>
      <c r="AG25" s="358" t="e">
        <f ca="1"/>
        <v>#NAME?</v>
      </c>
      <c r="AH25" s="415" t="e">
        <f ca="1"/>
        <v>#NAME?</v>
      </c>
      <c r="AJ25" s="414" t="e">
        <f t="array" aca="1" ref="AJ25:AM29" ca="1">MISummary(AJ4:AM23)</f>
        <v>#NAME?</v>
      </c>
      <c r="AK25" s="358" t="e">
        <f ca="1"/>
        <v>#NAME?</v>
      </c>
      <c r="AL25" s="358" t="e">
        <f ca="1"/>
        <v>#NAME?</v>
      </c>
      <c r="AM25" s="415" t="e">
        <f ca="1"/>
        <v>#NAME?</v>
      </c>
      <c r="AO25" s="414" t="e">
        <f t="array" aca="1" ref="AO25:AR29" ca="1">MISummary(AO4:AR23)</f>
        <v>#NAME?</v>
      </c>
      <c r="AP25" s="358" t="e">
        <f ca="1"/>
        <v>#NAME?</v>
      </c>
      <c r="AQ25" s="358" t="e">
        <f ca="1"/>
        <v>#NAME?</v>
      </c>
      <c r="AR25" s="415" t="e">
        <f ca="1"/>
        <v>#NAME?</v>
      </c>
      <c r="AT25" s="414" t="e">
        <f t="array" aca="1" ref="AT25:AW29" ca="1">MISummary(AT4:AW23)</f>
        <v>#NAME?</v>
      </c>
      <c r="AU25" s="358" t="e">
        <f ca="1"/>
        <v>#NAME?</v>
      </c>
      <c r="AV25" s="358" t="e">
        <f ca="1"/>
        <v>#NAME?</v>
      </c>
      <c r="AW25" s="415" t="e">
        <f ca="1"/>
        <v>#NAME?</v>
      </c>
    </row>
    <row r="26" spans="1:49" x14ac:dyDescent="0.25">
      <c r="A26" s="183" t="e">
        <f ca="1"/>
        <v>#NAME?</v>
      </c>
      <c r="B26" s="7" t="e">
        <f ca="1"/>
        <v>#NAME?</v>
      </c>
      <c r="C26" s="7" t="e">
        <f ca="1"/>
        <v>#NAME?</v>
      </c>
      <c r="D26" s="43" t="e">
        <f ca="1"/>
        <v>#NAME?</v>
      </c>
      <c r="F26" s="183" t="e">
        <f ca="1"/>
        <v>#NAME?</v>
      </c>
      <c r="G26" s="7" t="e">
        <f ca="1"/>
        <v>#NAME?</v>
      </c>
      <c r="H26" s="7" t="e">
        <f ca="1"/>
        <v>#NAME?</v>
      </c>
      <c r="I26" s="43" t="e">
        <f ca="1"/>
        <v>#NAME?</v>
      </c>
      <c r="K26" s="183" t="e">
        <f ca="1"/>
        <v>#NAME?</v>
      </c>
      <c r="L26" s="7" t="e">
        <f ca="1"/>
        <v>#NAME?</v>
      </c>
      <c r="M26" s="7" t="e">
        <f ca="1"/>
        <v>#NAME?</v>
      </c>
      <c r="N26" s="43" t="e">
        <f ca="1"/>
        <v>#NAME?</v>
      </c>
      <c r="P26" s="183" t="e">
        <f ca="1"/>
        <v>#NAME?</v>
      </c>
      <c r="Q26" s="7" t="e">
        <f ca="1"/>
        <v>#NAME?</v>
      </c>
      <c r="R26" s="7" t="e">
        <f ca="1"/>
        <v>#NAME?</v>
      </c>
      <c r="S26" s="43" t="e">
        <f ca="1"/>
        <v>#NAME?</v>
      </c>
      <c r="U26" s="183" t="e">
        <f ca="1"/>
        <v>#NAME?</v>
      </c>
      <c r="V26" s="7" t="e">
        <f ca="1"/>
        <v>#NAME?</v>
      </c>
      <c r="W26" s="7" t="e">
        <f ca="1"/>
        <v>#NAME?</v>
      </c>
      <c r="X26" s="43" t="e">
        <f ca="1"/>
        <v>#NAME?</v>
      </c>
      <c r="Z26" s="183" t="e">
        <f ca="1"/>
        <v>#NAME?</v>
      </c>
      <c r="AA26" s="7" t="e">
        <f ca="1"/>
        <v>#NAME?</v>
      </c>
      <c r="AB26" s="7" t="e">
        <f ca="1"/>
        <v>#NAME?</v>
      </c>
      <c r="AC26" s="43" t="e">
        <f ca="1"/>
        <v>#NAME?</v>
      </c>
      <c r="AE26" s="183" t="e">
        <f ca="1"/>
        <v>#NAME?</v>
      </c>
      <c r="AF26" s="7" t="e">
        <f ca="1"/>
        <v>#NAME?</v>
      </c>
      <c r="AG26" s="7" t="e">
        <f ca="1"/>
        <v>#NAME?</v>
      </c>
      <c r="AH26" s="43" t="e">
        <f ca="1"/>
        <v>#NAME?</v>
      </c>
      <c r="AJ26" s="183" t="e">
        <f ca="1"/>
        <v>#NAME?</v>
      </c>
      <c r="AK26" s="7" t="e">
        <f ca="1"/>
        <v>#NAME?</v>
      </c>
      <c r="AL26" s="7" t="e">
        <f ca="1"/>
        <v>#NAME?</v>
      </c>
      <c r="AM26" s="43" t="e">
        <f ca="1"/>
        <v>#NAME?</v>
      </c>
      <c r="AO26" s="183" t="e">
        <f ca="1"/>
        <v>#NAME?</v>
      </c>
      <c r="AP26" s="7" t="e">
        <f ca="1"/>
        <v>#NAME?</v>
      </c>
      <c r="AQ26" s="7" t="e">
        <f ca="1"/>
        <v>#NAME?</v>
      </c>
      <c r="AR26" s="43" t="e">
        <f ca="1"/>
        <v>#NAME?</v>
      </c>
      <c r="AT26" s="183" t="e">
        <f ca="1"/>
        <v>#NAME?</v>
      </c>
      <c r="AU26" s="7" t="e">
        <f ca="1"/>
        <v>#NAME?</v>
      </c>
      <c r="AV26" s="7" t="e">
        <f ca="1"/>
        <v>#NAME?</v>
      </c>
      <c r="AW26" s="43" t="e">
        <f ca="1"/>
        <v>#NAME?</v>
      </c>
    </row>
    <row r="27" spans="1:49" x14ac:dyDescent="0.25">
      <c r="A27" s="183" t="e">
        <f ca="1"/>
        <v>#NAME?</v>
      </c>
      <c r="B27" s="7" t="e">
        <f ca="1"/>
        <v>#NAME?</v>
      </c>
      <c r="C27" s="7" t="e">
        <f ca="1"/>
        <v>#NAME?</v>
      </c>
      <c r="D27" s="43" t="e">
        <f ca="1"/>
        <v>#NAME?</v>
      </c>
      <c r="F27" s="183" t="e">
        <f ca="1"/>
        <v>#NAME?</v>
      </c>
      <c r="G27" s="7" t="e">
        <f ca="1"/>
        <v>#NAME?</v>
      </c>
      <c r="H27" s="7" t="e">
        <f ca="1"/>
        <v>#NAME?</v>
      </c>
      <c r="I27" s="43" t="e">
        <f ca="1"/>
        <v>#NAME?</v>
      </c>
      <c r="K27" s="183" t="e">
        <f ca="1"/>
        <v>#NAME?</v>
      </c>
      <c r="L27" s="7" t="e">
        <f ca="1"/>
        <v>#NAME?</v>
      </c>
      <c r="M27" s="7" t="e">
        <f ca="1"/>
        <v>#NAME?</v>
      </c>
      <c r="N27" s="43" t="e">
        <f ca="1"/>
        <v>#NAME?</v>
      </c>
      <c r="P27" s="183" t="e">
        <f ca="1"/>
        <v>#NAME?</v>
      </c>
      <c r="Q27" s="7" t="e">
        <f ca="1"/>
        <v>#NAME?</v>
      </c>
      <c r="R27" s="7" t="e">
        <f ca="1"/>
        <v>#NAME?</v>
      </c>
      <c r="S27" s="43" t="e">
        <f ca="1"/>
        <v>#NAME?</v>
      </c>
      <c r="U27" s="183" t="e">
        <f ca="1"/>
        <v>#NAME?</v>
      </c>
      <c r="V27" s="7" t="e">
        <f ca="1"/>
        <v>#NAME?</v>
      </c>
      <c r="W27" s="7" t="e">
        <f ca="1"/>
        <v>#NAME?</v>
      </c>
      <c r="X27" s="43" t="e">
        <f ca="1"/>
        <v>#NAME?</v>
      </c>
      <c r="Z27" s="183" t="e">
        <f ca="1"/>
        <v>#NAME?</v>
      </c>
      <c r="AA27" s="7" t="e">
        <f ca="1"/>
        <v>#NAME?</v>
      </c>
      <c r="AB27" s="7" t="e">
        <f ca="1"/>
        <v>#NAME?</v>
      </c>
      <c r="AC27" s="43" t="e">
        <f ca="1"/>
        <v>#NAME?</v>
      </c>
      <c r="AE27" s="183" t="e">
        <f ca="1"/>
        <v>#NAME?</v>
      </c>
      <c r="AF27" s="7" t="e">
        <f ca="1"/>
        <v>#NAME?</v>
      </c>
      <c r="AG27" s="7" t="e">
        <f ca="1"/>
        <v>#NAME?</v>
      </c>
      <c r="AH27" s="43" t="e">
        <f ca="1"/>
        <v>#NAME?</v>
      </c>
      <c r="AJ27" s="183" t="e">
        <f ca="1"/>
        <v>#NAME?</v>
      </c>
      <c r="AK27" s="7" t="e">
        <f ca="1"/>
        <v>#NAME?</v>
      </c>
      <c r="AL27" s="7" t="e">
        <f ca="1"/>
        <v>#NAME?</v>
      </c>
      <c r="AM27" s="43" t="e">
        <f ca="1"/>
        <v>#NAME?</v>
      </c>
      <c r="AO27" s="183" t="e">
        <f ca="1"/>
        <v>#NAME?</v>
      </c>
      <c r="AP27" s="7" t="e">
        <f ca="1"/>
        <v>#NAME?</v>
      </c>
      <c r="AQ27" s="7" t="e">
        <f ca="1"/>
        <v>#NAME?</v>
      </c>
      <c r="AR27" s="43" t="e">
        <f ca="1"/>
        <v>#NAME?</v>
      </c>
      <c r="AT27" s="183" t="e">
        <f ca="1"/>
        <v>#NAME?</v>
      </c>
      <c r="AU27" s="7" t="e">
        <f ca="1"/>
        <v>#NAME?</v>
      </c>
      <c r="AV27" s="7" t="e">
        <f ca="1"/>
        <v>#NAME?</v>
      </c>
      <c r="AW27" s="43" t="e">
        <f ca="1"/>
        <v>#NAME?</v>
      </c>
    </row>
    <row r="28" spans="1:49" x14ac:dyDescent="0.25">
      <c r="A28" s="183" t="e">
        <f ca="1"/>
        <v>#NAME?</v>
      </c>
      <c r="B28" s="7" t="e">
        <f ca="1"/>
        <v>#NAME?</v>
      </c>
      <c r="C28" s="7" t="e">
        <f ca="1"/>
        <v>#NAME?</v>
      </c>
      <c r="D28" s="43" t="e">
        <f ca="1"/>
        <v>#NAME?</v>
      </c>
      <c r="F28" s="183" t="e">
        <f ca="1"/>
        <v>#NAME?</v>
      </c>
      <c r="G28" s="7" t="e">
        <f ca="1"/>
        <v>#NAME?</v>
      </c>
      <c r="H28" s="7" t="e">
        <f ca="1"/>
        <v>#NAME?</v>
      </c>
      <c r="I28" s="43" t="e">
        <f ca="1"/>
        <v>#NAME?</v>
      </c>
      <c r="K28" s="183" t="e">
        <f ca="1"/>
        <v>#NAME?</v>
      </c>
      <c r="L28" s="7" t="e">
        <f ca="1"/>
        <v>#NAME?</v>
      </c>
      <c r="M28" s="7" t="e">
        <f ca="1"/>
        <v>#NAME?</v>
      </c>
      <c r="N28" s="43" t="e">
        <f ca="1"/>
        <v>#NAME?</v>
      </c>
      <c r="P28" s="183" t="e">
        <f ca="1"/>
        <v>#NAME?</v>
      </c>
      <c r="Q28" s="7" t="e">
        <f ca="1"/>
        <v>#NAME?</v>
      </c>
      <c r="R28" s="7" t="e">
        <f ca="1"/>
        <v>#NAME?</v>
      </c>
      <c r="S28" s="43" t="e">
        <f ca="1"/>
        <v>#NAME?</v>
      </c>
      <c r="U28" s="183" t="e">
        <f ca="1"/>
        <v>#NAME?</v>
      </c>
      <c r="V28" s="7" t="e">
        <f ca="1"/>
        <v>#NAME?</v>
      </c>
      <c r="W28" s="7" t="e">
        <f ca="1"/>
        <v>#NAME?</v>
      </c>
      <c r="X28" s="43" t="e">
        <f ca="1"/>
        <v>#NAME?</v>
      </c>
      <c r="Z28" s="183" t="e">
        <f ca="1"/>
        <v>#NAME?</v>
      </c>
      <c r="AA28" s="7" t="e">
        <f ca="1"/>
        <v>#NAME?</v>
      </c>
      <c r="AB28" s="7" t="e">
        <f ca="1"/>
        <v>#NAME?</v>
      </c>
      <c r="AC28" s="43" t="e">
        <f ca="1"/>
        <v>#NAME?</v>
      </c>
      <c r="AE28" s="183" t="e">
        <f ca="1"/>
        <v>#NAME?</v>
      </c>
      <c r="AF28" s="7" t="e">
        <f ca="1"/>
        <v>#NAME?</v>
      </c>
      <c r="AG28" s="7" t="e">
        <f ca="1"/>
        <v>#NAME?</v>
      </c>
      <c r="AH28" s="43" t="e">
        <f ca="1"/>
        <v>#NAME?</v>
      </c>
      <c r="AJ28" s="183" t="e">
        <f ca="1"/>
        <v>#NAME?</v>
      </c>
      <c r="AK28" s="7" t="e">
        <f ca="1"/>
        <v>#NAME?</v>
      </c>
      <c r="AL28" s="7" t="e">
        <f ca="1"/>
        <v>#NAME?</v>
      </c>
      <c r="AM28" s="43" t="e">
        <f ca="1"/>
        <v>#NAME?</v>
      </c>
      <c r="AO28" s="183" t="e">
        <f ca="1"/>
        <v>#NAME?</v>
      </c>
      <c r="AP28" s="7" t="e">
        <f ca="1"/>
        <v>#NAME?</v>
      </c>
      <c r="AQ28" s="7" t="e">
        <f ca="1"/>
        <v>#NAME?</v>
      </c>
      <c r="AR28" s="43" t="e">
        <f ca="1"/>
        <v>#NAME?</v>
      </c>
      <c r="AT28" s="183" t="e">
        <f ca="1"/>
        <v>#NAME?</v>
      </c>
      <c r="AU28" s="7" t="e">
        <f ca="1"/>
        <v>#NAME?</v>
      </c>
      <c r="AV28" s="7" t="e">
        <f ca="1"/>
        <v>#NAME?</v>
      </c>
      <c r="AW28" s="43" t="e">
        <f ca="1"/>
        <v>#NAME?</v>
      </c>
    </row>
    <row r="29" spans="1:49" x14ac:dyDescent="0.25">
      <c r="A29" s="351" t="e">
        <f ca="1"/>
        <v>#NAME?</v>
      </c>
      <c r="B29" s="352" t="e">
        <f ca="1"/>
        <v>#NAME?</v>
      </c>
      <c r="C29" s="352" t="e">
        <f ca="1"/>
        <v>#NAME?</v>
      </c>
      <c r="D29" s="353" t="e">
        <f ca="1"/>
        <v>#NAME?</v>
      </c>
      <c r="F29" s="351" t="e">
        <f ca="1"/>
        <v>#NAME?</v>
      </c>
      <c r="G29" s="352" t="e">
        <f ca="1"/>
        <v>#NAME?</v>
      </c>
      <c r="H29" s="352" t="e">
        <f ca="1"/>
        <v>#NAME?</v>
      </c>
      <c r="I29" s="353" t="e">
        <f ca="1"/>
        <v>#NAME?</v>
      </c>
      <c r="K29" s="351" t="e">
        <f ca="1"/>
        <v>#NAME?</v>
      </c>
      <c r="L29" s="352" t="e">
        <f ca="1"/>
        <v>#NAME?</v>
      </c>
      <c r="M29" s="352" t="e">
        <f ca="1"/>
        <v>#NAME?</v>
      </c>
      <c r="N29" s="353" t="e">
        <f ca="1"/>
        <v>#NAME?</v>
      </c>
      <c r="P29" s="351" t="e">
        <f ca="1"/>
        <v>#NAME?</v>
      </c>
      <c r="Q29" s="352" t="e">
        <f ca="1"/>
        <v>#NAME?</v>
      </c>
      <c r="R29" s="352" t="e">
        <f ca="1"/>
        <v>#NAME?</v>
      </c>
      <c r="S29" s="353" t="e">
        <f ca="1"/>
        <v>#NAME?</v>
      </c>
      <c r="U29" s="351" t="e">
        <f ca="1"/>
        <v>#NAME?</v>
      </c>
      <c r="V29" s="352" t="e">
        <f ca="1"/>
        <v>#NAME?</v>
      </c>
      <c r="W29" s="352" t="e">
        <f ca="1"/>
        <v>#NAME?</v>
      </c>
      <c r="X29" s="353" t="e">
        <f ca="1"/>
        <v>#NAME?</v>
      </c>
      <c r="Z29" s="351" t="e">
        <f ca="1"/>
        <v>#NAME?</v>
      </c>
      <c r="AA29" s="352" t="e">
        <f ca="1"/>
        <v>#NAME?</v>
      </c>
      <c r="AB29" s="352" t="e">
        <f ca="1"/>
        <v>#NAME?</v>
      </c>
      <c r="AC29" s="353" t="e">
        <f ca="1"/>
        <v>#NAME?</v>
      </c>
      <c r="AE29" s="351" t="e">
        <f ca="1"/>
        <v>#NAME?</v>
      </c>
      <c r="AF29" s="352" t="e">
        <f ca="1"/>
        <v>#NAME?</v>
      </c>
      <c r="AG29" s="352" t="e">
        <f ca="1"/>
        <v>#NAME?</v>
      </c>
      <c r="AH29" s="353" t="e">
        <f ca="1"/>
        <v>#NAME?</v>
      </c>
      <c r="AJ29" s="351" t="e">
        <f ca="1"/>
        <v>#NAME?</v>
      </c>
      <c r="AK29" s="352" t="e">
        <f ca="1"/>
        <v>#NAME?</v>
      </c>
      <c r="AL29" s="352" t="e">
        <f ca="1"/>
        <v>#NAME?</v>
      </c>
      <c r="AM29" s="353" t="e">
        <f ca="1"/>
        <v>#NAME?</v>
      </c>
      <c r="AO29" s="351" t="e">
        <f ca="1"/>
        <v>#NAME?</v>
      </c>
      <c r="AP29" s="352" t="e">
        <f ca="1"/>
        <v>#NAME?</v>
      </c>
      <c r="AQ29" s="352" t="e">
        <f ca="1"/>
        <v>#NAME?</v>
      </c>
      <c r="AR29" s="353" t="e">
        <f ca="1"/>
        <v>#NAME?</v>
      </c>
      <c r="AT29" s="351" t="e">
        <f ca="1"/>
        <v>#NAME?</v>
      </c>
      <c r="AU29" s="352" t="e">
        <f ca="1"/>
        <v>#NAME?</v>
      </c>
      <c r="AV29" s="352" t="e">
        <f ca="1"/>
        <v>#NAME?</v>
      </c>
      <c r="AW29" s="353" t="e">
        <f ca="1"/>
        <v>#NAME?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K25"/>
  <sheetViews>
    <sheetView workbookViewId="0"/>
  </sheetViews>
  <sheetFormatPr defaultRowHeight="15" x14ac:dyDescent="0.25"/>
  <sheetData>
    <row r="1" spans="1:11" x14ac:dyDescent="0.25">
      <c r="A1" s="1" t="s">
        <v>1055</v>
      </c>
    </row>
    <row r="2" spans="1:11" x14ac:dyDescent="0.25">
      <c r="G2" t="s">
        <v>1056</v>
      </c>
    </row>
    <row r="3" spans="1:11" x14ac:dyDescent="0.25">
      <c r="A3" s="421" t="s">
        <v>1017</v>
      </c>
      <c r="B3" s="421" t="s">
        <v>1015</v>
      </c>
      <c r="C3" s="421" t="s">
        <v>997</v>
      </c>
      <c r="D3" s="421" t="s">
        <v>996</v>
      </c>
      <c r="E3" s="421" t="s">
        <v>1016</v>
      </c>
    </row>
    <row r="4" spans="1:11" x14ac:dyDescent="0.25">
      <c r="A4" s="421">
        <v>1</v>
      </c>
      <c r="B4" s="423">
        <v>12</v>
      </c>
      <c r="C4" s="429">
        <v>27</v>
      </c>
      <c r="D4" s="429">
        <v>19</v>
      </c>
      <c r="E4" s="424">
        <v>44</v>
      </c>
      <c r="G4" t="e">
        <f t="array" aca="1" ref="G4:K8" ca="1">MissingPairwise(B3:E23,TRUE)</f>
        <v>#NAME?</v>
      </c>
      <c r="H4" s="421" t="e">
        <f ca="1"/>
        <v>#NAME?</v>
      </c>
      <c r="I4" s="421" t="e">
        <f ca="1"/>
        <v>#NAME?</v>
      </c>
      <c r="J4" s="421" t="e">
        <f ca="1"/>
        <v>#NAME?</v>
      </c>
      <c r="K4" s="421" t="e">
        <f ca="1"/>
        <v>#NAME?</v>
      </c>
    </row>
    <row r="5" spans="1:11" x14ac:dyDescent="0.25">
      <c r="A5" s="421">
        <f>A4+1</f>
        <v>2</v>
      </c>
      <c r="B5" s="256">
        <v>11</v>
      </c>
      <c r="C5" s="20" t="s">
        <v>4</v>
      </c>
      <c r="D5" s="20">
        <v>13</v>
      </c>
      <c r="E5" s="269">
        <v>43</v>
      </c>
      <c r="G5" t="e">
        <f ca="1"/>
        <v>#NAME?</v>
      </c>
      <c r="H5" s="444" t="e">
        <f ca="1"/>
        <v>#NAME?</v>
      </c>
      <c r="I5" s="445" t="e">
        <f ca="1"/>
        <v>#NAME?</v>
      </c>
      <c r="J5" s="445" t="e">
        <f ca="1"/>
        <v>#NAME?</v>
      </c>
      <c r="K5" s="446" t="e">
        <f ca="1"/>
        <v>#NAME?</v>
      </c>
    </row>
    <row r="6" spans="1:11" x14ac:dyDescent="0.25">
      <c r="A6" s="421">
        <f t="shared" ref="A6:A23" si="0">A5+1</f>
        <v>3</v>
      </c>
      <c r="B6" s="256" t="s">
        <v>4</v>
      </c>
      <c r="C6" s="20">
        <v>56</v>
      </c>
      <c r="D6" s="20">
        <v>23</v>
      </c>
      <c r="E6" s="269">
        <v>60</v>
      </c>
      <c r="G6" t="e">
        <f ca="1"/>
        <v>#NAME?</v>
      </c>
      <c r="H6" s="447" t="e">
        <f ca="1"/>
        <v>#NAME?</v>
      </c>
      <c r="I6" s="448" t="e">
        <f ca="1"/>
        <v>#NAME?</v>
      </c>
      <c r="J6" s="448" t="e">
        <f ca="1"/>
        <v>#NAME?</v>
      </c>
      <c r="K6" s="449" t="e">
        <f ca="1"/>
        <v>#NAME?</v>
      </c>
    </row>
    <row r="7" spans="1:11" x14ac:dyDescent="0.25">
      <c r="A7" s="421">
        <f t="shared" si="0"/>
        <v>4</v>
      </c>
      <c r="B7" s="256">
        <v>15</v>
      </c>
      <c r="C7" s="20">
        <v>37</v>
      </c>
      <c r="D7" s="20">
        <v>19</v>
      </c>
      <c r="E7" s="269">
        <v>52</v>
      </c>
      <c r="G7" t="e">
        <f ca="1"/>
        <v>#NAME?</v>
      </c>
      <c r="H7" s="447" t="e">
        <f ca="1"/>
        <v>#NAME?</v>
      </c>
      <c r="I7" s="448" t="e">
        <f ca="1"/>
        <v>#NAME?</v>
      </c>
      <c r="J7" s="448" t="e">
        <f ca="1"/>
        <v>#NAME?</v>
      </c>
      <c r="K7" s="449" t="e">
        <f ca="1"/>
        <v>#NAME?</v>
      </c>
    </row>
    <row r="8" spans="1:11" x14ac:dyDescent="0.25">
      <c r="A8" s="421">
        <f t="shared" si="0"/>
        <v>5</v>
      </c>
      <c r="B8" s="256">
        <v>10</v>
      </c>
      <c r="C8" s="20">
        <v>31</v>
      </c>
      <c r="D8" s="20">
        <v>21</v>
      </c>
      <c r="E8" s="269" t="s">
        <v>4</v>
      </c>
      <c r="G8" t="e">
        <f ca="1"/>
        <v>#NAME?</v>
      </c>
      <c r="H8" s="430" t="e">
        <f ca="1"/>
        <v>#NAME?</v>
      </c>
      <c r="I8" s="431" t="e">
        <f ca="1"/>
        <v>#NAME?</v>
      </c>
      <c r="J8" s="431" t="e">
        <f ca="1"/>
        <v>#NAME?</v>
      </c>
      <c r="K8" s="432" t="e">
        <f ca="1"/>
        <v>#NAME?</v>
      </c>
    </row>
    <row r="9" spans="1:11" x14ac:dyDescent="0.25">
      <c r="A9" s="421">
        <f t="shared" si="0"/>
        <v>6</v>
      </c>
      <c r="B9" s="256">
        <v>18</v>
      </c>
      <c r="C9" s="20">
        <v>40</v>
      </c>
      <c r="D9" s="20">
        <v>22</v>
      </c>
      <c r="E9" s="269">
        <v>43</v>
      </c>
    </row>
    <row r="10" spans="1:11" x14ac:dyDescent="0.25">
      <c r="A10" s="421">
        <f t="shared" si="0"/>
        <v>7</v>
      </c>
      <c r="B10" s="256">
        <v>15</v>
      </c>
      <c r="C10" s="20">
        <v>50</v>
      </c>
      <c r="D10" s="20">
        <v>28</v>
      </c>
      <c r="E10" s="269">
        <v>56</v>
      </c>
      <c r="G10" t="s">
        <v>1057</v>
      </c>
    </row>
    <row r="11" spans="1:11" x14ac:dyDescent="0.25">
      <c r="A11" s="421">
        <f t="shared" si="0"/>
        <v>8</v>
      </c>
      <c r="B11" s="256">
        <v>21</v>
      </c>
      <c r="C11" s="20" t="s">
        <v>4</v>
      </c>
      <c r="D11" s="20" t="s">
        <v>4</v>
      </c>
      <c r="E11" s="269">
        <v>46</v>
      </c>
    </row>
    <row r="12" spans="1:11" x14ac:dyDescent="0.25">
      <c r="A12" s="421">
        <f t="shared" si="0"/>
        <v>9</v>
      </c>
      <c r="B12" s="256">
        <v>20</v>
      </c>
      <c r="C12" s="20">
        <v>39</v>
      </c>
      <c r="D12" s="20">
        <v>25</v>
      </c>
      <c r="E12" s="269">
        <v>51</v>
      </c>
      <c r="H12" s="421" t="s">
        <v>1015</v>
      </c>
      <c r="I12" s="421" t="s">
        <v>997</v>
      </c>
      <c r="J12" s="421" t="s">
        <v>996</v>
      </c>
      <c r="K12" s="421" t="s">
        <v>1016</v>
      </c>
    </row>
    <row r="13" spans="1:11" x14ac:dyDescent="0.25">
      <c r="A13" s="421">
        <f t="shared" si="0"/>
        <v>10</v>
      </c>
      <c r="B13" s="256" t="s">
        <v>4</v>
      </c>
      <c r="C13" s="20">
        <v>36</v>
      </c>
      <c r="D13" s="20">
        <v>23</v>
      </c>
      <c r="E13" s="269">
        <v>56</v>
      </c>
      <c r="G13" t="e">
        <f ca="1">G5</f>
        <v>#NAME?</v>
      </c>
      <c r="H13" s="418" t="e">
        <f t="array" aca="1" ref="H13:K16" ca="1">COV(B4:E23,FALSE)</f>
        <v>#NAME?</v>
      </c>
      <c r="I13" s="416" t="e">
        <f ca="1"/>
        <v>#NAME?</v>
      </c>
      <c r="J13" s="416" t="e">
        <f ca="1"/>
        <v>#NAME?</v>
      </c>
      <c r="K13" s="419" t="e">
        <f ca="1"/>
        <v>#NAME?</v>
      </c>
    </row>
    <row r="14" spans="1:11" x14ac:dyDescent="0.25">
      <c r="A14" s="421">
        <f t="shared" si="0"/>
        <v>11</v>
      </c>
      <c r="B14" s="256" t="s">
        <v>4</v>
      </c>
      <c r="C14" s="20">
        <v>27</v>
      </c>
      <c r="D14" s="20">
        <v>21</v>
      </c>
      <c r="E14" s="269">
        <v>39</v>
      </c>
      <c r="G14" t="e">
        <f ca="1">G6</f>
        <v>#NAME?</v>
      </c>
      <c r="H14" s="214" t="e">
        <f ca="1"/>
        <v>#NAME?</v>
      </c>
      <c r="I14" s="7" t="e">
        <f ca="1"/>
        <v>#NAME?</v>
      </c>
      <c r="J14" s="7" t="e">
        <f ca="1"/>
        <v>#NAME?</v>
      </c>
      <c r="K14" s="215" t="e">
        <f ca="1"/>
        <v>#NAME?</v>
      </c>
    </row>
    <row r="15" spans="1:11" x14ac:dyDescent="0.25">
      <c r="A15" s="421">
        <f t="shared" si="0"/>
        <v>12</v>
      </c>
      <c r="B15" s="256">
        <v>14</v>
      </c>
      <c r="C15" s="20">
        <v>32</v>
      </c>
      <c r="D15" s="20">
        <v>20</v>
      </c>
      <c r="E15" s="269">
        <v>46</v>
      </c>
      <c r="G15" t="e">
        <f ca="1">G7</f>
        <v>#NAME?</v>
      </c>
      <c r="H15" s="214" t="e">
        <f ca="1"/>
        <v>#NAME?</v>
      </c>
      <c r="I15" s="7" t="e">
        <f ca="1"/>
        <v>#NAME?</v>
      </c>
      <c r="J15" s="7" t="e">
        <f ca="1"/>
        <v>#NAME?</v>
      </c>
      <c r="K15" s="215" t="e">
        <f ca="1"/>
        <v>#NAME?</v>
      </c>
    </row>
    <row r="16" spans="1:11" x14ac:dyDescent="0.25">
      <c r="A16" s="421">
        <f t="shared" si="0"/>
        <v>13</v>
      </c>
      <c r="B16" s="256">
        <v>22</v>
      </c>
      <c r="C16" s="20">
        <v>40</v>
      </c>
      <c r="D16" s="20" t="s">
        <v>4</v>
      </c>
      <c r="E16" s="269">
        <v>49</v>
      </c>
      <c r="G16" t="e">
        <f ca="1">G8</f>
        <v>#NAME?</v>
      </c>
      <c r="H16" s="112" t="e">
        <f ca="1"/>
        <v>#NAME?</v>
      </c>
      <c r="I16" s="354" t="e">
        <f ca="1"/>
        <v>#NAME?</v>
      </c>
      <c r="J16" s="354" t="e">
        <f ca="1"/>
        <v>#NAME?</v>
      </c>
      <c r="K16" s="120" t="e">
        <f ca="1"/>
        <v>#NAME?</v>
      </c>
    </row>
    <row r="17" spans="1:11" x14ac:dyDescent="0.25">
      <c r="A17" s="421">
        <f t="shared" si="0"/>
        <v>14</v>
      </c>
      <c r="B17" s="256" t="s">
        <v>4</v>
      </c>
      <c r="C17" s="20">
        <v>31</v>
      </c>
      <c r="D17" s="20" t="s">
        <v>4</v>
      </c>
      <c r="E17" s="269">
        <v>44</v>
      </c>
    </row>
    <row r="18" spans="1:11" x14ac:dyDescent="0.25">
      <c r="A18" s="421">
        <f t="shared" si="0"/>
        <v>15</v>
      </c>
      <c r="B18" s="256" t="s">
        <v>4</v>
      </c>
      <c r="C18" s="20">
        <v>18</v>
      </c>
      <c r="D18" s="20">
        <v>21</v>
      </c>
      <c r="E18" s="269" t="s">
        <v>4</v>
      </c>
      <c r="G18" t="s">
        <v>13</v>
      </c>
    </row>
    <row r="19" spans="1:11" x14ac:dyDescent="0.25">
      <c r="A19" s="421">
        <f t="shared" si="0"/>
        <v>16</v>
      </c>
      <c r="B19" s="256">
        <v>16</v>
      </c>
      <c r="C19" s="20">
        <v>23</v>
      </c>
      <c r="D19" s="20">
        <v>21</v>
      </c>
      <c r="E19" s="269">
        <v>34</v>
      </c>
    </row>
    <row r="20" spans="1:11" x14ac:dyDescent="0.25">
      <c r="A20" s="421">
        <f t="shared" si="0"/>
        <v>17</v>
      </c>
      <c r="B20" s="256">
        <v>27</v>
      </c>
      <c r="C20" s="20">
        <v>26</v>
      </c>
      <c r="D20" s="20">
        <v>23</v>
      </c>
      <c r="E20" s="269">
        <v>59</v>
      </c>
      <c r="G20" t="e">
        <f t="array" aca="1" ref="G20:K25" ca="1">DescStats(B3:E23,TRUE,TRUE)</f>
        <v>#NAME?</v>
      </c>
      <c r="H20" s="421" t="e">
        <f ca="1"/>
        <v>#NAME?</v>
      </c>
      <c r="I20" s="421" t="e">
        <f ca="1"/>
        <v>#NAME?</v>
      </c>
      <c r="J20" s="421" t="e">
        <f ca="1"/>
        <v>#NAME?</v>
      </c>
      <c r="K20" s="421" t="e">
        <f ca="1"/>
        <v>#NAME?</v>
      </c>
    </row>
    <row r="21" spans="1:11" x14ac:dyDescent="0.25">
      <c r="A21" s="421">
        <f t="shared" si="0"/>
        <v>18</v>
      </c>
      <c r="B21" s="256">
        <v>17</v>
      </c>
      <c r="C21" s="20" t="s">
        <v>4</v>
      </c>
      <c r="D21" s="20" t="s">
        <v>4</v>
      </c>
      <c r="E21" s="269">
        <v>35</v>
      </c>
      <c r="G21" s="39" t="e">
        <f ca="1"/>
        <v>#NAME?</v>
      </c>
      <c r="H21" s="418" t="e">
        <f ca="1"/>
        <v>#NAME?</v>
      </c>
      <c r="I21" s="416" t="e">
        <f ca="1"/>
        <v>#NAME?</v>
      </c>
      <c r="J21" s="416" t="e">
        <f ca="1"/>
        <v>#NAME?</v>
      </c>
      <c r="K21" s="419" t="e">
        <f ca="1"/>
        <v>#NAME?</v>
      </c>
    </row>
    <row r="22" spans="1:11" x14ac:dyDescent="0.25">
      <c r="A22" s="421">
        <f t="shared" si="0"/>
        <v>19</v>
      </c>
      <c r="B22" s="256">
        <v>13</v>
      </c>
      <c r="C22" s="20">
        <v>21</v>
      </c>
      <c r="D22" s="20">
        <v>20</v>
      </c>
      <c r="E22" s="269">
        <v>48</v>
      </c>
      <c r="G22" s="39" t="e">
        <f ca="1"/>
        <v>#NAME?</v>
      </c>
      <c r="H22" s="214" t="e">
        <f ca="1"/>
        <v>#NAME?</v>
      </c>
      <c r="I22" s="7" t="e">
        <f ca="1"/>
        <v>#NAME?</v>
      </c>
      <c r="J22" s="7" t="e">
        <f ca="1"/>
        <v>#NAME?</v>
      </c>
      <c r="K22" s="215" t="e">
        <f ca="1"/>
        <v>#NAME?</v>
      </c>
    </row>
    <row r="23" spans="1:11" x14ac:dyDescent="0.25">
      <c r="A23" s="421">
        <f t="shared" si="0"/>
        <v>20</v>
      </c>
      <c r="B23" s="425">
        <v>11</v>
      </c>
      <c r="C23" s="428">
        <v>51</v>
      </c>
      <c r="D23" s="428">
        <v>18</v>
      </c>
      <c r="E23" s="426">
        <v>54</v>
      </c>
      <c r="G23" s="39" t="e">
        <f ca="1"/>
        <v>#NAME?</v>
      </c>
      <c r="H23" s="214" t="e">
        <f ca="1"/>
        <v>#NAME?</v>
      </c>
      <c r="I23" s="7" t="e">
        <f ca="1"/>
        <v>#NAME?</v>
      </c>
      <c r="J23" s="7" t="e">
        <f ca="1"/>
        <v>#NAME?</v>
      </c>
      <c r="K23" s="215" t="e">
        <f ca="1"/>
        <v>#NAME?</v>
      </c>
    </row>
    <row r="24" spans="1:11" x14ac:dyDescent="0.25">
      <c r="G24" t="e">
        <f ca="1"/>
        <v>#NAME?</v>
      </c>
      <c r="H24" s="214" t="e">
        <f ca="1"/>
        <v>#NAME?</v>
      </c>
      <c r="I24" s="7" t="e">
        <f ca="1"/>
        <v>#NAME?</v>
      </c>
      <c r="J24" s="7" t="e">
        <f ca="1"/>
        <v>#NAME?</v>
      </c>
      <c r="K24" s="215" t="e">
        <f ca="1"/>
        <v>#NAME?</v>
      </c>
    </row>
    <row r="25" spans="1:11" x14ac:dyDescent="0.25">
      <c r="G25" t="e">
        <f ca="1"/>
        <v>#NAME?</v>
      </c>
      <c r="H25" s="112" t="e">
        <f ca="1"/>
        <v>#NAME?</v>
      </c>
      <c r="I25" s="354" t="e">
        <f ca="1"/>
        <v>#NAME?</v>
      </c>
      <c r="J25" s="354" t="e">
        <f ca="1"/>
        <v>#NAME?</v>
      </c>
      <c r="K25" s="120" t="e">
        <f ca="1"/>
        <v>#NAME?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R24"/>
  <sheetViews>
    <sheetView workbookViewId="0"/>
  </sheetViews>
  <sheetFormatPr defaultRowHeight="15" x14ac:dyDescent="0.25"/>
  <cols>
    <col min="6" max="6" width="6.5703125" customWidth="1"/>
    <col min="11" max="11" width="6.7109375" customWidth="1"/>
  </cols>
  <sheetData>
    <row r="1" spans="1:18" x14ac:dyDescent="0.25">
      <c r="A1" s="1" t="s">
        <v>1061</v>
      </c>
      <c r="O1" t="s">
        <v>1110</v>
      </c>
    </row>
    <row r="3" spans="1:18" x14ac:dyDescent="0.25">
      <c r="A3" s="421" t="s">
        <v>1015</v>
      </c>
      <c r="B3" s="421" t="s">
        <v>997</v>
      </c>
      <c r="C3" s="421" t="s">
        <v>996</v>
      </c>
      <c r="D3" s="421" t="s">
        <v>1016</v>
      </c>
      <c r="E3" s="450" t="s">
        <v>1072</v>
      </c>
      <c r="G3" t="s">
        <v>787</v>
      </c>
      <c r="L3" s="421" t="s">
        <v>1060</v>
      </c>
      <c r="M3" t="s">
        <v>1064</v>
      </c>
      <c r="O3" s="14" t="s">
        <v>1072</v>
      </c>
      <c r="Q3" s="258" t="e">
        <f t="array" aca="1" ref="Q3" ca="1">MMULT(A4:D4-G10:J10,MMULT(MINVERSE(G4:J7),TRANSPOSE(A4:D4-G10:J10)))+COUNT(A4:D4)*LN(2*PI())+LN(MDETERM(G4:J7))</f>
        <v>#NAME?</v>
      </c>
    </row>
    <row r="4" spans="1:18" x14ac:dyDescent="0.25">
      <c r="A4" s="423">
        <v>12</v>
      </c>
      <c r="B4" s="429">
        <v>27</v>
      </c>
      <c r="C4" s="429">
        <v>19</v>
      </c>
      <c r="D4" s="424">
        <v>44</v>
      </c>
      <c r="E4" s="417" t="e">
        <f t="array" aca="1" ref="E4" ca="1">LLReg(A4:D4,$G$4:$J$7,$G$10:$J$10)</f>
        <v>#NAME?</v>
      </c>
      <c r="G4" s="418" t="e">
        <f ca="1">L4</f>
        <v>#NAME?</v>
      </c>
      <c r="H4" s="416" t="e">
        <f ca="1">G5</f>
        <v>#NAME?</v>
      </c>
      <c r="I4" s="416" t="e">
        <f ca="1">G6</f>
        <v>#NAME?</v>
      </c>
      <c r="J4" s="419" t="e">
        <f ca="1">G7</f>
        <v>#NAME?</v>
      </c>
      <c r="L4" s="417" t="e">
        <f ca="1">G13</f>
        <v>#NAME?</v>
      </c>
      <c r="M4" s="417" t="e">
        <f ca="1">L4</f>
        <v>#NAME?</v>
      </c>
    </row>
    <row r="5" spans="1:18" x14ac:dyDescent="0.25">
      <c r="A5" s="256">
        <v>11</v>
      </c>
      <c r="B5" s="20" t="s">
        <v>4</v>
      </c>
      <c r="C5" s="20">
        <v>13</v>
      </c>
      <c r="D5" s="269">
        <v>43</v>
      </c>
      <c r="E5" s="185" t="e">
        <f t="array" aca="1" ref="E5" ca="1">LLReg(A5:D5,$G$4:$J$7,$G$10:$J$10)</f>
        <v>#NAME?</v>
      </c>
      <c r="G5" s="214" t="e">
        <f ca="1">L5</f>
        <v>#NAME?</v>
      </c>
      <c r="H5" s="7" t="e">
        <f ca="1">L8</f>
        <v>#NAME?</v>
      </c>
      <c r="I5" s="7" t="e">
        <f ca="1">H6</f>
        <v>#NAME?</v>
      </c>
      <c r="J5" s="215" t="e">
        <f ca="1">H7</f>
        <v>#NAME?</v>
      </c>
      <c r="L5" s="185" t="e">
        <f ca="1">G14</f>
        <v>#NAME?</v>
      </c>
      <c r="M5" s="185" t="e">
        <f ca="1">SQRT(L4*L8)-ABS(L5)</f>
        <v>#NAME?</v>
      </c>
      <c r="O5" t="s">
        <v>1113</v>
      </c>
    </row>
    <row r="6" spans="1:18" x14ac:dyDescent="0.25">
      <c r="A6" s="256" t="s">
        <v>4</v>
      </c>
      <c r="B6" s="20">
        <v>56</v>
      </c>
      <c r="C6" s="20">
        <v>23</v>
      </c>
      <c r="D6" s="269">
        <v>60</v>
      </c>
      <c r="E6" s="185" t="e">
        <f t="array" aca="1" ref="E6" ca="1">LLReg(A6:D6,$G$4:$J$7,$G$10:$J$10)</f>
        <v>#NAME?</v>
      </c>
      <c r="G6" s="214" t="e">
        <f ca="1">L6</f>
        <v>#NAME?</v>
      </c>
      <c r="H6" s="7" t="e">
        <f ca="1">L9</f>
        <v>#NAME?</v>
      </c>
      <c r="I6" s="7" t="e">
        <f ca="1">L11</f>
        <v>#NAME?</v>
      </c>
      <c r="J6" s="215" t="e">
        <f ca="1">I7</f>
        <v>#NAME?</v>
      </c>
      <c r="L6" s="185" t="e">
        <f ca="1">G15</f>
        <v>#NAME?</v>
      </c>
      <c r="M6" s="185" t="e">
        <f ca="1">SQRT(L4*L11)-ABS(L6)</f>
        <v>#NAME?</v>
      </c>
    </row>
    <row r="7" spans="1:18" x14ac:dyDescent="0.25">
      <c r="A7" s="256">
        <v>15</v>
      </c>
      <c r="B7" s="20">
        <v>37</v>
      </c>
      <c r="C7" s="20">
        <v>19</v>
      </c>
      <c r="D7" s="269">
        <v>52</v>
      </c>
      <c r="E7" s="185" t="e">
        <f t="array" aca="1" ref="E7" ca="1">LLReg(A7:D7,$G$4:$J$7,$G$10:$J$10)</f>
        <v>#NAME?</v>
      </c>
      <c r="G7" s="112" t="e">
        <f ca="1">L7</f>
        <v>#NAME?</v>
      </c>
      <c r="H7" s="354" t="e">
        <f ca="1">L10</f>
        <v>#NAME?</v>
      </c>
      <c r="I7" s="354" t="e">
        <f ca="1">L12</f>
        <v>#NAME?</v>
      </c>
      <c r="J7" s="120" t="e">
        <f ca="1">L13</f>
        <v>#NAME?</v>
      </c>
      <c r="L7" s="123" t="e">
        <f ca="1">G16</f>
        <v>#NAME?</v>
      </c>
      <c r="M7" s="123" t="e">
        <f ca="1">SQRT(L4*L13)-ABS(L7)</f>
        <v>#NAME?</v>
      </c>
      <c r="O7" t="s">
        <v>1111</v>
      </c>
      <c r="Q7" s="275">
        <f>A21</f>
        <v>17</v>
      </c>
      <c r="R7" s="276">
        <f>D21</f>
        <v>35</v>
      </c>
    </row>
    <row r="8" spans="1:18" x14ac:dyDescent="0.25">
      <c r="A8" s="256">
        <v>10</v>
      </c>
      <c r="B8" s="20">
        <v>31</v>
      </c>
      <c r="C8" s="20">
        <v>21</v>
      </c>
      <c r="D8" s="269" t="s">
        <v>4</v>
      </c>
      <c r="E8" s="185" t="e">
        <f t="array" aca="1" ref="E8" ca="1">LLReg(A8:D8,$G$4:$J$7,$G$10:$J$10)</f>
        <v>#NAME?</v>
      </c>
      <c r="L8" s="417" t="e">
        <f ca="1">H14</f>
        <v>#NAME?</v>
      </c>
      <c r="M8" s="417" t="e">
        <f ca="1">L8</f>
        <v>#NAME?</v>
      </c>
    </row>
    <row r="9" spans="1:18" x14ac:dyDescent="0.25">
      <c r="A9" s="256">
        <v>18</v>
      </c>
      <c r="B9" s="20">
        <v>40</v>
      </c>
      <c r="C9" s="20">
        <v>22</v>
      </c>
      <c r="D9" s="269">
        <v>43</v>
      </c>
      <c r="E9" s="185" t="e">
        <f t="array" aca="1" ref="E9" ca="1">LLReg(A9:D9,$G$4:$J$7,$G$10:$J$10)</f>
        <v>#NAME?</v>
      </c>
      <c r="G9" t="s">
        <v>1058</v>
      </c>
      <c r="L9" s="185" t="e">
        <f ca="1">H15</f>
        <v>#NAME?</v>
      </c>
      <c r="M9" s="185" t="e">
        <f ca="1">SQRT(L8*L11)-ABS(L9)</f>
        <v>#NAME?</v>
      </c>
      <c r="O9" t="s">
        <v>802</v>
      </c>
      <c r="Q9" s="275">
        <f>G10</f>
        <v>16.133333333333333</v>
      </c>
      <c r="R9" s="276">
        <f>J10</f>
        <v>47.722222222222221</v>
      </c>
    </row>
    <row r="10" spans="1:18" x14ac:dyDescent="0.25">
      <c r="A10" s="256">
        <v>15</v>
      </c>
      <c r="B10" s="20">
        <v>50</v>
      </c>
      <c r="C10" s="20">
        <v>28</v>
      </c>
      <c r="D10" s="269">
        <v>56</v>
      </c>
      <c r="E10" s="185" t="e">
        <f t="array" aca="1" ref="E10" ca="1">LLReg(A10:D10,$G$4:$J$7,$G$10:$J$10)</f>
        <v>#NAME?</v>
      </c>
      <c r="G10" s="275">
        <f>L14</f>
        <v>16.133333333333333</v>
      </c>
      <c r="H10" s="263">
        <f>L15</f>
        <v>34.411764705882355</v>
      </c>
      <c r="I10" s="263">
        <f>L16</f>
        <v>21.0625</v>
      </c>
      <c r="J10" s="276">
        <f>L17</f>
        <v>47.722222222222221</v>
      </c>
      <c r="L10" s="123" t="e">
        <f ca="1">H16</f>
        <v>#NAME?</v>
      </c>
      <c r="M10" s="123" t="e">
        <f ca="1">SQRT(L8*L13)-ABS(L10)</f>
        <v>#NAME?</v>
      </c>
    </row>
    <row r="11" spans="1:18" x14ac:dyDescent="0.25">
      <c r="A11" s="256">
        <v>21</v>
      </c>
      <c r="B11" s="20" t="s">
        <v>4</v>
      </c>
      <c r="C11" s="20" t="s">
        <v>4</v>
      </c>
      <c r="D11" s="269">
        <v>46</v>
      </c>
      <c r="E11" s="185" t="e">
        <f t="array" aca="1" ref="E11" ca="1">LLReg(A11:D11,$G$4:$J$7,$G$10:$J$10)</f>
        <v>#NAME?</v>
      </c>
      <c r="L11" s="185" t="e">
        <f ca="1">I15</f>
        <v>#NAME?</v>
      </c>
      <c r="M11" s="417" t="e">
        <f ca="1">L11</f>
        <v>#NAME?</v>
      </c>
      <c r="O11" t="s">
        <v>1112</v>
      </c>
      <c r="Q11" s="418" t="e">
        <f ca="1">G4</f>
        <v>#NAME?</v>
      </c>
      <c r="R11" s="419" t="e">
        <f ca="1">J4</f>
        <v>#NAME?</v>
      </c>
    </row>
    <row r="12" spans="1:18" x14ac:dyDescent="0.25">
      <c r="A12" s="256">
        <v>20</v>
      </c>
      <c r="B12" s="20">
        <v>39</v>
      </c>
      <c r="C12" s="20">
        <v>25</v>
      </c>
      <c r="D12" s="269">
        <v>51</v>
      </c>
      <c r="E12" s="185" t="e">
        <f t="array" aca="1" ref="E12" ca="1">LLReg(A12:D12,$G$4:$J$7,$G$10:$J$10)</f>
        <v>#NAME?</v>
      </c>
      <c r="G12" t="s">
        <v>1057</v>
      </c>
      <c r="L12" s="123" t="e">
        <f ca="1">I16</f>
        <v>#NAME?</v>
      </c>
      <c r="M12" s="123" t="e">
        <f ca="1">SQRT(L11*L13)-ABS(L12)</f>
        <v>#NAME?</v>
      </c>
      <c r="Q12" s="112" t="e">
        <f ca="1">G7</f>
        <v>#NAME?</v>
      </c>
      <c r="R12" s="120" t="e">
        <f ca="1">J7</f>
        <v>#NAME?</v>
      </c>
    </row>
    <row r="13" spans="1:18" x14ac:dyDescent="0.25">
      <c r="A13" s="256" t="s">
        <v>4</v>
      </c>
      <c r="B13" s="20">
        <v>36</v>
      </c>
      <c r="C13" s="20">
        <v>23</v>
      </c>
      <c r="D13" s="269">
        <v>56</v>
      </c>
      <c r="E13" s="185" t="e">
        <f t="array" aca="1" ref="E13" ca="1">LLReg(A13:D13,$G$4:$J$7,$G$10:$J$10)</f>
        <v>#NAME?</v>
      </c>
      <c r="G13" s="418" t="e">
        <f t="array" aca="1" ref="G13:J16" ca="1">COV(A4:D23,FALSE)</f>
        <v>#NAME?</v>
      </c>
      <c r="H13" s="416" t="e">
        <f ca="1"/>
        <v>#NAME?</v>
      </c>
      <c r="I13" s="416" t="e">
        <f ca="1"/>
        <v>#NAME?</v>
      </c>
      <c r="J13" s="419" t="e">
        <f ca="1"/>
        <v>#NAME?</v>
      </c>
      <c r="L13" s="123" t="e">
        <f ca="1">J16</f>
        <v>#NAME?</v>
      </c>
      <c r="M13" s="120" t="e">
        <f ca="1">L13</f>
        <v>#NAME?</v>
      </c>
    </row>
    <row r="14" spans="1:18" x14ac:dyDescent="0.25">
      <c r="A14" s="256" t="s">
        <v>4</v>
      </c>
      <c r="B14" s="20">
        <v>27</v>
      </c>
      <c r="C14" s="20">
        <v>21</v>
      </c>
      <c r="D14" s="269">
        <v>39</v>
      </c>
      <c r="E14" s="185" t="e">
        <f t="array" aca="1" ref="E14" ca="1">LLReg(A14:D14,$G$4:$J$7,$G$10:$J$10)</f>
        <v>#NAME?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L14" s="417">
        <f t="array" ref="L14:L17">TRANSPOSE(G19:J19)</f>
        <v>16.133333333333333</v>
      </c>
      <c r="O14" s="14" t="s">
        <v>1072</v>
      </c>
      <c r="Q14" s="258" t="e">
        <f t="array" aca="1" ref="Q14" ca="1">MMULT(Q7:R7-Q9:R9,MMULT(MINVERSE(Q11:R12),TRANSPOSE(Q7:R7-Q9:R9)))+COUNT(Q7:R7)*LN(2*PI())+LN(MDETERM(Q11:R12))</f>
        <v>#NAME?</v>
      </c>
    </row>
    <row r="15" spans="1:18" x14ac:dyDescent="0.25">
      <c r="A15" s="256">
        <v>14</v>
      </c>
      <c r="B15" s="20">
        <v>32</v>
      </c>
      <c r="C15" s="20">
        <v>20</v>
      </c>
      <c r="D15" s="269">
        <v>46</v>
      </c>
      <c r="E15" s="185" t="e">
        <f t="array" aca="1" ref="E15" ca="1">LLReg(A15:D15,$G$4:$J$7,$G$10:$J$10)</f>
        <v>#NAME?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L15" s="185">
        <v>34.411764705882355</v>
      </c>
    </row>
    <row r="16" spans="1:18" x14ac:dyDescent="0.25">
      <c r="A16" s="256">
        <v>22</v>
      </c>
      <c r="B16" s="20">
        <v>40</v>
      </c>
      <c r="C16" s="20" t="s">
        <v>4</v>
      </c>
      <c r="D16" s="269">
        <v>49</v>
      </c>
      <c r="E16" s="185" t="e">
        <f t="array" aca="1" ref="E16" ca="1">LLReg(A16:D16,$G$4:$J$7,$G$10:$J$10)</f>
        <v>#NAME?</v>
      </c>
      <c r="G16" s="112" t="e">
        <f ca="1"/>
        <v>#NAME?</v>
      </c>
      <c r="H16" s="354" t="e">
        <f ca="1"/>
        <v>#NAME?</v>
      </c>
      <c r="I16" s="354" t="e">
        <f ca="1"/>
        <v>#NAME?</v>
      </c>
      <c r="J16" s="120" t="e">
        <f ca="1"/>
        <v>#NAME?</v>
      </c>
      <c r="L16" s="185">
        <v>21.0625</v>
      </c>
    </row>
    <row r="17" spans="1:12" x14ac:dyDescent="0.25">
      <c r="A17" s="256" t="s">
        <v>4</v>
      </c>
      <c r="B17" s="20">
        <v>31</v>
      </c>
      <c r="C17" s="20" t="s">
        <v>4</v>
      </c>
      <c r="D17" s="269">
        <v>44</v>
      </c>
      <c r="E17" s="185" t="e">
        <f t="array" aca="1" ref="E17" ca="1">LLReg(A17:D17,$G$4:$J$7,$G$10:$J$10)</f>
        <v>#NAME?</v>
      </c>
      <c r="L17" s="123">
        <v>47.722222222222221</v>
      </c>
    </row>
    <row r="18" spans="1:12" x14ac:dyDescent="0.25">
      <c r="A18" s="256" t="s">
        <v>4</v>
      </c>
      <c r="B18" s="20">
        <v>18</v>
      </c>
      <c r="C18" s="20">
        <v>21</v>
      </c>
      <c r="D18" s="269" t="s">
        <v>4</v>
      </c>
      <c r="E18" s="185" t="e">
        <f t="array" aca="1" ref="E18" ca="1">LLReg(A18:D18,$G$4:$J$7,$G$10:$J$10)</f>
        <v>#NAME?</v>
      </c>
      <c r="G18" t="s">
        <v>1059</v>
      </c>
    </row>
    <row r="19" spans="1:12" x14ac:dyDescent="0.25">
      <c r="A19" s="256">
        <v>16</v>
      </c>
      <c r="B19" s="20">
        <v>23</v>
      </c>
      <c r="C19" s="20">
        <v>21</v>
      </c>
      <c r="D19" s="269">
        <v>34</v>
      </c>
      <c r="E19" s="185" t="e">
        <f t="array" aca="1" ref="E19" ca="1">LLReg(A19:D19,$G$4:$J$7,$G$10:$J$10)</f>
        <v>#NAME?</v>
      </c>
      <c r="G19" s="275">
        <f>AVERAGE(A4:A23)</f>
        <v>16.133333333333333</v>
      </c>
      <c r="H19" s="263">
        <f>AVERAGE(B4:B23)</f>
        <v>34.411764705882355</v>
      </c>
      <c r="I19" s="263">
        <f>AVERAGE(C4:C23)</f>
        <v>21.0625</v>
      </c>
      <c r="J19" s="276">
        <f>AVERAGE(D4:D23)</f>
        <v>47.722222222222221</v>
      </c>
    </row>
    <row r="20" spans="1:12" x14ac:dyDescent="0.25">
      <c r="A20" s="256">
        <v>27</v>
      </c>
      <c r="B20" s="20">
        <v>26</v>
      </c>
      <c r="C20" s="20">
        <v>23</v>
      </c>
      <c r="D20" s="269">
        <v>59</v>
      </c>
      <c r="E20" s="185" t="e">
        <f t="array" aca="1" ref="E20" ca="1">LLReg(A20:D20,$G$4:$J$7,$G$10:$J$10)</f>
        <v>#NAME?</v>
      </c>
    </row>
    <row r="21" spans="1:12" x14ac:dyDescent="0.25">
      <c r="A21" s="256">
        <v>17</v>
      </c>
      <c r="B21" s="20" t="s">
        <v>4</v>
      </c>
      <c r="C21" s="20" t="s">
        <v>4</v>
      </c>
      <c r="D21" s="269">
        <v>35</v>
      </c>
      <c r="E21" s="185" t="e">
        <f t="array" aca="1" ref="E21" ca="1">LLReg(A21:D21,$G$4:$J$7,$G$10:$J$10)</f>
        <v>#NAME?</v>
      </c>
      <c r="G21" t="s">
        <v>1068</v>
      </c>
    </row>
    <row r="22" spans="1:12" x14ac:dyDescent="0.25">
      <c r="A22" s="256">
        <v>13</v>
      </c>
      <c r="B22" s="20">
        <v>21</v>
      </c>
      <c r="C22" s="20">
        <v>20</v>
      </c>
      <c r="D22" s="269">
        <v>48</v>
      </c>
      <c r="E22" s="185" t="e">
        <f t="array" aca="1" ref="E22" ca="1">LLReg(A22:D22,$G$4:$J$7,$G$10:$J$10)</f>
        <v>#NAME?</v>
      </c>
      <c r="G22" s="275">
        <f>COUNT(A4:A23)</f>
        <v>15</v>
      </c>
      <c r="H22" s="263">
        <f>COUNT(B4:B23)</f>
        <v>17</v>
      </c>
      <c r="I22" s="263">
        <f>COUNT(C4:C23)</f>
        <v>16</v>
      </c>
      <c r="J22" s="276">
        <f>COUNT(D4:D23)</f>
        <v>18</v>
      </c>
    </row>
    <row r="23" spans="1:12" x14ac:dyDescent="0.25">
      <c r="A23" s="425">
        <v>11</v>
      </c>
      <c r="B23" s="428">
        <v>51</v>
      </c>
      <c r="C23" s="428">
        <v>18</v>
      </c>
      <c r="D23" s="426">
        <v>54</v>
      </c>
      <c r="E23" s="123" t="e">
        <f t="array" aca="1" ref="E23" ca="1">LLReg(A23:D23,$G$4:$J$7,$G$10:$J$10)</f>
        <v>#NAME?</v>
      </c>
    </row>
    <row r="24" spans="1:12" x14ac:dyDescent="0.25">
      <c r="E24" t="e">
        <f ca="1">SUM(E4:E23)</f>
        <v>#NAME?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Y24"/>
  <sheetViews>
    <sheetView workbookViewId="0"/>
  </sheetViews>
  <sheetFormatPr defaultRowHeight="15" x14ac:dyDescent="0.25"/>
  <cols>
    <col min="6" max="6" width="5.5703125" customWidth="1"/>
    <col min="11" max="11" width="5.85546875" customWidth="1"/>
    <col min="19" max="19" width="18" customWidth="1"/>
  </cols>
  <sheetData>
    <row r="1" spans="1:25" x14ac:dyDescent="0.25">
      <c r="A1" s="1" t="s">
        <v>1062</v>
      </c>
    </row>
    <row r="3" spans="1:25" x14ac:dyDescent="0.25">
      <c r="A3" s="421" t="s">
        <v>1015</v>
      </c>
      <c r="B3" s="421" t="s">
        <v>997</v>
      </c>
      <c r="C3" s="421" t="s">
        <v>996</v>
      </c>
      <c r="D3" s="421" t="s">
        <v>1016</v>
      </c>
      <c r="E3" s="450" t="s">
        <v>1072</v>
      </c>
      <c r="G3" t="s">
        <v>787</v>
      </c>
      <c r="L3" s="421" t="s">
        <v>1060</v>
      </c>
      <c r="M3" t="s">
        <v>1064</v>
      </c>
      <c r="O3" t="s">
        <v>1066</v>
      </c>
      <c r="S3" t="s">
        <v>798</v>
      </c>
    </row>
    <row r="4" spans="1:25" x14ac:dyDescent="0.25">
      <c r="A4" s="423">
        <v>12</v>
      </c>
      <c r="B4" s="429">
        <v>27</v>
      </c>
      <c r="C4" s="429">
        <v>19</v>
      </c>
      <c r="D4" s="424">
        <v>44</v>
      </c>
      <c r="E4" s="417" t="e">
        <f t="array" aca="1" ref="E4" ca="1">LLReg(A4:D4,$G$4:$J$7,$G$10:$J$10)</f>
        <v>#NAME?</v>
      </c>
      <c r="G4" s="418">
        <f>L4</f>
        <v>19.913368556254991</v>
      </c>
      <c r="H4" s="416">
        <f>G5</f>
        <v>-1.7969432911037646</v>
      </c>
      <c r="I4" s="416">
        <f>G6</f>
        <v>7.0738099577208127</v>
      </c>
      <c r="J4" s="419">
        <f>G7</f>
        <v>8.346581210980327</v>
      </c>
      <c r="L4" s="417">
        <v>19.913368556254991</v>
      </c>
      <c r="M4" s="417">
        <f>L4</f>
        <v>19.913368556254991</v>
      </c>
    </row>
    <row r="5" spans="1:25" ht="15.75" thickBot="1" x14ac:dyDescent="0.3">
      <c r="A5" s="256">
        <v>11</v>
      </c>
      <c r="B5" s="20" t="s">
        <v>4</v>
      </c>
      <c r="C5" s="20">
        <v>13</v>
      </c>
      <c r="D5" s="269">
        <v>43</v>
      </c>
      <c r="E5" s="185" t="e">
        <f t="array" aca="1" ref="E5" ca="1">LLReg(A5:D5,$G$4:$J$7,$G$10:$J$10)</f>
        <v>#NAME?</v>
      </c>
      <c r="G5" s="214">
        <f>L5</f>
        <v>-1.7969432911037646</v>
      </c>
      <c r="H5" s="7">
        <f>L8</f>
        <v>117.12234407398635</v>
      </c>
      <c r="I5" s="7">
        <f>H6</f>
        <v>13.571344540903519</v>
      </c>
      <c r="J5" s="215">
        <f>H7</f>
        <v>51.728519893611484</v>
      </c>
      <c r="L5" s="185">
        <v>-1.7969432911037646</v>
      </c>
      <c r="M5" s="185">
        <f>SQRT(L4*L8)-ABS(L5)</f>
        <v>46.496952842028811</v>
      </c>
      <c r="P5" t="s">
        <v>143</v>
      </c>
      <c r="Q5" s="417">
        <f>-MMULT(G10:J10,Q6:Q9)</f>
        <v>27.117920276590311</v>
      </c>
      <c r="S5" s="342" t="s">
        <v>799</v>
      </c>
      <c r="T5" s="342"/>
    </row>
    <row r="6" spans="1:25" ht="15.75" thickTop="1" x14ac:dyDescent="0.25">
      <c r="A6" s="256" t="s">
        <v>4</v>
      </c>
      <c r="B6" s="20">
        <v>56</v>
      </c>
      <c r="C6" s="20">
        <v>23</v>
      </c>
      <c r="D6" s="269">
        <v>60</v>
      </c>
      <c r="E6" s="185" t="e">
        <f t="array" aca="1" ref="E6" ca="1">LLReg(A6:D6,$G$4:$J$7,$G$10:$J$10)</f>
        <v>#NAME?</v>
      </c>
      <c r="G6" s="214">
        <f>L6</f>
        <v>7.0738099577208127</v>
      </c>
      <c r="H6" s="7">
        <f>L9</f>
        <v>13.571344540903519</v>
      </c>
      <c r="I6" s="7">
        <f>L11</f>
        <v>10.133748927107019</v>
      </c>
      <c r="J6" s="215">
        <f>I7</f>
        <v>8.1771263566626953</v>
      </c>
      <c r="L6" s="185">
        <v>7.0738099577208127</v>
      </c>
      <c r="M6" s="185">
        <f>SQRT(L4*L11)-ABS(L6)</f>
        <v>7.131719854364186</v>
      </c>
      <c r="P6" t="str">
        <f t="array" ref="P6:P8">TRANSPOSE(A3:C3)</f>
        <v>read</v>
      </c>
      <c r="Q6" s="185">
        <f t="array" ref="Q6:Q8">MMULT(MINVERSE(G4:I6),J4:J6)</f>
        <v>0.53194171155368186</v>
      </c>
      <c r="S6" t="s">
        <v>123</v>
      </c>
      <c r="T6" t="e">
        <f ca="1">SQRT(T7)</f>
        <v>#NAME?</v>
      </c>
    </row>
    <row r="7" spans="1:25" x14ac:dyDescent="0.25">
      <c r="A7" s="256">
        <v>15</v>
      </c>
      <c r="B7" s="20">
        <v>37</v>
      </c>
      <c r="C7" s="20">
        <v>19</v>
      </c>
      <c r="D7" s="269">
        <v>52</v>
      </c>
      <c r="E7" s="185" t="e">
        <f t="array" aca="1" ref="E7" ca="1">LLReg(A7:D7,$G$4:$J$7,$G$10:$J$10)</f>
        <v>#NAME?</v>
      </c>
      <c r="G7" s="112">
        <f>L7</f>
        <v>8.346581210980327</v>
      </c>
      <c r="H7" s="354">
        <f>L10</f>
        <v>51.728519893611484</v>
      </c>
      <c r="I7" s="354">
        <f>L12</f>
        <v>8.1771263566626953</v>
      </c>
      <c r="J7" s="120">
        <f>L13</f>
        <v>55.620698602570627</v>
      </c>
      <c r="L7" s="123">
        <v>8.346581210980327</v>
      </c>
      <c r="M7" s="123">
        <f>SQRT(L4*L13)-ABS(L7)</f>
        <v>24.933975734920772</v>
      </c>
      <c r="P7" t="str">
        <v>science</v>
      </c>
      <c r="Q7" s="185">
        <v>0.47270314270332053</v>
      </c>
      <c r="S7" t="s">
        <v>120</v>
      </c>
      <c r="T7" t="e">
        <f ca="1">SUMPRODUCT(J13:J15,Q6:Q8)/J16</f>
        <v>#NAME?</v>
      </c>
    </row>
    <row r="8" spans="1:25" x14ac:dyDescent="0.25">
      <c r="A8" s="256">
        <v>10</v>
      </c>
      <c r="B8" s="20">
        <v>31</v>
      </c>
      <c r="C8" s="20">
        <v>21</v>
      </c>
      <c r="D8" s="269" t="s">
        <v>4</v>
      </c>
      <c r="E8" s="185" t="e">
        <f t="array" aca="1" ref="E8" ca="1">LLReg(A8:D8,$G$4:$J$7,$G$10:$J$10)</f>
        <v>#NAME?</v>
      </c>
      <c r="L8" s="185">
        <v>117.12234407398635</v>
      </c>
      <c r="M8" s="417">
        <f>L8</f>
        <v>117.12234407398635</v>
      </c>
      <c r="P8" t="str">
        <v>math</v>
      </c>
      <c r="Q8" s="123">
        <v>-0.19745362244914699</v>
      </c>
      <c r="S8" t="s">
        <v>124</v>
      </c>
      <c r="T8" t="e">
        <f ca="1">1-(1-T7)*(T10-1)/(T10-T14-1)</f>
        <v>#NAME?</v>
      </c>
    </row>
    <row r="9" spans="1:25" x14ac:dyDescent="0.25">
      <c r="A9" s="256">
        <v>18</v>
      </c>
      <c r="B9" s="20">
        <v>40</v>
      </c>
      <c r="C9" s="20">
        <v>22</v>
      </c>
      <c r="D9" s="269">
        <v>43</v>
      </c>
      <c r="E9" s="185" t="e">
        <f t="array" aca="1" ref="E9" ca="1">LLReg(A9:D9,$G$4:$J$7,$G$10:$J$10)</f>
        <v>#NAME?</v>
      </c>
      <c r="G9" t="s">
        <v>1058</v>
      </c>
      <c r="L9" s="185">
        <v>13.571344540903519</v>
      </c>
      <c r="M9" s="185">
        <f>SQRT(L8*L11)-ABS(L9)</f>
        <v>20.879902586015099</v>
      </c>
      <c r="Q9">
        <v>-1</v>
      </c>
      <c r="S9" t="s">
        <v>10</v>
      </c>
      <c r="T9" t="e">
        <f ca="1">SQRT(V15)</f>
        <v>#NAME?</v>
      </c>
    </row>
    <row r="10" spans="1:25" x14ac:dyDescent="0.25">
      <c r="A10" s="256">
        <v>15</v>
      </c>
      <c r="B10" s="20">
        <v>50</v>
      </c>
      <c r="C10" s="20">
        <v>28</v>
      </c>
      <c r="D10" s="269">
        <v>56</v>
      </c>
      <c r="E10" s="185" t="e">
        <f t="array" aca="1" ref="E10" ca="1">LLReg(A10:D10,$G$4:$J$7,$G$10:$J$10)</f>
        <v>#NAME?</v>
      </c>
      <c r="G10" s="275">
        <f>L14</f>
        <v>16.28686833905622</v>
      </c>
      <c r="H10" s="263">
        <f>L15</f>
        <v>32.915676871828403</v>
      </c>
      <c r="I10" s="263">
        <f>L16</f>
        <v>21.256847979858609</v>
      </c>
      <c r="J10" s="276">
        <f>L17</f>
        <v>47.143687162763719</v>
      </c>
      <c r="L10" s="123">
        <v>51.728519893611484</v>
      </c>
      <c r="M10" s="123">
        <f>SQRT(L8*L13)-ABS(L10)</f>
        <v>28.983477971425707</v>
      </c>
      <c r="S10" s="354" t="s">
        <v>55</v>
      </c>
      <c r="T10" s="354">
        <f>COUNTA(A4:A23)</f>
        <v>20</v>
      </c>
    </row>
    <row r="11" spans="1:25" ht="17.25" x14ac:dyDescent="0.25">
      <c r="A11" s="256">
        <v>21</v>
      </c>
      <c r="B11" s="20" t="s">
        <v>4</v>
      </c>
      <c r="C11" s="20" t="s">
        <v>4</v>
      </c>
      <c r="D11" s="269">
        <v>46</v>
      </c>
      <c r="E11" s="185" t="e">
        <f t="array" aca="1" ref="E11" ca="1">LLReg(A11:D11,$G$4:$J$7,$G$10:$J$10)</f>
        <v>#NAME?</v>
      </c>
      <c r="L11" s="185">
        <v>10.133748927107019</v>
      </c>
      <c r="M11" s="417">
        <f>L11</f>
        <v>10.133748927107019</v>
      </c>
      <c r="O11" t="s">
        <v>1067</v>
      </c>
    </row>
    <row r="12" spans="1:25" ht="15.75" thickBot="1" x14ac:dyDescent="0.3">
      <c r="A12" s="256">
        <v>20</v>
      </c>
      <c r="B12" s="20">
        <v>39</v>
      </c>
      <c r="C12" s="20">
        <v>25</v>
      </c>
      <c r="D12" s="269">
        <v>51</v>
      </c>
      <c r="E12" s="185" t="e">
        <f t="array" aca="1" ref="E12" ca="1">LLReg(A12:D12,$G$4:$J$7,$G$10:$J$10)</f>
        <v>#NAME?</v>
      </c>
      <c r="G12" t="s">
        <v>1057</v>
      </c>
      <c r="L12" s="123">
        <v>8.1771263566626953</v>
      </c>
      <c r="M12" s="123">
        <f>SQRT(L11*L13)-ABS(L12)</f>
        <v>15.564107705380982</v>
      </c>
      <c r="O12" s="418" t="e">
        <f t="array" aca="1" ref="O12:Q14" ca="1">MINVERSE(G13:I15)/(COUNTA(A4:A23)-1)</f>
        <v>#NAME?</v>
      </c>
      <c r="P12" s="416" t="e">
        <f ca="1"/>
        <v>#NAME?</v>
      </c>
      <c r="Q12" s="419" t="e">
        <f ca="1"/>
        <v>#NAME?</v>
      </c>
      <c r="S12" t="s">
        <v>125</v>
      </c>
      <c r="W12" s="451" t="s">
        <v>18</v>
      </c>
      <c r="X12" s="451">
        <v>0.05</v>
      </c>
    </row>
    <row r="13" spans="1:25" ht="15.75" thickTop="1" x14ac:dyDescent="0.25">
      <c r="A13" s="256" t="s">
        <v>4</v>
      </c>
      <c r="B13" s="20">
        <v>36</v>
      </c>
      <c r="C13" s="20">
        <v>23</v>
      </c>
      <c r="D13" s="269">
        <v>56</v>
      </c>
      <c r="E13" s="185" t="e">
        <f t="array" aca="1" ref="E13" ca="1">LLReg(A13:D13,$G$4:$J$7,$G$10:$J$10)</f>
        <v>#NAME?</v>
      </c>
      <c r="G13" s="418" t="e">
        <f t="array" aca="1" ref="G13:J16" ca="1">COV(A4:D23,FALSE)</f>
        <v>#NAME?</v>
      </c>
      <c r="H13" s="416" t="e">
        <f ca="1"/>
        <v>#NAME?</v>
      </c>
      <c r="I13" s="416" t="e">
        <f ca="1"/>
        <v>#NAME?</v>
      </c>
      <c r="J13" s="419" t="e">
        <f ca="1"/>
        <v>#NAME?</v>
      </c>
      <c r="L13" s="123">
        <v>55.620698602570627</v>
      </c>
      <c r="M13" s="120">
        <f>L13</f>
        <v>55.620698602570627</v>
      </c>
      <c r="O13" s="214" t="e">
        <f ca="1"/>
        <v>#NAME?</v>
      </c>
      <c r="P13" s="7" t="e">
        <f ca="1"/>
        <v>#NAME?</v>
      </c>
      <c r="Q13" s="215" t="e">
        <f ca="1"/>
        <v>#NAME?</v>
      </c>
      <c r="S13" s="386"/>
      <c r="T13" s="386" t="s">
        <v>41</v>
      </c>
      <c r="U13" s="386" t="s">
        <v>111</v>
      </c>
      <c r="V13" s="386" t="s">
        <v>115</v>
      </c>
      <c r="W13" s="386" t="s">
        <v>98</v>
      </c>
      <c r="X13" s="386" t="s">
        <v>48</v>
      </c>
      <c r="Y13" s="386" t="s">
        <v>164</v>
      </c>
    </row>
    <row r="14" spans="1:25" x14ac:dyDescent="0.25">
      <c r="A14" s="256" t="s">
        <v>4</v>
      </c>
      <c r="B14" s="20">
        <v>27</v>
      </c>
      <c r="C14" s="20">
        <v>21</v>
      </c>
      <c r="D14" s="269">
        <v>39</v>
      </c>
      <c r="E14" s="185" t="e">
        <f t="array" aca="1" ref="E14" ca="1">LLReg(A14:D14,$G$4:$J$7,$G$10:$J$10)</f>
        <v>#NAME?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L14" s="417">
        <v>16.28686833905622</v>
      </c>
      <c r="O14" s="112" t="e">
        <f ca="1"/>
        <v>#NAME?</v>
      </c>
      <c r="P14" s="354" t="e">
        <f ca="1"/>
        <v>#NAME?</v>
      </c>
      <c r="Q14" s="120" t="e">
        <f ca="1"/>
        <v>#NAME?</v>
      </c>
      <c r="S14" t="s">
        <v>113</v>
      </c>
      <c r="T14">
        <f>COUNTA(A3:D3)-1</f>
        <v>3</v>
      </c>
      <c r="U14" t="e">
        <f ca="1">T7*U16</f>
        <v>#NAME?</v>
      </c>
      <c r="V14" t="e">
        <f ca="1">U14/T14</f>
        <v>#NAME?</v>
      </c>
      <c r="W14" t="e">
        <f ca="1">V14/V15</f>
        <v>#NAME?</v>
      </c>
      <c r="X14" t="e">
        <f ca="1">FDIST(W14,T14,T15)</f>
        <v>#NAME?</v>
      </c>
      <c r="Y14" s="451" t="e">
        <f ca="1">IF(X14&lt;X12,"yes","no")</f>
        <v>#NAME?</v>
      </c>
    </row>
    <row r="15" spans="1:25" x14ac:dyDescent="0.25">
      <c r="A15" s="256">
        <v>14</v>
      </c>
      <c r="B15" s="20">
        <v>32</v>
      </c>
      <c r="C15" s="20">
        <v>20</v>
      </c>
      <c r="D15" s="269">
        <v>46</v>
      </c>
      <c r="E15" s="185" t="e">
        <f t="array" aca="1" ref="E15" ca="1">LLReg(A15:D15,$G$4:$J$7,$G$10:$J$10)</f>
        <v>#NAME?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L15" s="185">
        <v>32.915676871828403</v>
      </c>
      <c r="S15" t="s">
        <v>126</v>
      </c>
      <c r="T15">
        <f>T16-T14</f>
        <v>16</v>
      </c>
      <c r="U15" t="e">
        <f ca="1">U16-U14</f>
        <v>#NAME?</v>
      </c>
      <c r="V15" t="e">
        <f ca="1">U15/T15</f>
        <v>#NAME?</v>
      </c>
    </row>
    <row r="16" spans="1:25" x14ac:dyDescent="0.25">
      <c r="A16" s="256">
        <v>22</v>
      </c>
      <c r="B16" s="20">
        <v>40</v>
      </c>
      <c r="C16" s="20" t="s">
        <v>4</v>
      </c>
      <c r="D16" s="269">
        <v>49</v>
      </c>
      <c r="E16" s="185" t="e">
        <f t="array" aca="1" ref="E16" ca="1">LLReg(A16:D16,$G$4:$J$7,$G$10:$J$10)</f>
        <v>#NAME?</v>
      </c>
      <c r="G16" s="112" t="e">
        <f ca="1"/>
        <v>#NAME?</v>
      </c>
      <c r="H16" s="354" t="e">
        <f ca="1"/>
        <v>#NAME?</v>
      </c>
      <c r="I16" s="354" t="e">
        <f ca="1"/>
        <v>#NAME?</v>
      </c>
      <c r="J16" s="120" t="e">
        <f ca="1"/>
        <v>#NAME?</v>
      </c>
      <c r="L16" s="185">
        <v>21.256847979858609</v>
      </c>
      <c r="S16" s="354" t="s">
        <v>1</v>
      </c>
      <c r="T16" s="354">
        <f>T10-1</f>
        <v>19</v>
      </c>
      <c r="U16" s="354">
        <f>DEVSQ(D4:D23)</f>
        <v>989.61111111111097</v>
      </c>
      <c r="V16" s="354"/>
      <c r="W16" s="354"/>
      <c r="X16" s="354"/>
      <c r="Y16" s="354"/>
    </row>
    <row r="17" spans="1:25" ht="15.75" thickBot="1" x14ac:dyDescent="0.3">
      <c r="A17" s="256" t="s">
        <v>4</v>
      </c>
      <c r="B17" s="20">
        <v>31</v>
      </c>
      <c r="C17" s="20" t="s">
        <v>4</v>
      </c>
      <c r="D17" s="269">
        <v>44</v>
      </c>
      <c r="E17" s="185" t="e">
        <f t="array" aca="1" ref="E17" ca="1">LLReg(A17:D17,$G$4:$J$7,$G$10:$J$10)</f>
        <v>#NAME?</v>
      </c>
      <c r="L17" s="123">
        <v>47.143687162763719</v>
      </c>
    </row>
    <row r="18" spans="1:25" ht="15.75" thickTop="1" x14ac:dyDescent="0.25">
      <c r="A18" s="256" t="s">
        <v>4</v>
      </c>
      <c r="B18" s="20">
        <v>18</v>
      </c>
      <c r="C18" s="20">
        <v>21</v>
      </c>
      <c r="D18" s="269" t="s">
        <v>4</v>
      </c>
      <c r="E18" s="185" t="e">
        <f t="array" aca="1" ref="E18" ca="1">LLReg(A18:D18,$G$4:$J$7,$G$10:$J$10)</f>
        <v>#NAME?</v>
      </c>
      <c r="G18" t="s">
        <v>1059</v>
      </c>
      <c r="S18" s="386"/>
      <c r="T18" s="386" t="s">
        <v>797</v>
      </c>
      <c r="U18" s="386" t="s">
        <v>390</v>
      </c>
      <c r="V18" s="386" t="s">
        <v>42</v>
      </c>
      <c r="W18" s="386" t="s">
        <v>48</v>
      </c>
      <c r="X18" s="386" t="s">
        <v>15</v>
      </c>
      <c r="Y18" s="386" t="s">
        <v>16</v>
      </c>
    </row>
    <row r="19" spans="1:25" x14ac:dyDescent="0.25">
      <c r="A19" s="256">
        <v>16</v>
      </c>
      <c r="B19" s="20">
        <v>23</v>
      </c>
      <c r="C19" s="20">
        <v>21</v>
      </c>
      <c r="D19" s="269">
        <v>34</v>
      </c>
      <c r="E19" s="185" t="e">
        <f t="array" aca="1" ref="E19" ca="1">LLReg(A19:D19,$G$4:$J$7,$G$10:$J$10)</f>
        <v>#NAME?</v>
      </c>
      <c r="G19" s="275">
        <f>AVERAGE(A4:A23)</f>
        <v>16.133333333333333</v>
      </c>
      <c r="H19" s="263">
        <f>AVERAGE(B4:B23)</f>
        <v>34.411764705882355</v>
      </c>
      <c r="I19" s="263">
        <f>AVERAGE(C4:C23)</f>
        <v>21.0625</v>
      </c>
      <c r="J19" s="276">
        <f>AVERAGE(D4:D23)</f>
        <v>47.722222222222221</v>
      </c>
      <c r="S19" t="s">
        <v>127</v>
      </c>
      <c r="T19">
        <f>Q5</f>
        <v>27.117920276590311</v>
      </c>
    </row>
    <row r="20" spans="1:25" x14ac:dyDescent="0.25">
      <c r="A20" s="256">
        <v>27</v>
      </c>
      <c r="B20" s="20">
        <v>26</v>
      </c>
      <c r="C20" s="20">
        <v>23</v>
      </c>
      <c r="D20" s="269">
        <v>59</v>
      </c>
      <c r="E20" s="185" t="e">
        <f t="array" aca="1" ref="E20" ca="1">LLReg(A20:D20,$G$4:$J$7,$G$10:$J$10)</f>
        <v>#NAME?</v>
      </c>
      <c r="S20" t="str">
        <f t="array" ref="S20:S22">TRANSPOSE(A3:C3)</f>
        <v>read</v>
      </c>
      <c r="T20">
        <f>Q6</f>
        <v>0.53194171155368186</v>
      </c>
      <c r="U20" t="e">
        <f t="array" aca="1" ref="U20:U22" ca="1">SQRT(DIAG(O12:Q14))*T9</f>
        <v>#NAME?</v>
      </c>
      <c r="V20" t="e">
        <f ca="1">T20/U20</f>
        <v>#NAME?</v>
      </c>
      <c r="W20" t="e">
        <f ca="1">TDIST(ABS(V20),$T$15,2)</f>
        <v>#NAME?</v>
      </c>
      <c r="X20" t="e">
        <f ca="1">T20-TINV(X$12,$T$15)*U20</f>
        <v>#NAME?</v>
      </c>
      <c r="Y20" t="e">
        <f ca="1">T20+TINV(X$12,$T$15)*U20</f>
        <v>#NAME?</v>
      </c>
    </row>
    <row r="21" spans="1:25" x14ac:dyDescent="0.25">
      <c r="A21" s="256">
        <v>17</v>
      </c>
      <c r="B21" s="20" t="s">
        <v>4</v>
      </c>
      <c r="C21" s="20" t="s">
        <v>4</v>
      </c>
      <c r="D21" s="269">
        <v>35</v>
      </c>
      <c r="E21" s="185" t="e">
        <f t="array" aca="1" ref="E21" ca="1">LLReg(A21:D21,$G$4:$J$7,$G$10:$J$10)</f>
        <v>#NAME?</v>
      </c>
      <c r="G21" t="s">
        <v>1068</v>
      </c>
      <c r="S21" t="str">
        <v>science</v>
      </c>
      <c r="T21">
        <f>Q7</f>
        <v>0.47270314270332053</v>
      </c>
      <c r="U21" t="e">
        <f ca="1"/>
        <v>#NAME?</v>
      </c>
      <c r="V21" t="e">
        <f ca="1">T21/U21</f>
        <v>#NAME?</v>
      </c>
      <c r="W21" t="e">
        <f ca="1">TDIST(ABS(V21),$T$15,2)</f>
        <v>#NAME?</v>
      </c>
      <c r="X21" t="e">
        <f ca="1">T21-TINV(X$12,$T$15)*U21</f>
        <v>#NAME?</v>
      </c>
      <c r="Y21" t="e">
        <f ca="1">T21+TINV(X$12,$T$15)*U21</f>
        <v>#NAME?</v>
      </c>
    </row>
    <row r="22" spans="1:25" x14ac:dyDescent="0.25">
      <c r="A22" s="256">
        <v>13</v>
      </c>
      <c r="B22" s="20">
        <v>21</v>
      </c>
      <c r="C22" s="20">
        <v>20</v>
      </c>
      <c r="D22" s="269">
        <v>48</v>
      </c>
      <c r="E22" s="185" t="e">
        <f t="array" aca="1" ref="E22" ca="1">LLReg(A22:D22,$G$4:$J$7,$G$10:$J$10)</f>
        <v>#NAME?</v>
      </c>
      <c r="G22" s="275">
        <f>COUNT(A4:A23)</f>
        <v>15</v>
      </c>
      <c r="H22" s="263">
        <f>COUNT(B4:B23)</f>
        <v>17</v>
      </c>
      <c r="I22" s="263">
        <f>COUNT(C4:C23)</f>
        <v>16</v>
      </c>
      <c r="J22" s="276">
        <f>COUNT(D4:D23)</f>
        <v>18</v>
      </c>
      <c r="S22" s="354" t="str">
        <v>math</v>
      </c>
      <c r="T22" s="354">
        <f>Q8</f>
        <v>-0.19745362244914699</v>
      </c>
      <c r="U22" s="354" t="e">
        <f ca="1"/>
        <v>#NAME?</v>
      </c>
      <c r="V22" s="354" t="e">
        <f ca="1">T22/U22</f>
        <v>#NAME?</v>
      </c>
      <c r="W22" s="354" t="e">
        <f ca="1">TDIST(ABS(V22),$T$15,2)</f>
        <v>#NAME?</v>
      </c>
      <c r="X22" s="354" t="e">
        <f ca="1">T22-TINV(X$12,$T$15)*U22</f>
        <v>#NAME?</v>
      </c>
      <c r="Y22" s="354" t="e">
        <f ca="1">T22+TINV(X$12,$T$15)*U22</f>
        <v>#NAME?</v>
      </c>
    </row>
    <row r="23" spans="1:25" x14ac:dyDescent="0.25">
      <c r="A23" s="425">
        <v>11</v>
      </c>
      <c r="B23" s="428">
        <v>51</v>
      </c>
      <c r="C23" s="428">
        <v>18</v>
      </c>
      <c r="D23" s="426">
        <v>54</v>
      </c>
      <c r="E23" s="123" t="e">
        <f t="array" aca="1" ref="E23" ca="1">LLReg(A23:D23,$G$4:$J$7,$G$10:$J$10)</f>
        <v>#NAME?</v>
      </c>
    </row>
    <row r="24" spans="1:25" x14ac:dyDescent="0.25">
      <c r="E24" t="e">
        <f ca="1">SUM(E4:E23)</f>
        <v>#NAME?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Y27"/>
  <sheetViews>
    <sheetView workbookViewId="0"/>
  </sheetViews>
  <sheetFormatPr defaultRowHeight="15" x14ac:dyDescent="0.25"/>
  <cols>
    <col min="19" max="19" width="18" customWidth="1"/>
  </cols>
  <sheetData>
    <row r="1" spans="1:25" x14ac:dyDescent="0.25">
      <c r="A1" s="1" t="s">
        <v>1062</v>
      </c>
    </row>
    <row r="3" spans="1:25" x14ac:dyDescent="0.25">
      <c r="A3" s="451" t="s">
        <v>1015</v>
      </c>
      <c r="B3" s="451" t="s">
        <v>997</v>
      </c>
      <c r="C3" s="451" t="s">
        <v>996</v>
      </c>
      <c r="D3" s="451" t="s">
        <v>1016</v>
      </c>
      <c r="E3" s="450" t="s">
        <v>1072</v>
      </c>
      <c r="G3" t="s">
        <v>787</v>
      </c>
      <c r="L3" s="451" t="s">
        <v>1060</v>
      </c>
      <c r="M3" t="s">
        <v>1064</v>
      </c>
      <c r="O3" t="s">
        <v>1066</v>
      </c>
      <c r="S3" t="s">
        <v>798</v>
      </c>
    </row>
    <row r="4" spans="1:25" x14ac:dyDescent="0.25">
      <c r="A4" s="423">
        <v>12</v>
      </c>
      <c r="B4" s="429">
        <v>27</v>
      </c>
      <c r="C4" s="429">
        <v>19</v>
      </c>
      <c r="D4" s="424">
        <v>44</v>
      </c>
      <c r="E4" s="417" t="e">
        <f t="array" aca="1" ref="E4" ca="1">LLReg(A4:D4,$G$4:$J$7,$G$10:$J$10)</f>
        <v>#NAME?</v>
      </c>
      <c r="G4" s="418">
        <f>L4</f>
        <v>19.913368556254991</v>
      </c>
      <c r="H4" s="416">
        <f>G5</f>
        <v>-1.7969432911037646</v>
      </c>
      <c r="I4" s="416">
        <f>G6</f>
        <v>7.0738099577208127</v>
      </c>
      <c r="J4" s="419">
        <f>G7</f>
        <v>8.346581210980327</v>
      </c>
      <c r="L4" s="417">
        <v>19.913368556254991</v>
      </c>
      <c r="M4" s="417">
        <f>L4</f>
        <v>19.913368556254991</v>
      </c>
    </row>
    <row r="5" spans="1:25" ht="15.75" thickBot="1" x14ac:dyDescent="0.3">
      <c r="A5" s="256">
        <v>11</v>
      </c>
      <c r="B5" s="20" t="s">
        <v>4</v>
      </c>
      <c r="C5" s="20">
        <v>13</v>
      </c>
      <c r="D5" s="269">
        <v>43</v>
      </c>
      <c r="E5" s="185" t="e">
        <f t="array" aca="1" ref="E5" ca="1">LLReg(A5:D5,$G$4:$J$7,$G$10:$J$10)</f>
        <v>#NAME?</v>
      </c>
      <c r="G5" s="214">
        <f>L5</f>
        <v>-1.7969432911037646</v>
      </c>
      <c r="H5" s="7">
        <f>L8</f>
        <v>117.12234407398635</v>
      </c>
      <c r="I5" s="7">
        <f>H6</f>
        <v>13.571344540903519</v>
      </c>
      <c r="J5" s="215">
        <f>H7</f>
        <v>51.728519893611484</v>
      </c>
      <c r="L5" s="185">
        <v>-1.7969432911037646</v>
      </c>
      <c r="M5" s="185">
        <f>SQRT(L4*L8)-ABS(L5)</f>
        <v>46.496952842028811</v>
      </c>
      <c r="O5" t="s">
        <v>143</v>
      </c>
      <c r="P5" s="417">
        <f>-MMULT(G10:J10,P6:P9)</f>
        <v>27.117920276590311</v>
      </c>
      <c r="S5" s="342" t="s">
        <v>799</v>
      </c>
      <c r="T5" s="342"/>
    </row>
    <row r="6" spans="1:25" ht="15.75" thickTop="1" x14ac:dyDescent="0.25">
      <c r="A6" s="256" t="s">
        <v>4</v>
      </c>
      <c r="B6" s="20">
        <v>56</v>
      </c>
      <c r="C6" s="20">
        <v>23</v>
      </c>
      <c r="D6" s="269">
        <v>60</v>
      </c>
      <c r="E6" s="185" t="e">
        <f t="array" aca="1" ref="E6" ca="1">LLReg(A6:D6,$G$4:$J$7,$G$10:$J$10)</f>
        <v>#NAME?</v>
      </c>
      <c r="G6" s="214">
        <f>L6</f>
        <v>7.0738099577208127</v>
      </c>
      <c r="H6" s="7">
        <f>L9</f>
        <v>13.571344540903519</v>
      </c>
      <c r="I6" s="7">
        <f>L11</f>
        <v>10.133748927107019</v>
      </c>
      <c r="J6" s="215">
        <f>I7</f>
        <v>8.1771263566626953</v>
      </c>
      <c r="L6" s="185">
        <v>7.0738099577208127</v>
      </c>
      <c r="M6" s="185">
        <f>SQRT(L4*L11)-ABS(L6)</f>
        <v>7.131719854364186</v>
      </c>
      <c r="O6" t="str">
        <f t="array" ref="O6:O8">TRANSPOSE(A3:C3)</f>
        <v>read</v>
      </c>
      <c r="P6" s="185">
        <f t="array" ref="P6:P8">MMULT(MINVERSE(G4:I6),J4:J6)</f>
        <v>0.53194171155368186</v>
      </c>
      <c r="S6" t="s">
        <v>123</v>
      </c>
      <c r="T6" t="e">
        <f ca="1">SQRT(T7)</f>
        <v>#NAME?</v>
      </c>
    </row>
    <row r="7" spans="1:25" x14ac:dyDescent="0.25">
      <c r="A7" s="256">
        <v>15</v>
      </c>
      <c r="B7" s="20">
        <v>37</v>
      </c>
      <c r="C7" s="20">
        <v>19</v>
      </c>
      <c r="D7" s="269">
        <v>52</v>
      </c>
      <c r="E7" s="185" t="e">
        <f t="array" aca="1" ref="E7" ca="1">LLReg(A7:D7,$G$4:$J$7,$G$10:$J$10)</f>
        <v>#NAME?</v>
      </c>
      <c r="G7" s="112">
        <f>L7</f>
        <v>8.346581210980327</v>
      </c>
      <c r="H7" s="354">
        <f>L10</f>
        <v>51.728519893611484</v>
      </c>
      <c r="I7" s="354">
        <f>L12</f>
        <v>8.1771263566626953</v>
      </c>
      <c r="J7" s="120">
        <f>L13</f>
        <v>55.620698602570627</v>
      </c>
      <c r="L7" s="123">
        <v>8.346581210980327</v>
      </c>
      <c r="M7" s="123">
        <f>SQRT(L4*L13)-ABS(L7)</f>
        <v>24.933975734920772</v>
      </c>
      <c r="O7" t="str">
        <v>science</v>
      </c>
      <c r="P7" s="185">
        <v>0.47270314270332053</v>
      </c>
      <c r="S7" t="s">
        <v>120</v>
      </c>
      <c r="T7" t="e">
        <f ca="1">SUMPRODUCT(J13:J15,P6:P8)/J16</f>
        <v>#NAME?</v>
      </c>
    </row>
    <row r="8" spans="1:25" x14ac:dyDescent="0.25">
      <c r="A8" s="256">
        <v>10</v>
      </c>
      <c r="B8" s="20">
        <v>31</v>
      </c>
      <c r="C8" s="20">
        <v>21</v>
      </c>
      <c r="D8" s="269" t="s">
        <v>4</v>
      </c>
      <c r="E8" s="185" t="e">
        <f t="array" aca="1" ref="E8" ca="1">LLReg(A8:D8,$G$4:$J$7,$G$10:$J$10)</f>
        <v>#NAME?</v>
      </c>
      <c r="L8" s="185">
        <v>117.12234407398635</v>
      </c>
      <c r="M8" s="417">
        <f>L8</f>
        <v>117.12234407398635</v>
      </c>
      <c r="O8" t="str">
        <v>math</v>
      </c>
      <c r="P8" s="123">
        <v>-0.19745362244914699</v>
      </c>
      <c r="S8" t="s">
        <v>124</v>
      </c>
      <c r="T8" t="e">
        <f ca="1">1-(1-T7)*(T10-1)/(T10-T14-1)</f>
        <v>#NAME?</v>
      </c>
    </row>
    <row r="9" spans="1:25" x14ac:dyDescent="0.25">
      <c r="A9" s="256">
        <v>18</v>
      </c>
      <c r="B9" s="20">
        <v>40</v>
      </c>
      <c r="C9" s="20">
        <v>22</v>
      </c>
      <c r="D9" s="269">
        <v>43</v>
      </c>
      <c r="E9" s="185" t="e">
        <f t="array" aca="1" ref="E9" ca="1">LLReg(A9:D9,$G$4:$J$7,$G$10:$J$10)</f>
        <v>#NAME?</v>
      </c>
      <c r="G9" t="s">
        <v>1058</v>
      </c>
      <c r="L9" s="185">
        <v>13.571344540903519</v>
      </c>
      <c r="M9" s="185">
        <f>SQRT(L8*L11)-ABS(L9)</f>
        <v>20.879902586015099</v>
      </c>
      <c r="P9">
        <v>-1</v>
      </c>
      <c r="S9" t="s">
        <v>10</v>
      </c>
      <c r="T9" t="e">
        <f ca="1">SQRT(V15)</f>
        <v>#NAME?</v>
      </c>
    </row>
    <row r="10" spans="1:25" x14ac:dyDescent="0.25">
      <c r="A10" s="256">
        <v>15</v>
      </c>
      <c r="B10" s="20">
        <v>50</v>
      </c>
      <c r="C10" s="20">
        <v>28</v>
      </c>
      <c r="D10" s="269">
        <v>56</v>
      </c>
      <c r="E10" s="185" t="e">
        <f t="array" aca="1" ref="E10" ca="1">LLReg(A10:D10,$G$4:$J$7,$G$10:$J$10)</f>
        <v>#NAME?</v>
      </c>
      <c r="G10" s="275">
        <f>L14</f>
        <v>16.28686833905622</v>
      </c>
      <c r="H10" s="263">
        <f>L15</f>
        <v>32.915676871828403</v>
      </c>
      <c r="I10" s="263">
        <f>L16</f>
        <v>21.256847979858609</v>
      </c>
      <c r="J10" s="276">
        <f>L17</f>
        <v>47.143687162763719</v>
      </c>
      <c r="L10" s="123">
        <v>51.728519893611484</v>
      </c>
      <c r="M10" s="123">
        <f>SQRT(L8*L13)-ABS(L10)</f>
        <v>28.983477971425707</v>
      </c>
      <c r="S10" s="354" t="s">
        <v>55</v>
      </c>
      <c r="T10" s="354">
        <f>K22</f>
        <v>16.5</v>
      </c>
    </row>
    <row r="11" spans="1:25" ht="17.25" x14ac:dyDescent="0.25">
      <c r="A11" s="256">
        <v>21</v>
      </c>
      <c r="B11" s="20" t="s">
        <v>4</v>
      </c>
      <c r="C11" s="20" t="s">
        <v>4</v>
      </c>
      <c r="D11" s="269">
        <v>46</v>
      </c>
      <c r="E11" s="185" t="e">
        <f t="array" aca="1" ref="E11" ca="1">LLReg(A11:D11,$G$4:$J$7,$G$10:$J$10)</f>
        <v>#NAME?</v>
      </c>
      <c r="L11" s="185">
        <v>10.133748927107019</v>
      </c>
      <c r="M11" s="417">
        <f>L11</f>
        <v>10.133748927107019</v>
      </c>
      <c r="O11" t="s">
        <v>1067</v>
      </c>
    </row>
    <row r="12" spans="1:25" ht="15.75" thickBot="1" x14ac:dyDescent="0.3">
      <c r="A12" s="256">
        <v>20</v>
      </c>
      <c r="B12" s="20">
        <v>39</v>
      </c>
      <c r="C12" s="20">
        <v>25</v>
      </c>
      <c r="D12" s="269">
        <v>51</v>
      </c>
      <c r="E12" s="185" t="e">
        <f t="array" aca="1" ref="E12" ca="1">LLReg(A12:D12,$G$4:$J$7,$G$10:$J$10)</f>
        <v>#NAME?</v>
      </c>
      <c r="G12" t="s">
        <v>1057</v>
      </c>
      <c r="L12" s="123">
        <v>8.1771263566626953</v>
      </c>
      <c r="M12" s="123">
        <f>SQRT(L11*L13)-ABS(L12)</f>
        <v>15.564107705380982</v>
      </c>
      <c r="O12" s="418" t="e">
        <f t="array" aca="1" ref="O12:Q14" ca="1">MINVERSE(G13:I15)/(COUNTA(A4:A23)-1)</f>
        <v>#NAME?</v>
      </c>
      <c r="P12" s="416" t="e">
        <f ca="1"/>
        <v>#NAME?</v>
      </c>
      <c r="Q12" s="419" t="e">
        <f ca="1"/>
        <v>#NAME?</v>
      </c>
      <c r="S12" t="s">
        <v>125</v>
      </c>
      <c r="W12" s="451" t="s">
        <v>18</v>
      </c>
      <c r="X12" s="451">
        <v>0.05</v>
      </c>
    </row>
    <row r="13" spans="1:25" ht="15.75" thickTop="1" x14ac:dyDescent="0.25">
      <c r="A13" s="256" t="s">
        <v>4</v>
      </c>
      <c r="B13" s="20">
        <v>36</v>
      </c>
      <c r="C13" s="20">
        <v>23</v>
      </c>
      <c r="D13" s="269">
        <v>56</v>
      </c>
      <c r="E13" s="185" t="e">
        <f t="array" aca="1" ref="E13" ca="1">LLReg(A13:D13,$G$4:$J$7,$G$10:$J$10)</f>
        <v>#NAME?</v>
      </c>
      <c r="G13" s="418" t="e">
        <f t="array" aca="1" ref="G13:J16" ca="1">COV(A4:D23,FALSE)</f>
        <v>#NAME?</v>
      </c>
      <c r="H13" s="416" t="e">
        <f ca="1"/>
        <v>#NAME?</v>
      </c>
      <c r="I13" s="416" t="e">
        <f ca="1"/>
        <v>#NAME?</v>
      </c>
      <c r="J13" s="419" t="e">
        <f ca="1"/>
        <v>#NAME?</v>
      </c>
      <c r="L13" s="123">
        <v>55.620698602570627</v>
      </c>
      <c r="M13" s="120">
        <f>L13</f>
        <v>55.620698602570627</v>
      </c>
      <c r="O13" s="214" t="e">
        <f ca="1"/>
        <v>#NAME?</v>
      </c>
      <c r="P13" s="7" t="e">
        <f ca="1"/>
        <v>#NAME?</v>
      </c>
      <c r="Q13" s="215" t="e">
        <f ca="1"/>
        <v>#NAME?</v>
      </c>
      <c r="S13" s="386"/>
      <c r="T13" s="386" t="s">
        <v>41</v>
      </c>
      <c r="U13" s="386" t="s">
        <v>111</v>
      </c>
      <c r="V13" s="386" t="s">
        <v>115</v>
      </c>
      <c r="W13" s="386" t="s">
        <v>98</v>
      </c>
      <c r="X13" s="386" t="s">
        <v>48</v>
      </c>
      <c r="Y13" s="386" t="s">
        <v>164</v>
      </c>
    </row>
    <row r="14" spans="1:25" x14ac:dyDescent="0.25">
      <c r="A14" s="256" t="s">
        <v>4</v>
      </c>
      <c r="B14" s="20">
        <v>27</v>
      </c>
      <c r="C14" s="20">
        <v>21</v>
      </c>
      <c r="D14" s="269">
        <v>39</v>
      </c>
      <c r="E14" s="185" t="e">
        <f t="array" aca="1" ref="E14" ca="1">LLReg(A14:D14,$G$4:$J$7,$G$10:$J$10)</f>
        <v>#NAME?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L14" s="417">
        <v>16.28686833905622</v>
      </c>
      <c r="O14" s="112" t="e">
        <f ca="1"/>
        <v>#NAME?</v>
      </c>
      <c r="P14" s="354" t="e">
        <f ca="1"/>
        <v>#NAME?</v>
      </c>
      <c r="Q14" s="120" t="e">
        <f ca="1"/>
        <v>#NAME?</v>
      </c>
      <c r="S14" t="s">
        <v>113</v>
      </c>
      <c r="T14">
        <f>COUNTA(A3:D3)-1</f>
        <v>3</v>
      </c>
      <c r="U14" t="e">
        <f ca="1">T7*U16</f>
        <v>#NAME?</v>
      </c>
      <c r="V14" t="e">
        <f ca="1">U14/T14</f>
        <v>#NAME?</v>
      </c>
      <c r="W14" t="e">
        <f ca="1">V14/V15</f>
        <v>#NAME?</v>
      </c>
      <c r="X14" t="e">
        <f ca="1">FDIST(W14,T14,T15)</f>
        <v>#NAME?</v>
      </c>
      <c r="Y14" s="451" t="e">
        <f ca="1">IF(X14&lt;X12,"yes","no")</f>
        <v>#NAME?</v>
      </c>
    </row>
    <row r="15" spans="1:25" x14ac:dyDescent="0.25">
      <c r="A15" s="256">
        <v>14</v>
      </c>
      <c r="B15" s="20">
        <v>32</v>
      </c>
      <c r="C15" s="20">
        <v>20</v>
      </c>
      <c r="D15" s="269">
        <v>46</v>
      </c>
      <c r="E15" s="185" t="e">
        <f t="array" aca="1" ref="E15" ca="1">LLReg(A15:D15,$G$4:$J$7,$G$10:$J$10)</f>
        <v>#NAME?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L15" s="185">
        <v>32.915676871828403</v>
      </c>
      <c r="S15" t="s">
        <v>126</v>
      </c>
      <c r="T15">
        <f>T16-T14</f>
        <v>12.5</v>
      </c>
      <c r="U15" t="e">
        <f ca="1">U16-U14</f>
        <v>#NAME?</v>
      </c>
      <c r="V15" t="e">
        <f ca="1">U15/T15</f>
        <v>#NAME?</v>
      </c>
    </row>
    <row r="16" spans="1:25" x14ac:dyDescent="0.25">
      <c r="A16" s="256">
        <v>22</v>
      </c>
      <c r="B16" s="20">
        <v>40</v>
      </c>
      <c r="C16" s="20" t="s">
        <v>4</v>
      </c>
      <c r="D16" s="269">
        <v>49</v>
      </c>
      <c r="E16" s="185" t="e">
        <f t="array" aca="1" ref="E16" ca="1">LLReg(A16:D16,$G$4:$J$7,$G$10:$J$10)</f>
        <v>#NAME?</v>
      </c>
      <c r="G16" s="112" t="e">
        <f ca="1"/>
        <v>#NAME?</v>
      </c>
      <c r="H16" s="354" t="e">
        <f ca="1"/>
        <v>#NAME?</v>
      </c>
      <c r="I16" s="354" t="e">
        <f ca="1"/>
        <v>#NAME?</v>
      </c>
      <c r="J16" s="120" t="e">
        <f ca="1"/>
        <v>#NAME?</v>
      </c>
      <c r="L16" s="185">
        <v>21.256847979858609</v>
      </c>
      <c r="S16" s="354" t="s">
        <v>1</v>
      </c>
      <c r="T16" s="354">
        <f>T10-1</f>
        <v>15.5</v>
      </c>
      <c r="U16" s="354">
        <f>DEVSQ(D4:D23)</f>
        <v>989.61111111111097</v>
      </c>
      <c r="V16" s="354"/>
      <c r="W16" s="354"/>
      <c r="X16" s="354"/>
      <c r="Y16" s="354"/>
    </row>
    <row r="17" spans="1:25" ht="15.75" thickBot="1" x14ac:dyDescent="0.3">
      <c r="A17" s="256" t="s">
        <v>4</v>
      </c>
      <c r="B17" s="20">
        <v>31</v>
      </c>
      <c r="C17" s="20" t="s">
        <v>4</v>
      </c>
      <c r="D17" s="269">
        <v>44</v>
      </c>
      <c r="E17" s="185" t="e">
        <f t="array" aca="1" ref="E17" ca="1">LLReg(A17:D17,$G$4:$J$7,$G$10:$J$10)</f>
        <v>#NAME?</v>
      </c>
      <c r="L17" s="123">
        <v>47.143687162763719</v>
      </c>
    </row>
    <row r="18" spans="1:25" ht="15.75" thickTop="1" x14ac:dyDescent="0.25">
      <c r="A18" s="256" t="s">
        <v>4</v>
      </c>
      <c r="B18" s="20">
        <v>18</v>
      </c>
      <c r="C18" s="20">
        <v>21</v>
      </c>
      <c r="D18" s="269" t="s">
        <v>4</v>
      </c>
      <c r="E18" s="185" t="e">
        <f t="array" aca="1" ref="E18" ca="1">LLReg(A18:D18,$G$4:$J$7,$G$10:$J$10)</f>
        <v>#NAME?</v>
      </c>
      <c r="G18" t="s">
        <v>1059</v>
      </c>
      <c r="S18" s="386"/>
      <c r="T18" s="386" t="s">
        <v>797</v>
      </c>
      <c r="U18" s="386" t="s">
        <v>390</v>
      </c>
      <c r="V18" s="386" t="s">
        <v>42</v>
      </c>
      <c r="W18" s="386" t="s">
        <v>48</v>
      </c>
      <c r="X18" s="386" t="s">
        <v>15</v>
      </c>
      <c r="Y18" s="386" t="s">
        <v>16</v>
      </c>
    </row>
    <row r="19" spans="1:25" x14ac:dyDescent="0.25">
      <c r="A19" s="256">
        <v>16</v>
      </c>
      <c r="B19" s="20">
        <v>23</v>
      </c>
      <c r="C19" s="20">
        <v>21</v>
      </c>
      <c r="D19" s="269">
        <v>34</v>
      </c>
      <c r="E19" s="185" t="e">
        <f t="array" aca="1" ref="E19" ca="1">LLReg(A19:D19,$G$4:$J$7,$G$10:$J$10)</f>
        <v>#NAME?</v>
      </c>
      <c r="G19" s="275">
        <f>AVERAGE(A4:A23)</f>
        <v>16.133333333333333</v>
      </c>
      <c r="H19" s="263">
        <f>AVERAGE(B4:B23)</f>
        <v>34.411764705882355</v>
      </c>
      <c r="I19" s="263">
        <f>AVERAGE(C4:C23)</f>
        <v>21.0625</v>
      </c>
      <c r="J19" s="276">
        <f>AVERAGE(D4:D23)</f>
        <v>47.722222222222221</v>
      </c>
      <c r="S19" t="s">
        <v>127</v>
      </c>
      <c r="T19">
        <f>P5</f>
        <v>27.117920276590311</v>
      </c>
    </row>
    <row r="20" spans="1:25" x14ac:dyDescent="0.25">
      <c r="A20" s="256">
        <v>27</v>
      </c>
      <c r="B20" s="20">
        <v>26</v>
      </c>
      <c r="C20" s="20">
        <v>23</v>
      </c>
      <c r="D20" s="269">
        <v>59</v>
      </c>
      <c r="E20" s="185" t="e">
        <f t="array" aca="1" ref="E20" ca="1">LLReg(A20:D20,$G$4:$J$7,$G$10:$J$10)</f>
        <v>#NAME?</v>
      </c>
      <c r="S20" t="str">
        <f t="array" ref="S20:S22">TRANSPOSE(A3:C3)</f>
        <v>read</v>
      </c>
      <c r="T20">
        <f>P6</f>
        <v>0.53194171155368186</v>
      </c>
      <c r="U20" t="e">
        <f t="array" aca="1" ref="U20:U22" ca="1">SQRT(DIAG(O12:Q14))*T9</f>
        <v>#NAME?</v>
      </c>
      <c r="V20" t="e">
        <f ca="1">T20/U20</f>
        <v>#NAME?</v>
      </c>
      <c r="W20" t="e">
        <f ca="1">TDIST(ABS(V20),$T$15,2)</f>
        <v>#NAME?</v>
      </c>
      <c r="X20" t="e">
        <f ca="1">T20-TINV(X$12,$T$15)*U20</f>
        <v>#NAME?</v>
      </c>
      <c r="Y20" t="e">
        <f ca="1">T20+TINV(X$12,$T$15)*U20</f>
        <v>#NAME?</v>
      </c>
    </row>
    <row r="21" spans="1:25" x14ac:dyDescent="0.25">
      <c r="A21" s="256">
        <v>17</v>
      </c>
      <c r="B21" s="20" t="s">
        <v>4</v>
      </c>
      <c r="C21" s="20" t="s">
        <v>4</v>
      </c>
      <c r="D21" s="269">
        <v>35</v>
      </c>
      <c r="E21" s="185" t="e">
        <f t="array" aca="1" ref="E21" ca="1">LLReg(A21:D21,$G$4:$J$7,$G$10:$J$10)</f>
        <v>#NAME?</v>
      </c>
      <c r="G21" t="s">
        <v>1068</v>
      </c>
      <c r="S21" t="str">
        <v>science</v>
      </c>
      <c r="T21">
        <f>P7</f>
        <v>0.47270314270332053</v>
      </c>
      <c r="U21" t="e">
        <f ca="1"/>
        <v>#NAME?</v>
      </c>
      <c r="V21" t="e">
        <f ca="1">T21/U21</f>
        <v>#NAME?</v>
      </c>
      <c r="W21" t="e">
        <f ca="1">TDIST(ABS(V21),$T$15,2)</f>
        <v>#NAME?</v>
      </c>
      <c r="X21" t="e">
        <f ca="1">T21-TINV(X$12,$T$15)*U21</f>
        <v>#NAME?</v>
      </c>
      <c r="Y21" t="e">
        <f ca="1">T21+TINV(X$12,$T$15)*U21</f>
        <v>#NAME?</v>
      </c>
    </row>
    <row r="22" spans="1:25" x14ac:dyDescent="0.25">
      <c r="A22" s="256">
        <v>13</v>
      </c>
      <c r="B22" s="20">
        <v>21</v>
      </c>
      <c r="C22" s="20">
        <v>20</v>
      </c>
      <c r="D22" s="269">
        <v>48</v>
      </c>
      <c r="E22" s="185" t="e">
        <f t="array" aca="1" ref="E22" ca="1">LLReg(A22:D22,$G$4:$J$7,$G$10:$J$10)</f>
        <v>#NAME?</v>
      </c>
      <c r="G22" s="275">
        <f>COUNT(A4:A23)</f>
        <v>15</v>
      </c>
      <c r="H22" s="263">
        <f>COUNT(B4:B23)</f>
        <v>17</v>
      </c>
      <c r="I22" s="263">
        <f>COUNT(C4:C23)</f>
        <v>16</v>
      </c>
      <c r="J22" s="263">
        <f>COUNT(D4:D23)</f>
        <v>18</v>
      </c>
      <c r="K22" s="454">
        <f>AVERAGE(G22:J22)</f>
        <v>16.5</v>
      </c>
      <c r="S22" s="354" t="str">
        <v>math</v>
      </c>
      <c r="T22" s="354">
        <f>P8</f>
        <v>-0.19745362244914699</v>
      </c>
      <c r="U22" s="354" t="e">
        <f ca="1"/>
        <v>#NAME?</v>
      </c>
      <c r="V22" s="354" t="e">
        <f ca="1">T22/U22</f>
        <v>#NAME?</v>
      </c>
      <c r="W22" s="354" t="e">
        <f ca="1">TDIST(ABS(V22),$T$15,2)</f>
        <v>#NAME?</v>
      </c>
      <c r="X22" s="354" t="e">
        <f ca="1">T22-TINV(X$12,$T$15)*U22</f>
        <v>#NAME?</v>
      </c>
      <c r="Y22" s="354" t="e">
        <f ca="1">T22+TINV(X$12,$T$15)*U22</f>
        <v>#NAME?</v>
      </c>
    </row>
    <row r="23" spans="1:25" x14ac:dyDescent="0.25">
      <c r="A23" s="425">
        <v>11</v>
      </c>
      <c r="B23" s="428">
        <v>51</v>
      </c>
      <c r="C23" s="428">
        <v>18</v>
      </c>
      <c r="D23" s="426">
        <v>54</v>
      </c>
      <c r="E23" s="123" t="e">
        <f t="array" aca="1" ref="E23" ca="1">LLReg(A23:D23,$G$4:$J$7,$G$10:$J$10)</f>
        <v>#NAME?</v>
      </c>
    </row>
    <row r="24" spans="1:25" x14ac:dyDescent="0.25">
      <c r="E24" t="e">
        <f ca="1">SUM(E4:E23)</f>
        <v>#NAME?</v>
      </c>
    </row>
    <row r="27" spans="1:25" x14ac:dyDescent="0.25">
      <c r="O27" t="e">
        <f t="array" aca="1" ref="O27:Q27" ca="1">SQRT(DIAG(O16:Q18))</f>
        <v>#NAME?</v>
      </c>
      <c r="P27" t="e">
        <f ca="1"/>
        <v>#NAME?</v>
      </c>
      <c r="Q27" t="e">
        <f ca="1"/>
        <v>#NAME?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AI24"/>
  <sheetViews>
    <sheetView workbookViewId="0"/>
  </sheetViews>
  <sheetFormatPr defaultRowHeight="15" x14ac:dyDescent="0.25"/>
  <cols>
    <col min="29" max="29" width="17.5703125" customWidth="1"/>
  </cols>
  <sheetData>
    <row r="1" spans="1:35" x14ac:dyDescent="0.25">
      <c r="A1" s="1" t="s">
        <v>1076</v>
      </c>
    </row>
    <row r="3" spans="1:35" x14ac:dyDescent="0.25">
      <c r="A3" s="455" t="s">
        <v>1015</v>
      </c>
      <c r="B3" s="455" t="s">
        <v>997</v>
      </c>
      <c r="C3" s="455" t="s">
        <v>996</v>
      </c>
      <c r="D3" s="455" t="s">
        <v>1016</v>
      </c>
      <c r="F3" t="s">
        <v>1038</v>
      </c>
      <c r="L3" s="455" t="str">
        <f>A3</f>
        <v>read</v>
      </c>
      <c r="M3" s="455" t="str">
        <f>B3</f>
        <v>science</v>
      </c>
      <c r="N3" s="455" t="str">
        <f>C3</f>
        <v>math</v>
      </c>
      <c r="O3" s="455" t="str">
        <f>D3</f>
        <v>medicine</v>
      </c>
      <c r="P3" s="450" t="s">
        <v>1072</v>
      </c>
      <c r="R3" t="s">
        <v>1069</v>
      </c>
      <c r="W3" s="455" t="s">
        <v>1060</v>
      </c>
      <c r="Y3" t="s">
        <v>1073</v>
      </c>
      <c r="AC3" t="s">
        <v>798</v>
      </c>
    </row>
    <row r="4" spans="1:35" x14ac:dyDescent="0.25">
      <c r="A4" s="423">
        <v>12</v>
      </c>
      <c r="B4" s="429">
        <v>27</v>
      </c>
      <c r="C4" s="429">
        <v>19</v>
      </c>
      <c r="D4" s="424">
        <v>44</v>
      </c>
      <c r="L4" s="436">
        <f t="shared" ref="L4:L23" si="0">A4</f>
        <v>12</v>
      </c>
      <c r="M4" s="437">
        <f t="shared" ref="M4:M23" si="1">B4</f>
        <v>27</v>
      </c>
      <c r="N4" s="437">
        <f t="shared" ref="N4:N23" si="2">C4</f>
        <v>19</v>
      </c>
      <c r="O4" s="466">
        <f t="shared" ref="O4:O23" si="3">D4</f>
        <v>44</v>
      </c>
      <c r="P4" s="417" t="e">
        <f t="array" aca="1" ref="P4" ca="1">LLReg(L4:O4,$R$4:$U$7,$R$10:$U$10)</f>
        <v>#NAME?</v>
      </c>
      <c r="R4" s="414">
        <f>W4</f>
        <v>19.913368556254991</v>
      </c>
      <c r="S4" s="358">
        <f>R5</f>
        <v>-1.7969432911037646</v>
      </c>
      <c r="T4" s="358">
        <f>R6</f>
        <v>7.0738099577208127</v>
      </c>
      <c r="U4" s="415">
        <f>R7</f>
        <v>8.346581210980327</v>
      </c>
      <c r="W4" s="380">
        <v>19.913368556254991</v>
      </c>
    </row>
    <row r="5" spans="1:35" ht="15.75" thickBot="1" x14ac:dyDescent="0.3">
      <c r="A5" s="256">
        <v>11</v>
      </c>
      <c r="B5" s="20" t="s">
        <v>4</v>
      </c>
      <c r="C5" s="20">
        <v>13</v>
      </c>
      <c r="D5" s="269">
        <v>43</v>
      </c>
      <c r="F5" t="e">
        <f t="array" aca="1" ref="F5:J10" ca="1">DescStats(A3:D23,TRUE,TRUE)</f>
        <v>#NAME?</v>
      </c>
      <c r="G5" s="455" t="e">
        <f ca="1"/>
        <v>#NAME?</v>
      </c>
      <c r="H5" s="455" t="e">
        <f ca="1"/>
        <v>#NAME?</v>
      </c>
      <c r="I5" s="455" t="e">
        <f ca="1"/>
        <v>#NAME?</v>
      </c>
      <c r="J5" s="455" t="e">
        <f ca="1"/>
        <v>#NAME?</v>
      </c>
      <c r="L5" s="182">
        <f t="shared" si="0"/>
        <v>11</v>
      </c>
      <c r="M5" s="456" t="str">
        <f t="shared" si="1"/>
        <v>x</v>
      </c>
      <c r="N5" s="456">
        <f t="shared" si="2"/>
        <v>13</v>
      </c>
      <c r="O5" s="186">
        <f t="shared" si="3"/>
        <v>43</v>
      </c>
      <c r="P5" s="185" t="e">
        <f t="array" aca="1" ref="P5" ca="1">LLReg(L5:O5,$R$4:$U$7,$R$10:$U$10)</f>
        <v>#NAME?</v>
      </c>
      <c r="R5" s="183">
        <f>W5</f>
        <v>-1.7969432911037646</v>
      </c>
      <c r="S5" s="7">
        <f>W8</f>
        <v>117.12234407398635</v>
      </c>
      <c r="T5" s="7">
        <f>S6</f>
        <v>13.571344540903519</v>
      </c>
      <c r="U5" s="43">
        <f>S7</f>
        <v>51.728519893611484</v>
      </c>
      <c r="W5" s="322">
        <v>-1.7969432911037646</v>
      </c>
      <c r="Y5" t="s">
        <v>127</v>
      </c>
      <c r="Z5" s="380">
        <f t="array" ref="Z5">-MMULT(R10:U10,Z6:Z9)</f>
        <v>27.117920276590311</v>
      </c>
      <c r="AC5" s="342" t="s">
        <v>799</v>
      </c>
      <c r="AD5" s="342"/>
    </row>
    <row r="6" spans="1:35" ht="15.75" thickTop="1" x14ac:dyDescent="0.25">
      <c r="A6" s="256" t="s">
        <v>4</v>
      </c>
      <c r="B6" s="20">
        <v>56</v>
      </c>
      <c r="C6" s="20">
        <v>23</v>
      </c>
      <c r="D6" s="269">
        <v>60</v>
      </c>
      <c r="F6" t="e">
        <f ca="1"/>
        <v>#NAME?</v>
      </c>
      <c r="G6" s="414" t="e">
        <f ca="1"/>
        <v>#NAME?</v>
      </c>
      <c r="H6" s="358" t="e">
        <f ca="1"/>
        <v>#NAME?</v>
      </c>
      <c r="I6" s="358" t="e">
        <f ca="1"/>
        <v>#NAME?</v>
      </c>
      <c r="J6" s="415" t="e">
        <f ca="1"/>
        <v>#NAME?</v>
      </c>
      <c r="L6" s="182" t="str">
        <f t="shared" si="0"/>
        <v>x</v>
      </c>
      <c r="M6" s="456">
        <f t="shared" si="1"/>
        <v>56</v>
      </c>
      <c r="N6" s="456">
        <f t="shared" si="2"/>
        <v>23</v>
      </c>
      <c r="O6" s="186">
        <f t="shared" si="3"/>
        <v>60</v>
      </c>
      <c r="P6" s="185" t="e">
        <f t="array" aca="1" ref="P6" ca="1">LLReg(L6:O6,$R$4:$U$7,$R$10:$U$10)</f>
        <v>#NAME?</v>
      </c>
      <c r="R6" s="183">
        <f>W6</f>
        <v>7.0738099577208127</v>
      </c>
      <c r="S6" s="7">
        <f>W9</f>
        <v>13.571344540903519</v>
      </c>
      <c r="T6" s="7">
        <f>W11</f>
        <v>10.133748927107019</v>
      </c>
      <c r="U6" s="43">
        <f>T7</f>
        <v>8.1771263566626953</v>
      </c>
      <c r="W6" s="322">
        <v>7.0738099577208127</v>
      </c>
      <c r="Y6" t="str">
        <f t="array" ref="Y6:Y8">TRANSPOSE(L3:N3)</f>
        <v>read</v>
      </c>
      <c r="Z6" s="322">
        <f t="array" ref="Z6:Z8">MMULT(MINVERSE(R4:T6),U4:U6)</f>
        <v>0.53194171155368186</v>
      </c>
      <c r="AC6" t="s">
        <v>123</v>
      </c>
      <c r="AD6" t="e">
        <f ca="1">SQRT(AD7)</f>
        <v>#NAME?</v>
      </c>
    </row>
    <row r="7" spans="1:35" x14ac:dyDescent="0.25">
      <c r="A7" s="256">
        <v>15</v>
      </c>
      <c r="B7" s="20">
        <v>37</v>
      </c>
      <c r="C7" s="20">
        <v>19</v>
      </c>
      <c r="D7" s="269">
        <v>52</v>
      </c>
      <c r="F7" t="e">
        <f ca="1"/>
        <v>#NAME?</v>
      </c>
      <c r="G7" s="183" t="e">
        <f ca="1"/>
        <v>#NAME?</v>
      </c>
      <c r="H7" s="7" t="e">
        <f ca="1"/>
        <v>#NAME?</v>
      </c>
      <c r="I7" s="7" t="e">
        <f ca="1"/>
        <v>#NAME?</v>
      </c>
      <c r="J7" s="43" t="e">
        <f ca="1"/>
        <v>#NAME?</v>
      </c>
      <c r="L7" s="182">
        <f t="shared" si="0"/>
        <v>15</v>
      </c>
      <c r="M7" s="456">
        <f t="shared" si="1"/>
        <v>37</v>
      </c>
      <c r="N7" s="456">
        <f t="shared" si="2"/>
        <v>19</v>
      </c>
      <c r="O7" s="186">
        <f t="shared" si="3"/>
        <v>52</v>
      </c>
      <c r="P7" s="185" t="e">
        <f t="array" aca="1" ref="P7" ca="1">LLReg(L7:O7,$R$4:$U$7,$R$10:$U$10)</f>
        <v>#NAME?</v>
      </c>
      <c r="R7" s="351">
        <f>W7</f>
        <v>8.346581210980327</v>
      </c>
      <c r="S7" s="352">
        <f>W10</f>
        <v>51.728519893611484</v>
      </c>
      <c r="T7" s="352">
        <f>W12</f>
        <v>8.1771263566626953</v>
      </c>
      <c r="U7" s="353">
        <f>W13</f>
        <v>55.620698602570627</v>
      </c>
      <c r="W7" s="322">
        <v>8.346581210980327</v>
      </c>
      <c r="Y7" t="str">
        <v>science</v>
      </c>
      <c r="Z7" s="322">
        <v>0.47270314270332053</v>
      </c>
      <c r="AC7" t="s">
        <v>120</v>
      </c>
      <c r="AD7" t="e">
        <f ca="1">SUMPRODUCT(U13:U15,Z6:Z8)/U16</f>
        <v>#NAME?</v>
      </c>
    </row>
    <row r="8" spans="1:35" x14ac:dyDescent="0.25">
      <c r="A8" s="256">
        <v>10</v>
      </c>
      <c r="B8" s="20">
        <v>31</v>
      </c>
      <c r="C8" s="20">
        <v>21</v>
      </c>
      <c r="D8" s="269" t="s">
        <v>4</v>
      </c>
      <c r="F8" t="e">
        <f ca="1"/>
        <v>#NAME?</v>
      </c>
      <c r="G8" s="183" t="e">
        <f ca="1"/>
        <v>#NAME?</v>
      </c>
      <c r="H8" s="7" t="e">
        <f ca="1"/>
        <v>#NAME?</v>
      </c>
      <c r="I8" s="7" t="e">
        <f ca="1"/>
        <v>#NAME?</v>
      </c>
      <c r="J8" s="43" t="e">
        <f ca="1"/>
        <v>#NAME?</v>
      </c>
      <c r="L8" s="182">
        <f t="shared" si="0"/>
        <v>10</v>
      </c>
      <c r="M8" s="456">
        <f t="shared" si="1"/>
        <v>31</v>
      </c>
      <c r="N8" s="456">
        <f t="shared" si="2"/>
        <v>21</v>
      </c>
      <c r="O8" s="186" t="str">
        <f t="shared" si="3"/>
        <v>x</v>
      </c>
      <c r="P8" s="185" t="e">
        <f t="array" aca="1" ref="P8" ca="1">LLReg(L8:O8,$R$4:$U$7,$R$10:$U$10)</f>
        <v>#NAME?</v>
      </c>
      <c r="W8" s="322">
        <v>117.12234407398635</v>
      </c>
      <c r="Y8" t="str">
        <v>math</v>
      </c>
      <c r="Z8" s="349">
        <v>-0.19745362244914699</v>
      </c>
      <c r="AC8" t="s">
        <v>124</v>
      </c>
      <c r="AD8" t="e">
        <f ca="1">1-(1-AD7)*(AD10-1)/(AD10-AD14-1)</f>
        <v>#NAME?</v>
      </c>
    </row>
    <row r="9" spans="1:35" x14ac:dyDescent="0.25">
      <c r="A9" s="256">
        <v>18</v>
      </c>
      <c r="B9" s="20">
        <v>40</v>
      </c>
      <c r="C9" s="20">
        <v>22</v>
      </c>
      <c r="D9" s="269">
        <v>43</v>
      </c>
      <c r="F9" t="e">
        <f ca="1"/>
        <v>#NAME?</v>
      </c>
      <c r="G9" s="183" t="e">
        <f ca="1"/>
        <v>#NAME?</v>
      </c>
      <c r="H9" s="7" t="e">
        <f ca="1"/>
        <v>#NAME?</v>
      </c>
      <c r="I9" s="7" t="e">
        <f ca="1"/>
        <v>#NAME?</v>
      </c>
      <c r="J9" s="43" t="e">
        <f ca="1"/>
        <v>#NAME?</v>
      </c>
      <c r="L9" s="182">
        <f t="shared" si="0"/>
        <v>18</v>
      </c>
      <c r="M9" s="456">
        <f t="shared" si="1"/>
        <v>40</v>
      </c>
      <c r="N9" s="456">
        <f t="shared" si="2"/>
        <v>22</v>
      </c>
      <c r="O9" s="186">
        <f t="shared" si="3"/>
        <v>43</v>
      </c>
      <c r="P9" s="185" t="e">
        <f t="array" aca="1" ref="P9" ca="1">LLReg(L9:O9,$R$4:$U$7,$R$10:$U$10)</f>
        <v>#NAME?</v>
      </c>
      <c r="R9" t="s">
        <v>1070</v>
      </c>
      <c r="W9" s="322">
        <v>13.571344540903519</v>
      </c>
      <c r="Z9">
        <v>-1</v>
      </c>
      <c r="AC9" t="s">
        <v>10</v>
      </c>
      <c r="AD9" t="e">
        <f ca="1">SQRT(AF15)</f>
        <v>#NAME?</v>
      </c>
    </row>
    <row r="10" spans="1:35" x14ac:dyDescent="0.25">
      <c r="A10" s="256">
        <v>15</v>
      </c>
      <c r="B10" s="20">
        <v>50</v>
      </c>
      <c r="C10" s="20">
        <v>28</v>
      </c>
      <c r="D10" s="269">
        <v>56</v>
      </c>
      <c r="F10" t="e">
        <f ca="1"/>
        <v>#NAME?</v>
      </c>
      <c r="G10" s="351" t="e">
        <f ca="1"/>
        <v>#NAME?</v>
      </c>
      <c r="H10" s="352" t="e">
        <f ca="1"/>
        <v>#NAME?</v>
      </c>
      <c r="I10" s="352" t="e">
        <f ca="1"/>
        <v>#NAME?</v>
      </c>
      <c r="J10" s="353" t="e">
        <f ca="1"/>
        <v>#NAME?</v>
      </c>
      <c r="L10" s="182">
        <f t="shared" si="0"/>
        <v>15</v>
      </c>
      <c r="M10" s="456">
        <f t="shared" si="1"/>
        <v>50</v>
      </c>
      <c r="N10" s="456">
        <f t="shared" si="2"/>
        <v>28</v>
      </c>
      <c r="O10" s="186">
        <f t="shared" si="3"/>
        <v>56</v>
      </c>
      <c r="P10" s="185" t="e">
        <f t="array" aca="1" ref="P10" ca="1">LLReg(L10:O10,$R$4:$U$7,$R$10:$U$10)</f>
        <v>#NAME?</v>
      </c>
      <c r="R10" s="363">
        <f>W14</f>
        <v>16.28686833905622</v>
      </c>
      <c r="S10" s="338">
        <f>W15</f>
        <v>32.915676871828403</v>
      </c>
      <c r="T10" s="338">
        <f>W16</f>
        <v>21.256847979858609</v>
      </c>
      <c r="U10" s="364">
        <f>W17</f>
        <v>47.143687162763719</v>
      </c>
      <c r="W10" s="322">
        <v>51.728519893611484</v>
      </c>
      <c r="AC10" s="354" t="s">
        <v>55</v>
      </c>
      <c r="AD10" s="354">
        <f>COUNTA(L4:L23)</f>
        <v>20</v>
      </c>
    </row>
    <row r="11" spans="1:35" x14ac:dyDescent="0.25">
      <c r="A11" s="256">
        <v>21</v>
      </c>
      <c r="B11" s="20" t="s">
        <v>4</v>
      </c>
      <c r="C11" s="20" t="s">
        <v>4</v>
      </c>
      <c r="D11" s="269">
        <v>46</v>
      </c>
      <c r="L11" s="182">
        <f t="shared" si="0"/>
        <v>21</v>
      </c>
      <c r="M11" s="456" t="str">
        <f t="shared" si="1"/>
        <v>x</v>
      </c>
      <c r="N11" s="456" t="str">
        <f t="shared" si="2"/>
        <v>x</v>
      </c>
      <c r="O11" s="186">
        <f t="shared" si="3"/>
        <v>46</v>
      </c>
      <c r="P11" s="185" t="e">
        <f t="array" aca="1" ref="P11" ca="1">LLReg(L11:O11,$R$4:$U$7,$R$10:$U$10)</f>
        <v>#NAME?</v>
      </c>
      <c r="W11" s="322">
        <v>10.133748927107019</v>
      </c>
      <c r="Y11" t="s">
        <v>1074</v>
      </c>
    </row>
    <row r="12" spans="1:35" ht="15.75" thickBot="1" x14ac:dyDescent="0.3">
      <c r="A12" s="256">
        <v>20</v>
      </c>
      <c r="B12" s="20">
        <v>39</v>
      </c>
      <c r="C12" s="20">
        <v>25</v>
      </c>
      <c r="D12" s="269">
        <v>51</v>
      </c>
      <c r="F12" t="s">
        <v>1018</v>
      </c>
      <c r="L12" s="182">
        <f t="shared" si="0"/>
        <v>20</v>
      </c>
      <c r="M12" s="456">
        <f t="shared" si="1"/>
        <v>39</v>
      </c>
      <c r="N12" s="456">
        <f t="shared" si="2"/>
        <v>25</v>
      </c>
      <c r="O12" s="186">
        <f t="shared" si="3"/>
        <v>51</v>
      </c>
      <c r="P12" s="185" t="e">
        <f t="array" aca="1" ref="P12" ca="1">LLReg(L12:O12,$R$4:$U$7,$R$10:$U$10)</f>
        <v>#NAME?</v>
      </c>
      <c r="R12" t="s">
        <v>371</v>
      </c>
      <c r="W12" s="322">
        <v>8.1771263566626953</v>
      </c>
      <c r="Y12" s="414" t="e">
        <f t="array" aca="1" ref="Y12:AA14" ca="1">MINVERSE(R13:T15)/(COUNTA(L4:L23)-1)</f>
        <v>#NAME?</v>
      </c>
      <c r="Z12" s="358" t="e">
        <f ca="1"/>
        <v>#NAME?</v>
      </c>
      <c r="AA12" s="415" t="e">
        <f ca="1"/>
        <v>#NAME?</v>
      </c>
      <c r="AC12" t="s">
        <v>125</v>
      </c>
      <c r="AG12" s="455" t="s">
        <v>18</v>
      </c>
      <c r="AH12" s="455">
        <v>0.05</v>
      </c>
    </row>
    <row r="13" spans="1:35" ht="15.75" thickTop="1" x14ac:dyDescent="0.25">
      <c r="A13" s="256" t="s">
        <v>4</v>
      </c>
      <c r="B13" s="20">
        <v>36</v>
      </c>
      <c r="C13" s="20">
        <v>23</v>
      </c>
      <c r="D13" s="269">
        <v>56</v>
      </c>
      <c r="L13" s="182" t="str">
        <f t="shared" si="0"/>
        <v>x</v>
      </c>
      <c r="M13" s="456">
        <f t="shared" si="1"/>
        <v>36</v>
      </c>
      <c r="N13" s="456">
        <f t="shared" si="2"/>
        <v>23</v>
      </c>
      <c r="O13" s="186">
        <f t="shared" si="3"/>
        <v>56</v>
      </c>
      <c r="P13" s="185" t="e">
        <f t="array" aca="1" ref="P13" ca="1">LLReg(L13:O13,$R$4:$U$7,$R$10:$U$10)</f>
        <v>#NAME?</v>
      </c>
      <c r="R13" s="414" t="e">
        <f t="array" aca="1" ref="R13:U16" ca="1">COV(L4:O23,FALSE)</f>
        <v>#NAME?</v>
      </c>
      <c r="S13" s="358" t="e">
        <f ca="1"/>
        <v>#NAME?</v>
      </c>
      <c r="T13" s="358" t="e">
        <f ca="1"/>
        <v>#NAME?</v>
      </c>
      <c r="U13" s="415" t="e">
        <f ca="1"/>
        <v>#NAME?</v>
      </c>
      <c r="W13" s="322">
        <v>55.620698602570627</v>
      </c>
      <c r="Y13" s="183" t="e">
        <f ca="1"/>
        <v>#NAME?</v>
      </c>
      <c r="Z13" s="7" t="e">
        <f ca="1"/>
        <v>#NAME?</v>
      </c>
      <c r="AA13" s="43" t="e">
        <f ca="1"/>
        <v>#NAME?</v>
      </c>
      <c r="AC13" s="386"/>
      <c r="AD13" s="386" t="s">
        <v>41</v>
      </c>
      <c r="AE13" s="386" t="s">
        <v>111</v>
      </c>
      <c r="AF13" s="386" t="s">
        <v>115</v>
      </c>
      <c r="AG13" s="386" t="s">
        <v>98</v>
      </c>
      <c r="AH13" s="386" t="s">
        <v>48</v>
      </c>
      <c r="AI13" s="386" t="s">
        <v>164</v>
      </c>
    </row>
    <row r="14" spans="1:35" x14ac:dyDescent="0.25">
      <c r="A14" s="256" t="s">
        <v>4</v>
      </c>
      <c r="B14" s="20">
        <v>27</v>
      </c>
      <c r="C14" s="20">
        <v>21</v>
      </c>
      <c r="D14" s="269">
        <v>39</v>
      </c>
      <c r="F14" t="e">
        <f t="array" aca="1" ref="F14:J18" ca="1">MissingPairwise(A3:D23,TRUE)</f>
        <v>#NAME?</v>
      </c>
      <c r="G14" s="455" t="e">
        <f ca="1"/>
        <v>#NAME?</v>
      </c>
      <c r="H14" s="455" t="e">
        <f ca="1"/>
        <v>#NAME?</v>
      </c>
      <c r="I14" s="455" t="e">
        <f ca="1"/>
        <v>#NAME?</v>
      </c>
      <c r="J14" s="455" t="e">
        <f ca="1"/>
        <v>#NAME?</v>
      </c>
      <c r="L14" s="182" t="str">
        <f t="shared" si="0"/>
        <v>x</v>
      </c>
      <c r="M14" s="456">
        <f t="shared" si="1"/>
        <v>27</v>
      </c>
      <c r="N14" s="456">
        <f t="shared" si="2"/>
        <v>21</v>
      </c>
      <c r="O14" s="186">
        <f t="shared" si="3"/>
        <v>39</v>
      </c>
      <c r="P14" s="185" t="e">
        <f t="array" aca="1" ref="P14" ca="1">LLReg(L14:O14,$R$4:$U$7,$R$10:$U$10)</f>
        <v>#NAME?</v>
      </c>
      <c r="R14" s="183" t="e">
        <f ca="1"/>
        <v>#NAME?</v>
      </c>
      <c r="S14" s="7" t="e">
        <f ca="1"/>
        <v>#NAME?</v>
      </c>
      <c r="T14" s="7" t="e">
        <f ca="1"/>
        <v>#NAME?</v>
      </c>
      <c r="U14" s="43" t="e">
        <f ca="1"/>
        <v>#NAME?</v>
      </c>
      <c r="W14" s="322">
        <v>16.28686833905622</v>
      </c>
      <c r="Y14" s="351" t="e">
        <f ca="1"/>
        <v>#NAME?</v>
      </c>
      <c r="Z14" s="352" t="e">
        <f ca="1"/>
        <v>#NAME?</v>
      </c>
      <c r="AA14" s="353" t="e">
        <f ca="1"/>
        <v>#NAME?</v>
      </c>
      <c r="AC14" t="s">
        <v>113</v>
      </c>
      <c r="AD14">
        <f>COUNT(L4:O4)-1</f>
        <v>3</v>
      </c>
      <c r="AE14" t="e">
        <f ca="1">AD7*AE16</f>
        <v>#NAME?</v>
      </c>
      <c r="AF14" t="e">
        <f ca="1">AE14/AD14</f>
        <v>#NAME?</v>
      </c>
      <c r="AG14" t="e">
        <f ca="1">AF14/AF15</f>
        <v>#NAME?</v>
      </c>
      <c r="AH14" t="e">
        <f ca="1">FDIST(AG14,AD14,AD15)</f>
        <v>#NAME?</v>
      </c>
      <c r="AI14" s="455" t="e">
        <f ca="1">IF(AH14&lt;AH12,"yes","no")</f>
        <v>#NAME?</v>
      </c>
    </row>
    <row r="15" spans="1:35" x14ac:dyDescent="0.25">
      <c r="A15" s="256">
        <v>14</v>
      </c>
      <c r="B15" s="20">
        <v>32</v>
      </c>
      <c r="C15" s="20">
        <v>20</v>
      </c>
      <c r="D15" s="269">
        <v>46</v>
      </c>
      <c r="F15" t="e">
        <f ca="1"/>
        <v>#NAME?</v>
      </c>
      <c r="G15" s="457" t="e">
        <f ca="1"/>
        <v>#NAME?</v>
      </c>
      <c r="H15" s="458" t="e">
        <f ca="1"/>
        <v>#NAME?</v>
      </c>
      <c r="I15" s="458" t="e">
        <f ca="1"/>
        <v>#NAME?</v>
      </c>
      <c r="J15" s="459" t="e">
        <f ca="1"/>
        <v>#NAME?</v>
      </c>
      <c r="L15" s="182">
        <f t="shared" si="0"/>
        <v>14</v>
      </c>
      <c r="M15" s="456">
        <f t="shared" si="1"/>
        <v>32</v>
      </c>
      <c r="N15" s="456">
        <f t="shared" si="2"/>
        <v>20</v>
      </c>
      <c r="O15" s="186">
        <f t="shared" si="3"/>
        <v>46</v>
      </c>
      <c r="P15" s="185" t="e">
        <f t="array" aca="1" ref="P15" ca="1">LLReg(L15:O15,$R$4:$U$7,$R$10:$U$10)</f>
        <v>#NAME?</v>
      </c>
      <c r="R15" s="183" t="e">
        <f ca="1"/>
        <v>#NAME?</v>
      </c>
      <c r="S15" s="7" t="e">
        <f ca="1"/>
        <v>#NAME?</v>
      </c>
      <c r="T15" s="7" t="e">
        <f ca="1"/>
        <v>#NAME?</v>
      </c>
      <c r="U15" s="43" t="e">
        <f ca="1"/>
        <v>#NAME?</v>
      </c>
      <c r="W15" s="322">
        <v>32.915676871828403</v>
      </c>
      <c r="AC15" t="s">
        <v>126</v>
      </c>
      <c r="AD15">
        <f>AD16-AD14</f>
        <v>16</v>
      </c>
      <c r="AE15" t="e">
        <f ca="1">AE16-AE14</f>
        <v>#NAME?</v>
      </c>
      <c r="AF15" t="e">
        <f ca="1">AE15/AD15</f>
        <v>#NAME?</v>
      </c>
    </row>
    <row r="16" spans="1:35" x14ac:dyDescent="0.25">
      <c r="A16" s="256">
        <v>22</v>
      </c>
      <c r="B16" s="20">
        <v>40</v>
      </c>
      <c r="C16" s="20" t="s">
        <v>4</v>
      </c>
      <c r="D16" s="269">
        <v>49</v>
      </c>
      <c r="F16" t="e">
        <f ca="1"/>
        <v>#NAME?</v>
      </c>
      <c r="G16" s="460" t="e">
        <f ca="1"/>
        <v>#NAME?</v>
      </c>
      <c r="H16" s="461" t="e">
        <f ca="1"/>
        <v>#NAME?</v>
      </c>
      <c r="I16" s="461" t="e">
        <f ca="1"/>
        <v>#NAME?</v>
      </c>
      <c r="J16" s="462" t="e">
        <f ca="1"/>
        <v>#NAME?</v>
      </c>
      <c r="L16" s="182">
        <f t="shared" si="0"/>
        <v>22</v>
      </c>
      <c r="M16" s="456">
        <f t="shared" si="1"/>
        <v>40</v>
      </c>
      <c r="N16" s="456" t="str">
        <f t="shared" si="2"/>
        <v>x</v>
      </c>
      <c r="O16" s="186">
        <f t="shared" si="3"/>
        <v>49</v>
      </c>
      <c r="P16" s="185" t="e">
        <f t="array" aca="1" ref="P16" ca="1">LLReg(L16:O16,$R$4:$U$7,$R$10:$U$10)</f>
        <v>#NAME?</v>
      </c>
      <c r="R16" s="351" t="e">
        <f ca="1"/>
        <v>#NAME?</v>
      </c>
      <c r="S16" s="352" t="e">
        <f ca="1"/>
        <v>#NAME?</v>
      </c>
      <c r="T16" s="352" t="e">
        <f ca="1"/>
        <v>#NAME?</v>
      </c>
      <c r="U16" s="353" t="e">
        <f ca="1"/>
        <v>#NAME?</v>
      </c>
      <c r="W16" s="322">
        <v>21.256847979858609</v>
      </c>
      <c r="AC16" s="354" t="s">
        <v>1</v>
      </c>
      <c r="AD16" s="354">
        <f>AD10-1</f>
        <v>19</v>
      </c>
      <c r="AE16" s="354">
        <f>DEVSQ(O4:O23)</f>
        <v>989.61111111111097</v>
      </c>
      <c r="AF16" s="354"/>
      <c r="AG16" s="354"/>
      <c r="AH16" s="354"/>
      <c r="AI16" s="354"/>
    </row>
    <row r="17" spans="1:35" ht="15.75" thickBot="1" x14ac:dyDescent="0.3">
      <c r="A17" s="256" t="s">
        <v>4</v>
      </c>
      <c r="B17" s="20">
        <v>31</v>
      </c>
      <c r="C17" s="20" t="s">
        <v>4</v>
      </c>
      <c r="D17" s="269">
        <v>44</v>
      </c>
      <c r="F17" t="e">
        <f ca="1"/>
        <v>#NAME?</v>
      </c>
      <c r="G17" s="460" t="e">
        <f ca="1"/>
        <v>#NAME?</v>
      </c>
      <c r="H17" s="461" t="e">
        <f ca="1"/>
        <v>#NAME?</v>
      </c>
      <c r="I17" s="461" t="e">
        <f ca="1"/>
        <v>#NAME?</v>
      </c>
      <c r="J17" s="462" t="e">
        <f ca="1"/>
        <v>#NAME?</v>
      </c>
      <c r="L17" s="182" t="str">
        <f t="shared" si="0"/>
        <v>x</v>
      </c>
      <c r="M17" s="456">
        <f t="shared" si="1"/>
        <v>31</v>
      </c>
      <c r="N17" s="456" t="str">
        <f t="shared" si="2"/>
        <v>x</v>
      </c>
      <c r="O17" s="186">
        <f t="shared" si="3"/>
        <v>44</v>
      </c>
      <c r="P17" s="185" t="e">
        <f t="array" aca="1" ref="P17" ca="1">LLReg(L17:O17,$R$4:$U$7,$R$10:$U$10)</f>
        <v>#NAME?</v>
      </c>
      <c r="W17" s="349">
        <v>47.143687162763719</v>
      </c>
    </row>
    <row r="18" spans="1:35" ht="15.75" thickTop="1" x14ac:dyDescent="0.25">
      <c r="A18" s="256" t="s">
        <v>4</v>
      </c>
      <c r="B18" s="20">
        <v>18</v>
      </c>
      <c r="C18" s="20">
        <v>21</v>
      </c>
      <c r="D18" s="269" t="s">
        <v>4</v>
      </c>
      <c r="F18" t="e">
        <f ca="1"/>
        <v>#NAME?</v>
      </c>
      <c r="G18" s="463" t="e">
        <f ca="1"/>
        <v>#NAME?</v>
      </c>
      <c r="H18" s="464" t="e">
        <f ca="1"/>
        <v>#NAME?</v>
      </c>
      <c r="I18" s="464" t="e">
        <f ca="1"/>
        <v>#NAME?</v>
      </c>
      <c r="J18" s="465" t="e">
        <f ca="1"/>
        <v>#NAME?</v>
      </c>
      <c r="L18" s="182" t="str">
        <f t="shared" si="0"/>
        <v>x</v>
      </c>
      <c r="M18" s="456">
        <f t="shared" si="1"/>
        <v>18</v>
      </c>
      <c r="N18" s="456">
        <f t="shared" si="2"/>
        <v>21</v>
      </c>
      <c r="O18" s="186" t="str">
        <f t="shared" si="3"/>
        <v>x</v>
      </c>
      <c r="P18" s="185" t="e">
        <f t="array" aca="1" ref="P18" ca="1">LLReg(L18:O18,$R$4:$U$7,$R$10:$U$10)</f>
        <v>#NAME?</v>
      </c>
      <c r="R18" t="s">
        <v>1071</v>
      </c>
      <c r="AC18" s="386"/>
      <c r="AD18" s="386" t="s">
        <v>797</v>
      </c>
      <c r="AE18" s="386" t="s">
        <v>390</v>
      </c>
      <c r="AF18" s="386" t="s">
        <v>42</v>
      </c>
      <c r="AG18" s="386" t="s">
        <v>48</v>
      </c>
      <c r="AH18" s="386" t="s">
        <v>15</v>
      </c>
      <c r="AI18" s="386" t="s">
        <v>16</v>
      </c>
    </row>
    <row r="19" spans="1:35" x14ac:dyDescent="0.25">
      <c r="A19" s="256">
        <v>16</v>
      </c>
      <c r="B19" s="20">
        <v>23</v>
      </c>
      <c r="C19" s="20">
        <v>21</v>
      </c>
      <c r="D19" s="269">
        <v>34</v>
      </c>
      <c r="L19" s="182">
        <f t="shared" si="0"/>
        <v>16</v>
      </c>
      <c r="M19" s="456">
        <f t="shared" si="1"/>
        <v>23</v>
      </c>
      <c r="N19" s="456">
        <f t="shared" si="2"/>
        <v>21</v>
      </c>
      <c r="O19" s="186">
        <f t="shared" si="3"/>
        <v>34</v>
      </c>
      <c r="P19" s="185" t="e">
        <f t="array" aca="1" ref="P19" ca="1">LLReg(L19:O19,$R$4:$U$7,$R$10:$U$10)</f>
        <v>#NAME?</v>
      </c>
      <c r="R19" s="363">
        <f>AVERAGE(L4:L23)</f>
        <v>16.133333333333333</v>
      </c>
      <c r="S19" s="338">
        <f>AVERAGE(M4:M23)</f>
        <v>34.411764705882355</v>
      </c>
      <c r="T19" s="338">
        <f>AVERAGE(N4:N23)</f>
        <v>21.0625</v>
      </c>
      <c r="U19" s="364">
        <f>AVERAGE(O4:O23)</f>
        <v>47.722222222222221</v>
      </c>
      <c r="AC19" t="str">
        <f t="array" ref="AC19:AC22">Y5:Y8</f>
        <v>Intercept</v>
      </c>
      <c r="AD19">
        <f>Z5</f>
        <v>27.117920276590311</v>
      </c>
    </row>
    <row r="20" spans="1:35" x14ac:dyDescent="0.25">
      <c r="A20" s="256">
        <v>27</v>
      </c>
      <c r="B20" s="20">
        <v>26</v>
      </c>
      <c r="C20" s="20">
        <v>23</v>
      </c>
      <c r="D20" s="269">
        <v>59</v>
      </c>
      <c r="L20" s="182">
        <f t="shared" si="0"/>
        <v>27</v>
      </c>
      <c r="M20" s="456">
        <f t="shared" si="1"/>
        <v>26</v>
      </c>
      <c r="N20" s="456">
        <f t="shared" si="2"/>
        <v>23</v>
      </c>
      <c r="O20" s="186">
        <f t="shared" si="3"/>
        <v>59</v>
      </c>
      <c r="P20" s="185" t="e">
        <f t="array" aca="1" ref="P20" ca="1">LLReg(L20:O20,$R$4:$U$7,$R$10:$U$10)</f>
        <v>#NAME?</v>
      </c>
      <c r="AC20" t="str">
        <v>read</v>
      </c>
      <c r="AD20">
        <f t="array" ref="AD20:AD22">Z6:Z8</f>
        <v>0.53194171155368186</v>
      </c>
      <c r="AE20" t="e">
        <f t="array" aca="1" ref="AE20:AE22" ca="1">SQRT(DIAG(Y12:AA14))*AD9</f>
        <v>#NAME?</v>
      </c>
      <c r="AF20" t="e">
        <f ca="1">AD20/AE20</f>
        <v>#NAME?</v>
      </c>
      <c r="AG20" t="e">
        <f ca="1">TDIST(ABS(AF20),$AD$15,2)</f>
        <v>#NAME?</v>
      </c>
      <c r="AH20" t="e">
        <f ca="1">AD20-TINV(AH$12,$AD$15)*AE20</f>
        <v>#NAME?</v>
      </c>
      <c r="AI20" t="e">
        <f ca="1">AD20+TINV(AH$12,$AD$15)*AE20</f>
        <v>#NAME?</v>
      </c>
    </row>
    <row r="21" spans="1:35" x14ac:dyDescent="0.25">
      <c r="A21" s="256">
        <v>17</v>
      </c>
      <c r="B21" s="20" t="s">
        <v>4</v>
      </c>
      <c r="C21" s="20" t="s">
        <v>4</v>
      </c>
      <c r="D21" s="269">
        <v>35</v>
      </c>
      <c r="L21" s="182">
        <f t="shared" si="0"/>
        <v>17</v>
      </c>
      <c r="M21" s="456" t="str">
        <f t="shared" si="1"/>
        <v>x</v>
      </c>
      <c r="N21" s="456" t="str">
        <f t="shared" si="2"/>
        <v>x</v>
      </c>
      <c r="O21" s="186">
        <f t="shared" si="3"/>
        <v>35</v>
      </c>
      <c r="P21" s="185" t="e">
        <f t="array" aca="1" ref="P21" ca="1">LLReg(L21:O21,$R$4:$U$7,$R$10:$U$10)</f>
        <v>#NAME?</v>
      </c>
      <c r="AC21" t="str">
        <v>science</v>
      </c>
      <c r="AD21">
        <v>0.47270314270332053</v>
      </c>
      <c r="AE21" t="e">
        <f ca="1"/>
        <v>#NAME?</v>
      </c>
      <c r="AF21" t="e">
        <f ca="1">AD21/AE21</f>
        <v>#NAME?</v>
      </c>
      <c r="AG21" t="e">
        <f ca="1">TDIST(ABS(AF21),$AD$15,2)</f>
        <v>#NAME?</v>
      </c>
      <c r="AH21" t="e">
        <f ca="1">AD21-TINV(AH$12,$AD$15)*AE21</f>
        <v>#NAME?</v>
      </c>
      <c r="AI21" t="e">
        <f ca="1">AD21+TINV(AH$12,$AD$15)*AE21</f>
        <v>#NAME?</v>
      </c>
    </row>
    <row r="22" spans="1:35" x14ac:dyDescent="0.25">
      <c r="A22" s="256">
        <v>13</v>
      </c>
      <c r="B22" s="20">
        <v>21</v>
      </c>
      <c r="C22" s="20">
        <v>20</v>
      </c>
      <c r="D22" s="269">
        <v>48</v>
      </c>
      <c r="L22" s="182">
        <f t="shared" si="0"/>
        <v>13</v>
      </c>
      <c r="M22" s="456">
        <f t="shared" si="1"/>
        <v>21</v>
      </c>
      <c r="N22" s="456">
        <f t="shared" si="2"/>
        <v>20</v>
      </c>
      <c r="O22" s="186">
        <f t="shared" si="3"/>
        <v>48</v>
      </c>
      <c r="P22" s="185" t="e">
        <f t="array" aca="1" ref="P22" ca="1">LLReg(L22:O22,$R$4:$U$7,$R$10:$U$10)</f>
        <v>#NAME?</v>
      </c>
      <c r="AC22" s="354" t="str">
        <v>math</v>
      </c>
      <c r="AD22" s="354">
        <v>-0.19745362244914699</v>
      </c>
      <c r="AE22" s="354" t="e">
        <f ca="1"/>
        <v>#NAME?</v>
      </c>
      <c r="AF22" s="354" t="e">
        <f ca="1">AD22/AE22</f>
        <v>#NAME?</v>
      </c>
      <c r="AG22" s="354" t="e">
        <f ca="1">TDIST(ABS(AF22),$AD$15,2)</f>
        <v>#NAME?</v>
      </c>
      <c r="AH22" s="354" t="e">
        <f ca="1">AD22-TINV(AH$12,$AD$15)*AE22</f>
        <v>#NAME?</v>
      </c>
      <c r="AI22" s="354" t="e">
        <f ca="1">AD22+TINV(AH$12,$AD$15)*AE22</f>
        <v>#NAME?</v>
      </c>
    </row>
    <row r="23" spans="1:35" x14ac:dyDescent="0.25">
      <c r="A23" s="425">
        <v>11</v>
      </c>
      <c r="B23" s="428">
        <v>51</v>
      </c>
      <c r="C23" s="428">
        <v>18</v>
      </c>
      <c r="D23" s="426">
        <v>54</v>
      </c>
      <c r="L23" s="377">
        <f t="shared" si="0"/>
        <v>11</v>
      </c>
      <c r="M23" s="440">
        <f t="shared" si="1"/>
        <v>51</v>
      </c>
      <c r="N23" s="440">
        <f t="shared" si="2"/>
        <v>18</v>
      </c>
      <c r="O23" s="378">
        <f t="shared" si="3"/>
        <v>54</v>
      </c>
      <c r="P23" s="123" t="e">
        <f t="array" aca="1" ref="P23" ca="1">LLReg(L23:O23,$R$4:$U$7,$R$10:$U$10)</f>
        <v>#NAME?</v>
      </c>
    </row>
    <row r="24" spans="1:35" x14ac:dyDescent="0.25">
      <c r="P24" t="e">
        <f ca="1">SUM(P4:P23)</f>
        <v>#NAME?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M24"/>
  <sheetViews>
    <sheetView workbookViewId="0"/>
  </sheetViews>
  <sheetFormatPr defaultRowHeight="15" x14ac:dyDescent="0.25"/>
  <sheetData>
    <row r="1" spans="1:13" x14ac:dyDescent="0.25">
      <c r="A1" s="1" t="s">
        <v>1063</v>
      </c>
    </row>
    <row r="3" spans="1:13" x14ac:dyDescent="0.25">
      <c r="A3" s="451" t="s">
        <v>1015</v>
      </c>
      <c r="B3" s="451" t="s">
        <v>997</v>
      </c>
      <c r="C3" s="451" t="s">
        <v>996</v>
      </c>
      <c r="D3" s="451" t="s">
        <v>1016</v>
      </c>
      <c r="E3" s="450" t="s">
        <v>1072</v>
      </c>
      <c r="G3" t="s">
        <v>787</v>
      </c>
      <c r="L3" s="421" t="s">
        <v>1060</v>
      </c>
      <c r="M3" t="s">
        <v>1064</v>
      </c>
    </row>
    <row r="4" spans="1:13" x14ac:dyDescent="0.25">
      <c r="A4" s="423">
        <v>12</v>
      </c>
      <c r="B4" s="429">
        <v>27</v>
      </c>
      <c r="C4" s="429">
        <v>19</v>
      </c>
      <c r="D4" s="424">
        <v>44</v>
      </c>
      <c r="E4" s="417" t="e">
        <f t="array" aca="1" ref="E4" ca="1">LLReg(A4:D4,$G$4:$J$7,$G$10:$J$10)</f>
        <v>#NAME?</v>
      </c>
      <c r="G4" s="418" t="e">
        <f ca="1">L4</f>
        <v>#NAME?</v>
      </c>
      <c r="H4" s="416" t="e">
        <f ca="1">G5</f>
        <v>#NAME?</v>
      </c>
      <c r="I4" s="416" t="e">
        <f ca="1">G6</f>
        <v>#NAME?</v>
      </c>
      <c r="J4" s="419" t="e">
        <f ca="1">G7</f>
        <v>#NAME?</v>
      </c>
      <c r="L4" s="417" t="e">
        <f ca="1">G13</f>
        <v>#NAME?</v>
      </c>
      <c r="M4" s="417" t="e">
        <f ca="1">L4</f>
        <v>#NAME?</v>
      </c>
    </row>
    <row r="5" spans="1:13" x14ac:dyDescent="0.25">
      <c r="A5" s="256">
        <v>11</v>
      </c>
      <c r="B5" s="20">
        <v>30</v>
      </c>
      <c r="C5" s="20">
        <v>13</v>
      </c>
      <c r="D5" s="269">
        <v>43</v>
      </c>
      <c r="E5" s="185" t="e">
        <f t="array" aca="1" ref="E5" ca="1">LLReg(A5:D5,$G$4:$J$7,$G$10:$J$10)</f>
        <v>#NAME?</v>
      </c>
      <c r="G5" s="214" t="e">
        <f ca="1">L5</f>
        <v>#NAME?</v>
      </c>
      <c r="H5" s="7" t="e">
        <f ca="1">L8</f>
        <v>#NAME?</v>
      </c>
      <c r="I5" s="7" t="e">
        <f ca="1">H6</f>
        <v>#NAME?</v>
      </c>
      <c r="J5" s="215" t="e">
        <f ca="1">H7</f>
        <v>#NAME?</v>
      </c>
      <c r="L5" s="185" t="e">
        <f ca="1">G14</f>
        <v>#NAME?</v>
      </c>
      <c r="M5" s="185" t="e">
        <f ca="1">SQRT(L4*L8)-ABS(L5)</f>
        <v>#NAME?</v>
      </c>
    </row>
    <row r="6" spans="1:13" x14ac:dyDescent="0.25">
      <c r="A6" s="256">
        <v>16</v>
      </c>
      <c r="B6" s="20">
        <v>56</v>
      </c>
      <c r="C6" s="20">
        <v>23</v>
      </c>
      <c r="D6" s="269">
        <v>60</v>
      </c>
      <c r="E6" s="185" t="e">
        <f t="array" aca="1" ref="E6" ca="1">LLReg(A6:D6,$G$4:$J$7,$G$10:$J$10)</f>
        <v>#NAME?</v>
      </c>
      <c r="G6" s="214" t="e">
        <f ca="1">L6</f>
        <v>#NAME?</v>
      </c>
      <c r="H6" s="7" t="e">
        <f ca="1">L9</f>
        <v>#NAME?</v>
      </c>
      <c r="I6" s="7" t="e">
        <f ca="1">L11</f>
        <v>#NAME?</v>
      </c>
      <c r="J6" s="215" t="e">
        <f ca="1">I7</f>
        <v>#NAME?</v>
      </c>
      <c r="L6" s="185" t="e">
        <f ca="1">G15</f>
        <v>#NAME?</v>
      </c>
      <c r="M6" s="185" t="e">
        <f ca="1">SQRT(L4*L11)-ABS(L6)</f>
        <v>#NAME?</v>
      </c>
    </row>
    <row r="7" spans="1:13" x14ac:dyDescent="0.25">
      <c r="A7" s="256">
        <v>15</v>
      </c>
      <c r="B7" s="20">
        <v>37</v>
      </c>
      <c r="C7" s="20">
        <v>19</v>
      </c>
      <c r="D7" s="269">
        <v>52</v>
      </c>
      <c r="E7" s="185" t="e">
        <f t="array" aca="1" ref="E7" ca="1">LLReg(A7:D7,$G$4:$J$7,$G$10:$J$10)</f>
        <v>#NAME?</v>
      </c>
      <c r="G7" s="112" t="e">
        <f ca="1">L7</f>
        <v>#NAME?</v>
      </c>
      <c r="H7" s="354" t="e">
        <f ca="1">L10</f>
        <v>#NAME?</v>
      </c>
      <c r="I7" s="354" t="e">
        <f ca="1">L12</f>
        <v>#NAME?</v>
      </c>
      <c r="J7" s="120" t="e">
        <f ca="1">L13</f>
        <v>#NAME?</v>
      </c>
      <c r="L7" s="123" t="e">
        <f ca="1">G16</f>
        <v>#NAME?</v>
      </c>
      <c r="M7" s="123" t="e">
        <f ca="1">SQRT(L4*L13)-ABS(L7)</f>
        <v>#NAME?</v>
      </c>
    </row>
    <row r="8" spans="1:13" x14ac:dyDescent="0.25">
      <c r="A8" s="256">
        <v>10</v>
      </c>
      <c r="B8" s="20">
        <v>31</v>
      </c>
      <c r="C8" s="20">
        <v>21</v>
      </c>
      <c r="D8" s="269">
        <v>44</v>
      </c>
      <c r="E8" s="185" t="e">
        <f t="array" aca="1" ref="E8" ca="1">LLReg(A8:D8,$G$4:$J$7,$G$10:$J$10)</f>
        <v>#NAME?</v>
      </c>
      <c r="L8" s="417" t="e">
        <f ca="1">H14</f>
        <v>#NAME?</v>
      </c>
      <c r="M8" s="417" t="e">
        <f ca="1">L8</f>
        <v>#NAME?</v>
      </c>
    </row>
    <row r="9" spans="1:13" x14ac:dyDescent="0.25">
      <c r="A9" s="256">
        <v>18</v>
      </c>
      <c r="B9" s="20">
        <v>40</v>
      </c>
      <c r="C9" s="20">
        <v>22</v>
      </c>
      <c r="D9" s="269">
        <v>43</v>
      </c>
      <c r="E9" s="185" t="e">
        <f t="array" aca="1" ref="E9" ca="1">LLReg(A9:D9,$G$4:$J$7,$G$10:$J$10)</f>
        <v>#NAME?</v>
      </c>
      <c r="G9" t="s">
        <v>1058</v>
      </c>
      <c r="L9" s="185" t="e">
        <f ca="1">H15</f>
        <v>#NAME?</v>
      </c>
      <c r="M9" s="185" t="e">
        <f ca="1">SQRT(L8*L11)-ABS(L9)</f>
        <v>#NAME?</v>
      </c>
    </row>
    <row r="10" spans="1:13" x14ac:dyDescent="0.25">
      <c r="A10" s="256">
        <v>15</v>
      </c>
      <c r="B10" s="20">
        <v>50</v>
      </c>
      <c r="C10" s="20">
        <v>28</v>
      </c>
      <c r="D10" s="269">
        <v>56</v>
      </c>
      <c r="E10" s="185" t="e">
        <f t="array" aca="1" ref="E10" ca="1">LLReg(A10:D10,$G$4:$J$7,$G$10:$J$10)</f>
        <v>#NAME?</v>
      </c>
      <c r="G10" s="275">
        <f>L14</f>
        <v>15.9</v>
      </c>
      <c r="H10" s="263">
        <f>L15</f>
        <v>32.4</v>
      </c>
      <c r="I10" s="263">
        <f>L16</f>
        <v>21.1</v>
      </c>
      <c r="J10" s="276">
        <f>L17</f>
        <v>47</v>
      </c>
      <c r="L10" s="123" t="e">
        <f ca="1">H16</f>
        <v>#NAME?</v>
      </c>
      <c r="M10" s="123" t="e">
        <f ca="1">SQRT(L8*L13)-ABS(L10)</f>
        <v>#NAME?</v>
      </c>
    </row>
    <row r="11" spans="1:13" x14ac:dyDescent="0.25">
      <c r="A11" s="256">
        <v>21</v>
      </c>
      <c r="B11" s="20">
        <v>21</v>
      </c>
      <c r="C11" s="20">
        <v>23</v>
      </c>
      <c r="D11" s="269">
        <v>46</v>
      </c>
      <c r="E11" s="185" t="e">
        <f t="array" aca="1" ref="E11" ca="1">LLReg(A11:D11,$G$4:$J$7,$G$10:$J$10)</f>
        <v>#NAME?</v>
      </c>
      <c r="L11" s="185" t="e">
        <f ca="1">I15</f>
        <v>#NAME?</v>
      </c>
      <c r="M11" s="417" t="e">
        <f ca="1">L11</f>
        <v>#NAME?</v>
      </c>
    </row>
    <row r="12" spans="1:13" x14ac:dyDescent="0.25">
      <c r="A12" s="256">
        <v>20</v>
      </c>
      <c r="B12" s="20">
        <v>39</v>
      </c>
      <c r="C12" s="20">
        <v>25</v>
      </c>
      <c r="D12" s="269">
        <v>51</v>
      </c>
      <c r="E12" s="185" t="e">
        <f t="array" aca="1" ref="E12" ca="1">LLReg(A12:D12,$G$4:$J$7,$G$10:$J$10)</f>
        <v>#NAME?</v>
      </c>
      <c r="G12" t="s">
        <v>1057</v>
      </c>
      <c r="L12" s="123" t="e">
        <f ca="1">I16</f>
        <v>#NAME?</v>
      </c>
      <c r="M12" s="123" t="e">
        <f ca="1">SQRT(L11*L13)-ABS(L12)</f>
        <v>#NAME?</v>
      </c>
    </row>
    <row r="13" spans="1:13" x14ac:dyDescent="0.25">
      <c r="A13" s="256">
        <v>18</v>
      </c>
      <c r="B13" s="20">
        <v>36</v>
      </c>
      <c r="C13" s="20">
        <v>23</v>
      </c>
      <c r="D13" s="269">
        <v>56</v>
      </c>
      <c r="E13" s="185" t="e">
        <f t="array" aca="1" ref="E13" ca="1">LLReg(A13:D13,$G$4:$J$7,$G$10:$J$10)</f>
        <v>#NAME?</v>
      </c>
      <c r="G13" s="418" t="e">
        <f t="array" aca="1" ref="G13:J16" ca="1">COV(A4:D23,FALSE)</f>
        <v>#NAME?</v>
      </c>
      <c r="H13" s="416" t="e">
        <f ca="1"/>
        <v>#NAME?</v>
      </c>
      <c r="I13" s="416" t="e">
        <f ca="1"/>
        <v>#NAME?</v>
      </c>
      <c r="J13" s="419" t="e">
        <f ca="1"/>
        <v>#NAME?</v>
      </c>
      <c r="L13" s="123" t="e">
        <f ca="1">J16</f>
        <v>#NAME?</v>
      </c>
      <c r="M13" s="120" t="e">
        <f ca="1">L13</f>
        <v>#NAME?</v>
      </c>
    </row>
    <row r="14" spans="1:13" x14ac:dyDescent="0.25">
      <c r="A14" s="256">
        <v>13</v>
      </c>
      <c r="B14" s="20">
        <v>27</v>
      </c>
      <c r="C14" s="20">
        <v>21</v>
      </c>
      <c r="D14" s="269">
        <v>39</v>
      </c>
      <c r="E14" s="185" t="e">
        <f t="array" aca="1" ref="E14" ca="1">LLReg(A14:D14,$G$4:$J$7,$G$10:$J$10)</f>
        <v>#NAME?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L14" s="417">
        <f t="array" ref="L14:L17">TRANSPOSE(G19:J19)</f>
        <v>15.9</v>
      </c>
    </row>
    <row r="15" spans="1:13" x14ac:dyDescent="0.25">
      <c r="A15" s="256">
        <v>14</v>
      </c>
      <c r="B15" s="20">
        <v>32</v>
      </c>
      <c r="C15" s="20">
        <v>20</v>
      </c>
      <c r="D15" s="269">
        <v>46</v>
      </c>
      <c r="E15" s="185" t="e">
        <f t="array" aca="1" ref="E15" ca="1">LLReg(A15:D15,$G$4:$J$7,$G$10:$J$10)</f>
        <v>#NAME?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L15" s="185">
        <v>32.4</v>
      </c>
    </row>
    <row r="16" spans="1:13" x14ac:dyDescent="0.25">
      <c r="A16" s="256">
        <v>22</v>
      </c>
      <c r="B16" s="20">
        <v>40</v>
      </c>
      <c r="C16" s="20">
        <v>23</v>
      </c>
      <c r="D16" s="269">
        <v>49</v>
      </c>
      <c r="E16" s="185" t="e">
        <f t="array" aca="1" ref="E16" ca="1">LLReg(A16:D16,$G$4:$J$7,$G$10:$J$10)</f>
        <v>#NAME?</v>
      </c>
      <c r="G16" s="112" t="e">
        <f ca="1"/>
        <v>#NAME?</v>
      </c>
      <c r="H16" s="354" t="e">
        <f ca="1"/>
        <v>#NAME?</v>
      </c>
      <c r="I16" s="354" t="e">
        <f ca="1"/>
        <v>#NAME?</v>
      </c>
      <c r="J16" s="120" t="e">
        <f ca="1"/>
        <v>#NAME?</v>
      </c>
      <c r="L16" s="185">
        <v>21.1</v>
      </c>
    </row>
    <row r="17" spans="1:12" x14ac:dyDescent="0.25">
      <c r="A17" s="256">
        <v>16</v>
      </c>
      <c r="B17" s="20">
        <v>31</v>
      </c>
      <c r="C17" s="20">
        <v>20</v>
      </c>
      <c r="D17" s="269">
        <v>44</v>
      </c>
      <c r="E17" s="185" t="e">
        <f t="array" aca="1" ref="E17" ca="1">LLReg(A17:D17,$G$4:$J$7,$G$10:$J$10)</f>
        <v>#NAME?</v>
      </c>
      <c r="L17" s="123">
        <v>47</v>
      </c>
    </row>
    <row r="18" spans="1:12" x14ac:dyDescent="0.25">
      <c r="A18" s="256">
        <v>13</v>
      </c>
      <c r="B18" s="20">
        <v>18</v>
      </c>
      <c r="C18" s="20">
        <v>21</v>
      </c>
      <c r="D18" s="269">
        <v>37</v>
      </c>
      <c r="E18" s="185" t="e">
        <f t="array" aca="1" ref="E18" ca="1">LLReg(A18:D18,$G$4:$J$7,$G$10:$J$10)</f>
        <v>#NAME?</v>
      </c>
      <c r="G18" t="s">
        <v>1059</v>
      </c>
    </row>
    <row r="19" spans="1:12" x14ac:dyDescent="0.25">
      <c r="A19" s="256">
        <v>16</v>
      </c>
      <c r="B19" s="20">
        <v>23</v>
      </c>
      <c r="C19" s="20">
        <v>21</v>
      </c>
      <c r="D19" s="269">
        <v>34</v>
      </c>
      <c r="E19" s="185" t="e">
        <f t="array" aca="1" ref="E19" ca="1">LLReg(A19:D19,$G$4:$J$7,$G$10:$J$10)</f>
        <v>#NAME?</v>
      </c>
      <c r="G19" s="275">
        <f>AVERAGE(A4:A23)</f>
        <v>15.9</v>
      </c>
      <c r="H19" s="263">
        <f>AVERAGE(B4:B23)</f>
        <v>32.4</v>
      </c>
      <c r="I19" s="263">
        <f>AVERAGE(C4:C23)</f>
        <v>21.1</v>
      </c>
      <c r="J19" s="276">
        <f>AVERAGE(D4:D23)</f>
        <v>47</v>
      </c>
    </row>
    <row r="20" spans="1:12" x14ac:dyDescent="0.25">
      <c r="A20" s="256">
        <v>27</v>
      </c>
      <c r="B20" s="20">
        <v>26</v>
      </c>
      <c r="C20" s="20">
        <v>23</v>
      </c>
      <c r="D20" s="269">
        <v>59</v>
      </c>
      <c r="E20" s="185" t="e">
        <f t="array" aca="1" ref="E20" ca="1">LLReg(A20:D20,$G$4:$J$7,$G$10:$J$10)</f>
        <v>#NAME?</v>
      </c>
    </row>
    <row r="21" spans="1:12" x14ac:dyDescent="0.25">
      <c r="A21" s="256">
        <v>17</v>
      </c>
      <c r="B21" s="20">
        <v>12</v>
      </c>
      <c r="C21" s="20">
        <v>19</v>
      </c>
      <c r="D21" s="269">
        <v>35</v>
      </c>
      <c r="E21" s="185" t="e">
        <f t="array" aca="1" ref="E21" ca="1">LLReg(A21:D21,$G$4:$J$7,$G$10:$J$10)</f>
        <v>#NAME?</v>
      </c>
      <c r="G21" t="s">
        <v>1068</v>
      </c>
    </row>
    <row r="22" spans="1:12" x14ac:dyDescent="0.25">
      <c r="A22" s="256">
        <v>13</v>
      </c>
      <c r="B22" s="20">
        <v>21</v>
      </c>
      <c r="C22" s="20">
        <v>20</v>
      </c>
      <c r="D22" s="269">
        <v>48</v>
      </c>
      <c r="E22" s="185" t="e">
        <f t="array" aca="1" ref="E22" ca="1">LLReg(A22:D22,$G$4:$J$7,$G$10:$J$10)</f>
        <v>#NAME?</v>
      </c>
      <c r="G22" s="275">
        <f>COUNT(A4:A23)</f>
        <v>20</v>
      </c>
      <c r="H22" s="263">
        <f>COUNT(B4:B23)</f>
        <v>20</v>
      </c>
      <c r="I22" s="263">
        <f>COUNT(C4:C23)</f>
        <v>20</v>
      </c>
      <c r="J22" s="276">
        <f>COUNT(D4:D23)</f>
        <v>20</v>
      </c>
    </row>
    <row r="23" spans="1:12" x14ac:dyDescent="0.25">
      <c r="A23" s="425">
        <v>11</v>
      </c>
      <c r="B23" s="428">
        <v>51</v>
      </c>
      <c r="C23" s="428">
        <v>18</v>
      </c>
      <c r="D23" s="426">
        <v>54</v>
      </c>
      <c r="E23" s="123" t="e">
        <f t="array" aca="1" ref="E23" ca="1">LLReg(A23:D23,$G$4:$J$7,$G$10:$J$10)</f>
        <v>#NAME?</v>
      </c>
    </row>
    <row r="24" spans="1:12" x14ac:dyDescent="0.25">
      <c r="E24" t="e">
        <f ca="1">SUM(E4:E23)</f>
        <v>#NAME?</v>
      </c>
    </row>
  </sheetData>
  <pageMargins left="0.7" right="0.7" top="0.75" bottom="0.75" header="0.3" footer="0.3"/>
  <ignoredErrors>
    <ignoredError sqref="M12" formula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AG31"/>
  <sheetViews>
    <sheetView workbookViewId="0"/>
  </sheetViews>
  <sheetFormatPr defaultRowHeight="15" x14ac:dyDescent="0.25"/>
  <cols>
    <col min="19" max="19" width="18" customWidth="1"/>
    <col min="27" max="27" width="17" customWidth="1"/>
  </cols>
  <sheetData>
    <row r="1" spans="1:33" x14ac:dyDescent="0.25">
      <c r="A1" s="1" t="s">
        <v>1065</v>
      </c>
    </row>
    <row r="3" spans="1:33" x14ac:dyDescent="0.25">
      <c r="A3" s="451" t="s">
        <v>1015</v>
      </c>
      <c r="B3" s="451" t="s">
        <v>997</v>
      </c>
      <c r="C3" s="451" t="s">
        <v>996</v>
      </c>
      <c r="D3" s="451" t="s">
        <v>1016</v>
      </c>
      <c r="E3" s="450" t="s">
        <v>1072</v>
      </c>
      <c r="G3" t="s">
        <v>787</v>
      </c>
      <c r="L3" s="451" t="s">
        <v>1060</v>
      </c>
      <c r="M3" t="s">
        <v>1064</v>
      </c>
      <c r="O3" t="s">
        <v>1066</v>
      </c>
      <c r="S3" t="s">
        <v>1078</v>
      </c>
      <c r="AA3" t="s">
        <v>1077</v>
      </c>
    </row>
    <row r="4" spans="1:33" x14ac:dyDescent="0.25">
      <c r="A4" s="423">
        <v>12</v>
      </c>
      <c r="B4" s="429">
        <v>27</v>
      </c>
      <c r="C4" s="429">
        <v>19</v>
      </c>
      <c r="D4" s="424">
        <v>44</v>
      </c>
      <c r="E4" s="417" t="e">
        <f t="shared" ref="E4:E23" ca="1" si="0">LLReg(A4:D4,$G$4:$J$7,$G$10:$J$10)</f>
        <v>#NAME?</v>
      </c>
      <c r="G4" s="418">
        <f>L4</f>
        <v>17.089889071593699</v>
      </c>
      <c r="H4" s="416">
        <f>G5</f>
        <v>-1.6098580530537256</v>
      </c>
      <c r="I4" s="416">
        <f>G6</f>
        <v>6.3599764446213713</v>
      </c>
      <c r="J4" s="419">
        <f>G7</f>
        <v>10.349924432711751</v>
      </c>
      <c r="L4" s="417">
        <v>17.089889071593699</v>
      </c>
      <c r="M4" s="417">
        <f>L4</f>
        <v>17.089889071593699</v>
      </c>
    </row>
    <row r="5" spans="1:33" ht="15.75" thickBot="1" x14ac:dyDescent="0.3">
      <c r="A5" s="256">
        <v>11</v>
      </c>
      <c r="B5" s="20">
        <v>30</v>
      </c>
      <c r="C5" s="20">
        <v>13</v>
      </c>
      <c r="D5" s="269">
        <v>43</v>
      </c>
      <c r="E5" s="185" t="e">
        <f t="shared" ca="1" si="0"/>
        <v>#NAME?</v>
      </c>
      <c r="G5" s="214">
        <f>L5</f>
        <v>-1.6098580530537256</v>
      </c>
      <c r="H5" s="7">
        <f>L8</f>
        <v>124.33709405134971</v>
      </c>
      <c r="I5" s="7">
        <f>H6</f>
        <v>10.509684350937441</v>
      </c>
      <c r="J5" s="215">
        <f>H7</f>
        <v>58.698291193444597</v>
      </c>
      <c r="L5" s="185">
        <v>-1.6098580530537256</v>
      </c>
      <c r="M5" s="185">
        <f>SQRT(L4*L8)-ABS(L5)</f>
        <v>44.486857066593132</v>
      </c>
      <c r="P5" t="s">
        <v>143</v>
      </c>
      <c r="Q5" s="417">
        <f>-MMULT(G10:J10,Q6:Q9)</f>
        <v>21.629184964866834</v>
      </c>
      <c r="S5" s="342" t="s">
        <v>799</v>
      </c>
      <c r="T5" s="342"/>
      <c r="AA5" s="342" t="s">
        <v>799</v>
      </c>
      <c r="AB5" s="342"/>
    </row>
    <row r="6" spans="1:33" ht="15.75" thickTop="1" x14ac:dyDescent="0.25">
      <c r="A6" s="256">
        <v>16</v>
      </c>
      <c r="B6" s="20">
        <v>56</v>
      </c>
      <c r="C6" s="20">
        <v>23</v>
      </c>
      <c r="D6" s="269">
        <v>60</v>
      </c>
      <c r="E6" s="185" t="e">
        <f t="shared" ca="1" si="0"/>
        <v>#NAME?</v>
      </c>
      <c r="G6" s="214">
        <f>L6</f>
        <v>6.3599764446213713</v>
      </c>
      <c r="H6" s="7">
        <f>L9</f>
        <v>10.509684350937441</v>
      </c>
      <c r="I6" s="7">
        <f>L11</f>
        <v>8.6899329067307782</v>
      </c>
      <c r="J6" s="215">
        <f>I7</f>
        <v>8.9497550915703616</v>
      </c>
      <c r="L6" s="185">
        <v>6.3599764446213713</v>
      </c>
      <c r="M6" s="185">
        <f>SQRT(L4*L11)-ABS(L6)</f>
        <v>5.826491026127516</v>
      </c>
      <c r="P6" t="str">
        <f t="array" ref="P6:P8">TRANSPOSE(A3:C3)</f>
        <v>read</v>
      </c>
      <c r="Q6" s="185">
        <f t="array" ref="Q6:Q8">MMULT(MINVERSE(G4:I6),J4:J6)</f>
        <v>0.66801415090768601</v>
      </c>
      <c r="S6" t="s">
        <v>123</v>
      </c>
      <c r="T6" t="e">
        <f ca="1">SQRT(T7)</f>
        <v>#NAME?</v>
      </c>
      <c r="AA6" t="s">
        <v>123</v>
      </c>
      <c r="AB6" t="e">
        <f ca="1">SQRT(AB7)</f>
        <v>#NAME?</v>
      </c>
    </row>
    <row r="7" spans="1:33" x14ac:dyDescent="0.25">
      <c r="A7" s="256">
        <v>15</v>
      </c>
      <c r="B7" s="20">
        <v>37</v>
      </c>
      <c r="C7" s="20">
        <v>19</v>
      </c>
      <c r="D7" s="269">
        <v>52</v>
      </c>
      <c r="E7" s="185" t="e">
        <f t="shared" ca="1" si="0"/>
        <v>#NAME?</v>
      </c>
      <c r="G7" s="112">
        <f>L7</f>
        <v>10.349924432711751</v>
      </c>
      <c r="H7" s="354">
        <f>L10</f>
        <v>58.698291193444597</v>
      </c>
      <c r="I7" s="354">
        <f>L12</f>
        <v>8.9497550915703616</v>
      </c>
      <c r="J7" s="120">
        <f>L13</f>
        <v>55.398851433720949</v>
      </c>
      <c r="L7" s="123">
        <v>10.349924432711751</v>
      </c>
      <c r="M7" s="123">
        <f>SQRT(L4*L13)-ABS(L7)</f>
        <v>20.419544618540833</v>
      </c>
      <c r="P7" t="str">
        <v>science</v>
      </c>
      <c r="Q7" s="185">
        <v>0.48454428261504684</v>
      </c>
      <c r="S7" t="s">
        <v>120</v>
      </c>
      <c r="T7" t="e">
        <f ca="1">SUMPRODUCT(J13:J15,Q6:Q8)/J16</f>
        <v>#NAME?</v>
      </c>
      <c r="AA7" t="s">
        <v>120</v>
      </c>
      <c r="AB7" t="e">
        <f ca="1">AC14/AC16</f>
        <v>#NAME?</v>
      </c>
    </row>
    <row r="8" spans="1:33" x14ac:dyDescent="0.25">
      <c r="A8" s="256">
        <v>10</v>
      </c>
      <c r="B8" s="20">
        <v>31</v>
      </c>
      <c r="C8" s="20">
        <v>21</v>
      </c>
      <c r="D8" s="269">
        <v>44</v>
      </c>
      <c r="E8" s="185" t="e">
        <f t="shared" ca="1" si="0"/>
        <v>#NAME?</v>
      </c>
      <c r="L8" s="417">
        <v>124.33709405134971</v>
      </c>
      <c r="M8" s="417">
        <f>L8</f>
        <v>124.33709405134971</v>
      </c>
      <c r="P8" t="str">
        <v>math</v>
      </c>
      <c r="Q8" s="123">
        <v>-4.5018372570957865E-2</v>
      </c>
      <c r="S8" t="s">
        <v>124</v>
      </c>
      <c r="T8" t="e">
        <f ca="1">1-(1-T7)*(T10-1)/(T10-T14-1)</f>
        <v>#NAME?</v>
      </c>
      <c r="AA8" t="s">
        <v>124</v>
      </c>
      <c r="AB8" t="e">
        <f ca="1">1-(1-AB7)*(AB10-1)/(AB10-AB14-1)</f>
        <v>#NAME?</v>
      </c>
    </row>
    <row r="9" spans="1:33" x14ac:dyDescent="0.25">
      <c r="A9" s="256">
        <v>18</v>
      </c>
      <c r="B9" s="20">
        <v>40</v>
      </c>
      <c r="C9" s="20">
        <v>22</v>
      </c>
      <c r="D9" s="269">
        <v>43</v>
      </c>
      <c r="E9" s="185" t="e">
        <f t="shared" ca="1" si="0"/>
        <v>#NAME?</v>
      </c>
      <c r="G9" t="s">
        <v>1058</v>
      </c>
      <c r="L9" s="185">
        <v>10.509684350937441</v>
      </c>
      <c r="M9" s="185">
        <f>SQRT(L8*L11)-ABS(L9)</f>
        <v>22.360986544620857</v>
      </c>
      <c r="Q9">
        <v>-1</v>
      </c>
      <c r="S9" t="s">
        <v>10</v>
      </c>
      <c r="T9" t="e">
        <f ca="1">SQRT(V15)</f>
        <v>#NAME?</v>
      </c>
      <c r="AA9" t="s">
        <v>10</v>
      </c>
      <c r="AB9" t="e">
        <f ca="1">SQRT(AD15)</f>
        <v>#NAME?</v>
      </c>
    </row>
    <row r="10" spans="1:33" ht="15" customHeight="1" x14ac:dyDescent="0.25">
      <c r="A10" s="256">
        <v>15</v>
      </c>
      <c r="B10" s="20">
        <v>50</v>
      </c>
      <c r="C10" s="20">
        <v>28</v>
      </c>
      <c r="D10" s="269">
        <v>56</v>
      </c>
      <c r="E10" s="185" t="e">
        <f t="shared" ca="1" si="0"/>
        <v>#NAME?</v>
      </c>
      <c r="G10" s="275">
        <f>L14</f>
        <v>15.899921366693819</v>
      </c>
      <c r="H10" s="263">
        <f>L15</f>
        <v>32.399749616392405</v>
      </c>
      <c r="I10" s="263">
        <f>L16</f>
        <v>21.099928532015614</v>
      </c>
      <c r="J10" s="276">
        <f>L17</f>
        <v>46.999786427044917</v>
      </c>
      <c r="L10" s="123">
        <v>58.698291193444597</v>
      </c>
      <c r="M10" s="123">
        <f>SQRT(L8*L13)-ABS(L10)</f>
        <v>24.296480937402968</v>
      </c>
      <c r="S10" s="354" t="s">
        <v>55</v>
      </c>
      <c r="T10" s="354">
        <f>COUNTA(A4:A23)</f>
        <v>20</v>
      </c>
      <c r="AA10" s="354" t="s">
        <v>55</v>
      </c>
      <c r="AB10" s="354">
        <f>COUNT(D4:D23)</f>
        <v>20</v>
      </c>
    </row>
    <row r="11" spans="1:33" ht="15.75" customHeight="1" x14ac:dyDescent="0.25">
      <c r="A11" s="256">
        <v>21</v>
      </c>
      <c r="B11" s="20">
        <v>21</v>
      </c>
      <c r="C11" s="20">
        <v>23</v>
      </c>
      <c r="D11" s="269">
        <v>46</v>
      </c>
      <c r="E11" s="185" t="e">
        <f t="shared" ca="1" si="0"/>
        <v>#NAME?</v>
      </c>
      <c r="L11" s="185">
        <v>8.6899329067307782</v>
      </c>
      <c r="M11" s="417">
        <f>L11</f>
        <v>8.6899329067307782</v>
      </c>
      <c r="O11" t="s">
        <v>1067</v>
      </c>
    </row>
    <row r="12" spans="1:33" ht="15.75" thickBot="1" x14ac:dyDescent="0.3">
      <c r="A12" s="256">
        <v>20</v>
      </c>
      <c r="B12" s="20">
        <v>39</v>
      </c>
      <c r="C12" s="20">
        <v>25</v>
      </c>
      <c r="D12" s="269">
        <v>51</v>
      </c>
      <c r="E12" s="185" t="e">
        <f t="shared" ca="1" si="0"/>
        <v>#NAME?</v>
      </c>
      <c r="G12" t="s">
        <v>1057</v>
      </c>
      <c r="L12" s="123">
        <v>8.9497550915703616</v>
      </c>
      <c r="M12" s="123">
        <f>SQRT(L11*L13)-ABS(L12)</f>
        <v>12.991354772540459</v>
      </c>
      <c r="O12" s="418" t="e">
        <f t="array" aca="1" ref="O12:Q14" ca="1">MINVERSE(G13:I15)/(COUNTA(A4:A23)-1)</f>
        <v>#NAME?</v>
      </c>
      <c r="P12" s="416" t="e">
        <f ca="1"/>
        <v>#NAME?</v>
      </c>
      <c r="Q12" s="419" t="e">
        <f ca="1"/>
        <v>#NAME?</v>
      </c>
      <c r="S12" t="s">
        <v>125</v>
      </c>
      <c r="W12" s="451" t="s">
        <v>18</v>
      </c>
      <c r="X12" s="451">
        <v>0.05</v>
      </c>
      <c r="AA12" t="s">
        <v>125</v>
      </c>
      <c r="AE12" s="451" t="s">
        <v>18</v>
      </c>
      <c r="AF12" s="451">
        <v>0.05</v>
      </c>
    </row>
    <row r="13" spans="1:33" ht="15.75" thickTop="1" x14ac:dyDescent="0.25">
      <c r="A13" s="256">
        <v>18</v>
      </c>
      <c r="B13" s="20">
        <v>36</v>
      </c>
      <c r="C13" s="20">
        <v>23</v>
      </c>
      <c r="D13" s="269">
        <v>56</v>
      </c>
      <c r="E13" s="185" t="e">
        <f t="shared" ca="1" si="0"/>
        <v>#NAME?</v>
      </c>
      <c r="G13" s="453" t="e">
        <f t="array" aca="1" ref="G13:J16" ca="1">COV(A4:D23,FALSE)</f>
        <v>#NAME?</v>
      </c>
      <c r="H13" s="416" t="e">
        <f ca="1"/>
        <v>#NAME?</v>
      </c>
      <c r="I13" s="416" t="e">
        <f ca="1"/>
        <v>#NAME?</v>
      </c>
      <c r="J13" s="419" t="e">
        <f ca="1"/>
        <v>#NAME?</v>
      </c>
      <c r="L13" s="123">
        <v>55.398851433720949</v>
      </c>
      <c r="M13" s="120">
        <f>L13</f>
        <v>55.398851433720949</v>
      </c>
      <c r="O13" s="214" t="e">
        <f ca="1"/>
        <v>#NAME?</v>
      </c>
      <c r="P13" s="7" t="e">
        <f ca="1"/>
        <v>#NAME?</v>
      </c>
      <c r="Q13" s="215" t="e">
        <f ca="1"/>
        <v>#NAME?</v>
      </c>
      <c r="S13" s="386"/>
      <c r="T13" s="386" t="s">
        <v>41</v>
      </c>
      <c r="U13" s="386" t="s">
        <v>111</v>
      </c>
      <c r="V13" s="386" t="s">
        <v>115</v>
      </c>
      <c r="W13" s="386" t="s">
        <v>98</v>
      </c>
      <c r="X13" s="386" t="s">
        <v>48</v>
      </c>
      <c r="Y13" s="386" t="s">
        <v>164</v>
      </c>
      <c r="AA13" s="386"/>
      <c r="AB13" s="386" t="s">
        <v>41</v>
      </c>
      <c r="AC13" s="386" t="s">
        <v>111</v>
      </c>
      <c r="AD13" s="386" t="s">
        <v>115</v>
      </c>
      <c r="AE13" s="386" t="s">
        <v>98</v>
      </c>
      <c r="AF13" s="386" t="s">
        <v>48</v>
      </c>
      <c r="AG13" s="386" t="s">
        <v>164</v>
      </c>
    </row>
    <row r="14" spans="1:33" x14ac:dyDescent="0.25">
      <c r="A14" s="256">
        <v>13</v>
      </c>
      <c r="B14" s="20">
        <v>27</v>
      </c>
      <c r="C14" s="20">
        <v>21</v>
      </c>
      <c r="D14" s="269">
        <v>39</v>
      </c>
      <c r="E14" s="185" t="e">
        <f t="shared" ca="1" si="0"/>
        <v>#NAME?</v>
      </c>
      <c r="G14" s="214" t="e">
        <f ca="1"/>
        <v>#NAME?</v>
      </c>
      <c r="H14" s="7" t="e">
        <f ca="1"/>
        <v>#NAME?</v>
      </c>
      <c r="I14" s="7" t="e">
        <f ca="1"/>
        <v>#NAME?</v>
      </c>
      <c r="J14" s="215" t="e">
        <f ca="1"/>
        <v>#NAME?</v>
      </c>
      <c r="L14" s="417">
        <v>15.899921366693819</v>
      </c>
      <c r="O14" s="112" t="e">
        <f ca="1"/>
        <v>#NAME?</v>
      </c>
      <c r="P14" s="354" t="e">
        <f ca="1"/>
        <v>#NAME?</v>
      </c>
      <c r="Q14" s="120" t="e">
        <f ca="1"/>
        <v>#NAME?</v>
      </c>
      <c r="S14" t="s">
        <v>113</v>
      </c>
      <c r="T14">
        <f>COUNTA(A3:D3)-1</f>
        <v>3</v>
      </c>
      <c r="U14" t="e">
        <f ca="1">T7*U16</f>
        <v>#NAME?</v>
      </c>
      <c r="V14" t="e">
        <f ca="1">U14/T14</f>
        <v>#NAME?</v>
      </c>
      <c r="W14" t="e">
        <f ca="1">V14/V15</f>
        <v>#NAME?</v>
      </c>
      <c r="X14" t="e">
        <f ca="1">FDIST(W14,T14,T15)</f>
        <v>#NAME?</v>
      </c>
      <c r="Y14" s="451" t="e">
        <f ca="1">IF(X14&lt;X12,"yes","no")</f>
        <v>#NAME?</v>
      </c>
      <c r="AA14" t="s">
        <v>113</v>
      </c>
      <c r="AB14">
        <f>COUNT(A4:C4)</f>
        <v>3</v>
      </c>
      <c r="AC14" t="e">
        <f ca="1">DEVSQ(MMULT(DESIGN(A4:C23),AB19:AB22))</f>
        <v>#NAME?</v>
      </c>
      <c r="AD14" t="e">
        <f ca="1">AC14/AB14</f>
        <v>#NAME?</v>
      </c>
      <c r="AE14" t="e">
        <f ca="1">AD14/AD15</f>
        <v>#NAME?</v>
      </c>
      <c r="AF14" t="e">
        <f ca="1">FDIST(AE14,AB14,AB15)</f>
        <v>#NAME?</v>
      </c>
      <c r="AG14" s="451" t="e">
        <f ca="1">IF(AF14&lt;AF12,"yes","no")</f>
        <v>#NAME?</v>
      </c>
    </row>
    <row r="15" spans="1:33" x14ac:dyDescent="0.25">
      <c r="A15" s="256">
        <v>14</v>
      </c>
      <c r="B15" s="20">
        <v>32</v>
      </c>
      <c r="C15" s="20">
        <v>20</v>
      </c>
      <c r="D15" s="269">
        <v>46</v>
      </c>
      <c r="E15" s="185" t="e">
        <f t="shared" ca="1" si="0"/>
        <v>#NAME?</v>
      </c>
      <c r="G15" s="214" t="e">
        <f ca="1"/>
        <v>#NAME?</v>
      </c>
      <c r="H15" s="7" t="e">
        <f ca="1"/>
        <v>#NAME?</v>
      </c>
      <c r="I15" s="7" t="e">
        <f ca="1"/>
        <v>#NAME?</v>
      </c>
      <c r="J15" s="215" t="e">
        <f ca="1"/>
        <v>#NAME?</v>
      </c>
      <c r="L15" s="185">
        <v>32.399749616392405</v>
      </c>
      <c r="S15" t="s">
        <v>126</v>
      </c>
      <c r="T15">
        <f>T16-T14</f>
        <v>16</v>
      </c>
      <c r="U15" t="e">
        <f ca="1">U16-U14</f>
        <v>#NAME?</v>
      </c>
      <c r="V15" t="e">
        <f ca="1">U15/T15</f>
        <v>#NAME?</v>
      </c>
      <c r="AA15" t="s">
        <v>126</v>
      </c>
      <c r="AB15">
        <f>AB16-AB14</f>
        <v>16</v>
      </c>
      <c r="AC15" t="e">
        <f ca="1">AC16-AC14</f>
        <v>#NAME?</v>
      </c>
      <c r="AD15" t="e">
        <f ca="1">AC15/AB15</f>
        <v>#NAME?</v>
      </c>
    </row>
    <row r="16" spans="1:33" x14ac:dyDescent="0.25">
      <c r="A16" s="256">
        <v>22</v>
      </c>
      <c r="B16" s="20">
        <v>40</v>
      </c>
      <c r="C16" s="20">
        <v>23</v>
      </c>
      <c r="D16" s="269">
        <v>49</v>
      </c>
      <c r="E16" s="185" t="e">
        <f t="shared" ca="1" si="0"/>
        <v>#NAME?</v>
      </c>
      <c r="G16" s="112" t="e">
        <f ca="1"/>
        <v>#NAME?</v>
      </c>
      <c r="H16" s="354" t="e">
        <f ca="1"/>
        <v>#NAME?</v>
      </c>
      <c r="I16" s="354" t="e">
        <f ca="1"/>
        <v>#NAME?</v>
      </c>
      <c r="J16" s="120" t="e">
        <f ca="1"/>
        <v>#NAME?</v>
      </c>
      <c r="L16" s="185">
        <v>21.099928532015614</v>
      </c>
      <c r="S16" s="354" t="s">
        <v>1</v>
      </c>
      <c r="T16" s="354">
        <f>T10-1</f>
        <v>19</v>
      </c>
      <c r="U16" s="354">
        <f>DEVSQ(D4:D23)</f>
        <v>1108</v>
      </c>
      <c r="V16" s="354"/>
      <c r="W16" s="354"/>
      <c r="X16" s="354"/>
      <c r="Y16" s="354"/>
      <c r="AA16" s="354" t="s">
        <v>1</v>
      </c>
      <c r="AB16" s="354">
        <f>AB10-1</f>
        <v>19</v>
      </c>
      <c r="AC16" s="354">
        <f>DEVSQ(D4:D23)</f>
        <v>1108</v>
      </c>
      <c r="AD16" s="354"/>
      <c r="AE16" s="354"/>
      <c r="AF16" s="354"/>
      <c r="AG16" s="354"/>
    </row>
    <row r="17" spans="1:33" ht="15.75" thickBot="1" x14ac:dyDescent="0.3">
      <c r="A17" s="256">
        <v>16</v>
      </c>
      <c r="B17" s="20">
        <v>31</v>
      </c>
      <c r="C17" s="20">
        <v>20</v>
      </c>
      <c r="D17" s="269">
        <v>44</v>
      </c>
      <c r="E17" s="185" t="e">
        <f t="shared" ca="1" si="0"/>
        <v>#NAME?</v>
      </c>
      <c r="L17" s="123">
        <v>46.999786427044917</v>
      </c>
    </row>
    <row r="18" spans="1:33" ht="15" customHeight="1" thickTop="1" x14ac:dyDescent="0.25">
      <c r="A18" s="256">
        <v>13</v>
      </c>
      <c r="B18" s="20">
        <v>18</v>
      </c>
      <c r="C18" s="20">
        <v>21</v>
      </c>
      <c r="D18" s="269">
        <v>37</v>
      </c>
      <c r="E18" s="185" t="e">
        <f t="shared" ca="1" si="0"/>
        <v>#NAME?</v>
      </c>
      <c r="G18" t="s">
        <v>1059</v>
      </c>
      <c r="O18" t="s">
        <v>1116</v>
      </c>
      <c r="S18" s="386"/>
      <c r="T18" s="386" t="s">
        <v>797</v>
      </c>
      <c r="U18" s="386" t="s">
        <v>390</v>
      </c>
      <c r="V18" s="386" t="s">
        <v>42</v>
      </c>
      <c r="W18" s="386" t="s">
        <v>48</v>
      </c>
      <c r="X18" s="386" t="s">
        <v>15</v>
      </c>
      <c r="Y18" s="386" t="s">
        <v>16</v>
      </c>
      <c r="AA18" s="386"/>
      <c r="AB18" s="386" t="s">
        <v>797</v>
      </c>
      <c r="AC18" s="386" t="s">
        <v>390</v>
      </c>
      <c r="AD18" s="386" t="s">
        <v>42</v>
      </c>
      <c r="AE18" s="386" t="s">
        <v>48</v>
      </c>
      <c r="AF18" s="386" t="s">
        <v>15</v>
      </c>
      <c r="AG18" s="386" t="s">
        <v>16</v>
      </c>
    </row>
    <row r="19" spans="1:33" x14ac:dyDescent="0.25">
      <c r="A19" s="256">
        <v>16</v>
      </c>
      <c r="B19" s="20">
        <v>23</v>
      </c>
      <c r="C19" s="20">
        <v>21</v>
      </c>
      <c r="D19" s="269">
        <v>34</v>
      </c>
      <c r="E19" s="185" t="e">
        <f t="shared" ca="1" si="0"/>
        <v>#NAME?</v>
      </c>
      <c r="G19" s="275">
        <f>AVERAGE(A4:A23)</f>
        <v>15.9</v>
      </c>
      <c r="H19" s="263">
        <f>AVERAGE(B4:B23)</f>
        <v>32.4</v>
      </c>
      <c r="I19" s="263">
        <f>AVERAGE(C4:C23)</f>
        <v>21.1</v>
      </c>
      <c r="J19" s="276">
        <f>AVERAGE(D4:D23)</f>
        <v>47</v>
      </c>
      <c r="O19" s="418">
        <f t="array" ref="O19:Q21">MINVERSE(G4:I6)/(COUNTA(A4:A23))</f>
        <v>4.2881411159149717E-3</v>
      </c>
      <c r="P19" s="416">
        <v>3.5732420570626703E-4</v>
      </c>
      <c r="Q19" s="419">
        <v>-3.57055013362892E-3</v>
      </c>
      <c r="S19" t="s">
        <v>127</v>
      </c>
      <c r="T19">
        <f>Q5</f>
        <v>21.629184964866834</v>
      </c>
      <c r="AA19" t="s">
        <v>127</v>
      </c>
      <c r="AB19" t="e">
        <f t="array" aca="1" ref="AB19:AB22" ca="1">RegCoeff(A4:C23,D4:D23)</f>
        <v>#NAME?</v>
      </c>
      <c r="AC19" t="e">
        <f t="array" aca="1" ref="AC19:AC22" ca="1">RegCoeffSE(A4:C23,D4:D23)</f>
        <v>#NAME?</v>
      </c>
      <c r="AD19" t="e">
        <f ca="1">AB19/AC19</f>
        <v>#NAME?</v>
      </c>
      <c r="AE19" t="e">
        <f ca="1">TDIST(ABS(AD19),$AB$15,2)</f>
        <v>#NAME?</v>
      </c>
      <c r="AF19" t="e">
        <f ca="1">AB19-TINV(AF$12,$AB$15)*AC19</f>
        <v>#NAME?</v>
      </c>
      <c r="AG19" t="e">
        <f ca="1">AB19+TINV(AF$12,$AB$15)*AC19</f>
        <v>#NAME?</v>
      </c>
    </row>
    <row r="20" spans="1:33" x14ac:dyDescent="0.25">
      <c r="A20" s="256">
        <v>27</v>
      </c>
      <c r="B20" s="20">
        <v>26</v>
      </c>
      <c r="C20" s="20">
        <v>23</v>
      </c>
      <c r="D20" s="269">
        <v>59</v>
      </c>
      <c r="E20" s="185" t="e">
        <f t="shared" ca="1" si="0"/>
        <v>#NAME?</v>
      </c>
      <c r="O20" s="214">
        <v>3.5732420570626703E-4</v>
      </c>
      <c r="P20" s="7">
        <v>4.776972452758449E-4</v>
      </c>
      <c r="Q20" s="215">
        <v>-8.3924937888732942E-4</v>
      </c>
      <c r="S20" t="str">
        <f t="array" ref="S20:S22">TRANSPOSE(A3:C3)</f>
        <v>read</v>
      </c>
      <c r="T20">
        <f>Q6</f>
        <v>0.66801415090768601</v>
      </c>
      <c r="U20" t="e">
        <f t="array" aca="1" ref="U20:U22" ca="1">SQRT(DIAG(O12:Q14))*T9</f>
        <v>#NAME?</v>
      </c>
      <c r="V20" t="e">
        <f ca="1">T20/U20</f>
        <v>#NAME?</v>
      </c>
      <c r="W20" t="e">
        <f ca="1">TDIST(ABS(V20),$T$15,2)</f>
        <v>#NAME?</v>
      </c>
      <c r="X20" t="e">
        <f ca="1">T20-TINV(X$12,$T$15)*U20</f>
        <v>#NAME?</v>
      </c>
      <c r="Y20" t="e">
        <f ca="1">T20+TINV(X$12,$T$15)*U20</f>
        <v>#NAME?</v>
      </c>
      <c r="AA20" t="str">
        <f t="array" ref="AA20:AA22">TRANSPOSE(A3:C3)</f>
        <v>read</v>
      </c>
      <c r="AB20" t="e">
        <f ca="1"/>
        <v>#NAME?</v>
      </c>
      <c r="AC20" t="e">
        <f ca="1"/>
        <v>#NAME?</v>
      </c>
      <c r="AD20" t="e">
        <f ca="1">AB20/AC20</f>
        <v>#NAME?</v>
      </c>
      <c r="AE20" t="e">
        <f ca="1">TDIST(ABS(AD20),$AB$15,2)</f>
        <v>#NAME?</v>
      </c>
      <c r="AF20" t="e">
        <f ca="1">AB20-TINV(AF$12,$AB$15)*AC20</f>
        <v>#NAME?</v>
      </c>
      <c r="AG20" t="e">
        <f ca="1">AB20+TINV(AF$12,$AB$15)*AC20</f>
        <v>#NAME?</v>
      </c>
    </row>
    <row r="21" spans="1:33" x14ac:dyDescent="0.25">
      <c r="A21" s="256">
        <v>17</v>
      </c>
      <c r="B21" s="20">
        <v>12</v>
      </c>
      <c r="C21" s="20">
        <v>19</v>
      </c>
      <c r="D21" s="269">
        <v>35</v>
      </c>
      <c r="E21" s="185" t="e">
        <f t="shared" ca="1" si="0"/>
        <v>#NAME?</v>
      </c>
      <c r="G21" t="s">
        <v>1068</v>
      </c>
      <c r="O21" s="112">
        <v>-3.57055013362892E-3</v>
      </c>
      <c r="P21" s="354">
        <v>-8.3924937888732952E-4</v>
      </c>
      <c r="Q21" s="120">
        <v>9.3819896750753588E-3</v>
      </c>
      <c r="S21" t="str">
        <v>science</v>
      </c>
      <c r="T21">
        <f>Q7</f>
        <v>0.48454428261504684</v>
      </c>
      <c r="U21" t="e">
        <f ca="1"/>
        <v>#NAME?</v>
      </c>
      <c r="V21" t="e">
        <f ca="1">T21/U21</f>
        <v>#NAME?</v>
      </c>
      <c r="W21" t="e">
        <f ca="1">TDIST(ABS(V21),$T$15,2)</f>
        <v>#NAME?</v>
      </c>
      <c r="X21" t="e">
        <f ca="1">T21-TINV(X$12,$T$15)*U21</f>
        <v>#NAME?</v>
      </c>
      <c r="Y21" t="e">
        <f ca="1">T21+TINV(X$12,$T$15)*U21</f>
        <v>#NAME?</v>
      </c>
      <c r="AA21" t="str">
        <v>science</v>
      </c>
      <c r="AB21" t="e">
        <f ca="1"/>
        <v>#NAME?</v>
      </c>
      <c r="AC21" t="e">
        <f ca="1"/>
        <v>#NAME?</v>
      </c>
      <c r="AD21" t="e">
        <f ca="1">AB21/AC21</f>
        <v>#NAME?</v>
      </c>
      <c r="AE21" t="e">
        <f ca="1">TDIST(ABS(AD21),$AB$15,2)</f>
        <v>#NAME?</v>
      </c>
      <c r="AF21" t="e">
        <f ca="1">AB21-TINV(AF$12,$AB$15)*AC21</f>
        <v>#NAME?</v>
      </c>
      <c r="AG21" t="e">
        <f ca="1">AB21+TINV(AF$12,$AB$15)*AC21</f>
        <v>#NAME?</v>
      </c>
    </row>
    <row r="22" spans="1:33" x14ac:dyDescent="0.25">
      <c r="A22" s="256">
        <v>13</v>
      </c>
      <c r="B22" s="20">
        <v>21</v>
      </c>
      <c r="C22" s="20">
        <v>20</v>
      </c>
      <c r="D22" s="269">
        <v>48</v>
      </c>
      <c r="E22" s="185" t="e">
        <f t="shared" ca="1" si="0"/>
        <v>#NAME?</v>
      </c>
      <c r="G22" s="275">
        <f>COUNT(A4:A23)</f>
        <v>20</v>
      </c>
      <c r="H22" s="263">
        <f>COUNT(B4:B23)</f>
        <v>20</v>
      </c>
      <c r="I22" s="263">
        <f>COUNT(C4:C23)</f>
        <v>20</v>
      </c>
      <c r="J22" s="276">
        <f>COUNT(D4:D23)</f>
        <v>20</v>
      </c>
      <c r="S22" s="354" t="str">
        <v>math</v>
      </c>
      <c r="T22" s="354">
        <f>Q8</f>
        <v>-4.5018372570957865E-2</v>
      </c>
      <c r="U22" s="354" t="e">
        <f ca="1"/>
        <v>#NAME?</v>
      </c>
      <c r="V22" s="354" t="e">
        <f ca="1">T22/U22</f>
        <v>#NAME?</v>
      </c>
      <c r="W22" s="354" t="e">
        <f ca="1">TDIST(ABS(V22),$T$15,2)</f>
        <v>#NAME?</v>
      </c>
      <c r="X22" s="354" t="e">
        <f ca="1">T22-TINV(X$12,$T$15)*U22</f>
        <v>#NAME?</v>
      </c>
      <c r="Y22" s="354" t="e">
        <f ca="1">T22+TINV(X$12,$T$15)*U22</f>
        <v>#NAME?</v>
      </c>
      <c r="AA22" s="354" t="str">
        <v>math</v>
      </c>
      <c r="AB22" s="354" t="e">
        <f ca="1"/>
        <v>#NAME?</v>
      </c>
      <c r="AC22" s="354" t="e">
        <f ca="1"/>
        <v>#NAME?</v>
      </c>
      <c r="AD22" s="354" t="e">
        <f ca="1">AB22/AC22</f>
        <v>#NAME?</v>
      </c>
      <c r="AE22" s="354" t="e">
        <f ca="1">TDIST(ABS(AD22),$AB$15,2)</f>
        <v>#NAME?</v>
      </c>
      <c r="AF22" s="354" t="e">
        <f ca="1">AB22-TINV(AF$12,$AB$15)*AC22</f>
        <v>#NAME?</v>
      </c>
      <c r="AG22" s="354" t="e">
        <f ca="1">AB22+TINV(AF$12,$AB$15)*AC22</f>
        <v>#NAME?</v>
      </c>
    </row>
    <row r="23" spans="1:33" x14ac:dyDescent="0.25">
      <c r="A23" s="425">
        <v>11</v>
      </c>
      <c r="B23" s="428">
        <v>51</v>
      </c>
      <c r="C23" s="428">
        <v>18</v>
      </c>
      <c r="D23" s="426">
        <v>54</v>
      </c>
      <c r="E23" s="123" t="e">
        <f t="shared" ca="1" si="0"/>
        <v>#NAME?</v>
      </c>
    </row>
    <row r="24" spans="1:33" x14ac:dyDescent="0.25">
      <c r="E24" t="e">
        <f ca="1">SUM(E4:E23)</f>
        <v>#NAME?</v>
      </c>
    </row>
    <row r="26" spans="1:33" ht="15" customHeight="1" x14ac:dyDescent="0.25">
      <c r="G26" t="s">
        <v>1114</v>
      </c>
      <c r="N26" t="s">
        <v>1115</v>
      </c>
    </row>
    <row r="28" spans="1:33" x14ac:dyDescent="0.25">
      <c r="G28" s="418" t="e">
        <f t="array" aca="1" ref="G28:J31" ca="1">COVP(A4:D23)</f>
        <v>#NAME?</v>
      </c>
      <c r="H28" s="387" t="e">
        <f ca="1"/>
        <v>#NAME?</v>
      </c>
      <c r="I28" s="387" t="e">
        <f ca="1"/>
        <v>#NAME?</v>
      </c>
      <c r="J28" s="419" t="e">
        <f ca="1"/>
        <v>#NAME?</v>
      </c>
      <c r="N28" s="418" t="e">
        <f t="array" aca="1" ref="N28:Q31" ca="1">CORE(A4:C23)</f>
        <v>#NAME?</v>
      </c>
      <c r="O28" s="387" t="e">
        <f ca="1"/>
        <v>#NAME?</v>
      </c>
      <c r="P28" s="387" t="e">
        <f ca="1"/>
        <v>#NAME?</v>
      </c>
      <c r="Q28" s="419" t="e">
        <f ca="1"/>
        <v>#NAME?</v>
      </c>
    </row>
    <row r="29" spans="1:33" x14ac:dyDescent="0.25">
      <c r="G29" s="214" t="e">
        <f ca="1"/>
        <v>#NAME?</v>
      </c>
      <c r="H29" s="7" t="e">
        <f ca="1"/>
        <v>#NAME?</v>
      </c>
      <c r="I29" s="7" t="e">
        <f ca="1"/>
        <v>#NAME?</v>
      </c>
      <c r="J29" s="215" t="e">
        <f ca="1"/>
        <v>#NAME?</v>
      </c>
      <c r="N29" s="214" t="e">
        <f ca="1"/>
        <v>#NAME?</v>
      </c>
      <c r="O29" s="418" t="e">
        <f ca="1"/>
        <v>#NAME?</v>
      </c>
      <c r="P29" s="387" t="e">
        <f ca="1"/>
        <v>#NAME?</v>
      </c>
      <c r="Q29" s="419" t="e">
        <f ca="1"/>
        <v>#NAME?</v>
      </c>
    </row>
    <row r="30" spans="1:33" x14ac:dyDescent="0.25">
      <c r="G30" s="214" t="e">
        <f ca="1"/>
        <v>#NAME?</v>
      </c>
      <c r="H30" s="7" t="e">
        <f ca="1"/>
        <v>#NAME?</v>
      </c>
      <c r="I30" s="7" t="e">
        <f ca="1"/>
        <v>#NAME?</v>
      </c>
      <c r="J30" s="215" t="e">
        <f ca="1"/>
        <v>#NAME?</v>
      </c>
      <c r="N30" s="214" t="e">
        <f ca="1"/>
        <v>#NAME?</v>
      </c>
      <c r="O30" s="214" t="e">
        <f ca="1"/>
        <v>#NAME?</v>
      </c>
      <c r="P30" s="7" t="e">
        <f ca="1"/>
        <v>#NAME?</v>
      </c>
      <c r="Q30" s="215" t="e">
        <f ca="1"/>
        <v>#NAME?</v>
      </c>
    </row>
    <row r="31" spans="1:33" x14ac:dyDescent="0.25">
      <c r="G31" s="112" t="e">
        <f ca="1"/>
        <v>#NAME?</v>
      </c>
      <c r="H31" s="354" t="e">
        <f ca="1"/>
        <v>#NAME?</v>
      </c>
      <c r="I31" s="354" t="e">
        <f ca="1"/>
        <v>#NAME?</v>
      </c>
      <c r="J31" s="120" t="e">
        <f ca="1"/>
        <v>#NAME?</v>
      </c>
      <c r="N31" s="112" t="e">
        <f ca="1"/>
        <v>#NAME?</v>
      </c>
      <c r="O31" s="112" t="e">
        <f ca="1"/>
        <v>#NAME?</v>
      </c>
      <c r="P31" s="354" t="e">
        <f ca="1"/>
        <v>#NAME?</v>
      </c>
      <c r="Q31" s="120" t="e">
        <f ca="1"/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AI24"/>
  <sheetViews>
    <sheetView workbookViewId="0"/>
  </sheetViews>
  <sheetFormatPr defaultRowHeight="15" x14ac:dyDescent="0.25"/>
  <cols>
    <col min="29" max="29" width="17.140625" customWidth="1"/>
  </cols>
  <sheetData>
    <row r="1" spans="1:35" x14ac:dyDescent="0.25">
      <c r="A1" s="1" t="s">
        <v>1075</v>
      </c>
    </row>
    <row r="3" spans="1:35" x14ac:dyDescent="0.25">
      <c r="A3" s="455" t="s">
        <v>1015</v>
      </c>
      <c r="B3" s="455" t="s">
        <v>997</v>
      </c>
      <c r="C3" s="455" t="s">
        <v>996</v>
      </c>
      <c r="D3" s="455" t="s">
        <v>1016</v>
      </c>
      <c r="F3" t="s">
        <v>1038</v>
      </c>
      <c r="L3" s="455" t="str">
        <f>A3</f>
        <v>read</v>
      </c>
      <c r="M3" s="455" t="str">
        <f>B3</f>
        <v>science</v>
      </c>
      <c r="N3" s="455" t="str">
        <f>C3</f>
        <v>math</v>
      </c>
      <c r="O3" s="455" t="str">
        <f>D3</f>
        <v>medicine</v>
      </c>
      <c r="P3" s="455" t="s">
        <v>1072</v>
      </c>
      <c r="R3" t="s">
        <v>1069</v>
      </c>
      <c r="W3" s="455" t="s">
        <v>1060</v>
      </c>
      <c r="Y3" t="s">
        <v>1073</v>
      </c>
      <c r="AC3" t="s">
        <v>798</v>
      </c>
    </row>
    <row r="4" spans="1:35" x14ac:dyDescent="0.25">
      <c r="A4" s="423">
        <v>12</v>
      </c>
      <c r="B4" s="429">
        <v>27</v>
      </c>
      <c r="C4" s="429">
        <v>19</v>
      </c>
      <c r="D4" s="424">
        <v>44</v>
      </c>
      <c r="L4" s="436">
        <f t="shared" ref="L4:L23" si="0">A4</f>
        <v>12</v>
      </c>
      <c r="M4" s="437">
        <f t="shared" ref="M4:M23" si="1">B4</f>
        <v>27</v>
      </c>
      <c r="N4" s="437">
        <f t="shared" ref="N4:N23" si="2">C4</f>
        <v>19</v>
      </c>
      <c r="O4" s="466">
        <f t="shared" ref="O4:O23" si="3">D4</f>
        <v>44</v>
      </c>
      <c r="P4" s="417" t="e">
        <f t="shared" ref="P4:P23" ca="1" si="4">LLReg(L4:O4,$R$4:$U$7,$R$10:$U$10)</f>
        <v>#NAME?</v>
      </c>
      <c r="R4" s="414">
        <f>W4</f>
        <v>17.089889071593699</v>
      </c>
      <c r="S4" s="358">
        <f>R5</f>
        <v>-1.6098580530537256</v>
      </c>
      <c r="T4" s="358">
        <f>R6</f>
        <v>6.3599764446213713</v>
      </c>
      <c r="U4" s="415">
        <f>R7</f>
        <v>10.349924432711751</v>
      </c>
      <c r="W4" s="417">
        <v>17.089889071593699</v>
      </c>
    </row>
    <row r="5" spans="1:35" ht="15.75" thickBot="1" x14ac:dyDescent="0.3">
      <c r="A5" s="256">
        <v>11</v>
      </c>
      <c r="B5" s="20">
        <v>30</v>
      </c>
      <c r="C5" s="20">
        <v>13</v>
      </c>
      <c r="D5" s="269">
        <v>43</v>
      </c>
      <c r="F5" t="e">
        <f t="array" aca="1" ref="F5:J10" ca="1">DescStats(A3:D23,TRUE,TRUE)</f>
        <v>#NAME?</v>
      </c>
      <c r="G5" s="455" t="e">
        <f ca="1"/>
        <v>#NAME?</v>
      </c>
      <c r="H5" s="455" t="e">
        <f ca="1"/>
        <v>#NAME?</v>
      </c>
      <c r="I5" s="455" t="e">
        <f ca="1"/>
        <v>#NAME?</v>
      </c>
      <c r="J5" s="455" t="e">
        <f ca="1"/>
        <v>#NAME?</v>
      </c>
      <c r="L5" s="182">
        <f t="shared" si="0"/>
        <v>11</v>
      </c>
      <c r="M5" s="456">
        <f t="shared" si="1"/>
        <v>30</v>
      </c>
      <c r="N5" s="456">
        <f t="shared" si="2"/>
        <v>13</v>
      </c>
      <c r="O5" s="186">
        <f t="shared" si="3"/>
        <v>43</v>
      </c>
      <c r="P5" s="185" t="e">
        <f t="shared" ca="1" si="4"/>
        <v>#NAME?</v>
      </c>
      <c r="R5" s="183">
        <f>W5</f>
        <v>-1.6098580530537256</v>
      </c>
      <c r="S5" s="7">
        <f>W8</f>
        <v>124.33709405134971</v>
      </c>
      <c r="T5" s="7">
        <f>S6</f>
        <v>10.509684350937441</v>
      </c>
      <c r="U5" s="43">
        <f>S7</f>
        <v>58.698291193444597</v>
      </c>
      <c r="W5" s="185">
        <v>-1.6098580530537256</v>
      </c>
      <c r="Y5" t="s">
        <v>127</v>
      </c>
      <c r="Z5" s="380">
        <f t="array" ref="Z5">-MMULT(R10:U10,Z6:Z9)</f>
        <v>21.629184964866834</v>
      </c>
      <c r="AC5" s="342" t="s">
        <v>799</v>
      </c>
      <c r="AD5" s="342"/>
    </row>
    <row r="6" spans="1:35" ht="15.75" thickTop="1" x14ac:dyDescent="0.25">
      <c r="A6" s="256">
        <v>16</v>
      </c>
      <c r="B6" s="20">
        <v>56</v>
      </c>
      <c r="C6" s="20">
        <v>23</v>
      </c>
      <c r="D6" s="269">
        <v>60</v>
      </c>
      <c r="F6" t="e">
        <f ca="1"/>
        <v>#NAME?</v>
      </c>
      <c r="G6" s="414" t="e">
        <f ca="1"/>
        <v>#NAME?</v>
      </c>
      <c r="H6" s="358" t="e">
        <f ca="1"/>
        <v>#NAME?</v>
      </c>
      <c r="I6" s="358" t="e">
        <f ca="1"/>
        <v>#NAME?</v>
      </c>
      <c r="J6" s="415" t="e">
        <f ca="1"/>
        <v>#NAME?</v>
      </c>
      <c r="L6" s="182">
        <f t="shared" si="0"/>
        <v>16</v>
      </c>
      <c r="M6" s="456">
        <f t="shared" si="1"/>
        <v>56</v>
      </c>
      <c r="N6" s="456">
        <f t="shared" si="2"/>
        <v>23</v>
      </c>
      <c r="O6" s="186">
        <f t="shared" si="3"/>
        <v>60</v>
      </c>
      <c r="P6" s="185" t="e">
        <f t="shared" ca="1" si="4"/>
        <v>#NAME?</v>
      </c>
      <c r="R6" s="183">
        <f>W6</f>
        <v>6.3599764446213713</v>
      </c>
      <c r="S6" s="7">
        <f>W9</f>
        <v>10.509684350937441</v>
      </c>
      <c r="T6" s="7">
        <f>W11</f>
        <v>8.6899329067307782</v>
      </c>
      <c r="U6" s="43">
        <f>T7</f>
        <v>8.9497550915703616</v>
      </c>
      <c r="W6" s="185">
        <v>6.3599764446213713</v>
      </c>
      <c r="Y6" t="str">
        <f t="array" ref="Y6:Y8">TRANSPOSE(L3:N3)</f>
        <v>read</v>
      </c>
      <c r="Z6" s="322">
        <f t="array" ref="Z6:Z8">MMULT(MINVERSE(R4:T6),U4:U6)</f>
        <v>0.66801415090768601</v>
      </c>
      <c r="AC6" t="s">
        <v>123</v>
      </c>
      <c r="AD6" t="e">
        <f ca="1">SQRT(AD7)</f>
        <v>#NAME?</v>
      </c>
    </row>
    <row r="7" spans="1:35" x14ac:dyDescent="0.25">
      <c r="A7" s="256">
        <v>15</v>
      </c>
      <c r="B7" s="20">
        <v>37</v>
      </c>
      <c r="C7" s="20">
        <v>19</v>
      </c>
      <c r="D7" s="269">
        <v>52</v>
      </c>
      <c r="F7" t="e">
        <f ca="1"/>
        <v>#NAME?</v>
      </c>
      <c r="G7" s="183" t="e">
        <f ca="1"/>
        <v>#NAME?</v>
      </c>
      <c r="H7" s="7" t="e">
        <f ca="1"/>
        <v>#NAME?</v>
      </c>
      <c r="I7" s="7" t="e">
        <f ca="1"/>
        <v>#NAME?</v>
      </c>
      <c r="J7" s="43" t="e">
        <f ca="1"/>
        <v>#NAME?</v>
      </c>
      <c r="L7" s="182">
        <f t="shared" si="0"/>
        <v>15</v>
      </c>
      <c r="M7" s="456">
        <f t="shared" si="1"/>
        <v>37</v>
      </c>
      <c r="N7" s="456">
        <f t="shared" si="2"/>
        <v>19</v>
      </c>
      <c r="O7" s="186">
        <f t="shared" si="3"/>
        <v>52</v>
      </c>
      <c r="P7" s="185" t="e">
        <f t="shared" ca="1" si="4"/>
        <v>#NAME?</v>
      </c>
      <c r="R7" s="351">
        <f>W7</f>
        <v>10.349924432711751</v>
      </c>
      <c r="S7" s="352">
        <f>W10</f>
        <v>58.698291193444597</v>
      </c>
      <c r="T7" s="352">
        <f>W12</f>
        <v>8.9497550915703616</v>
      </c>
      <c r="U7" s="353">
        <f>W13</f>
        <v>55.398851433720949</v>
      </c>
      <c r="W7" s="123">
        <v>10.349924432711751</v>
      </c>
      <c r="Y7" t="str">
        <v>science</v>
      </c>
      <c r="Z7" s="322">
        <v>0.48454428261504684</v>
      </c>
      <c r="AC7" t="s">
        <v>120</v>
      </c>
      <c r="AD7" t="e">
        <f ca="1">SUMPRODUCT(U13:U15,Z6:Z8)/U16</f>
        <v>#NAME?</v>
      </c>
    </row>
    <row r="8" spans="1:35" x14ac:dyDescent="0.25">
      <c r="A8" s="256">
        <v>10</v>
      </c>
      <c r="B8" s="20">
        <v>31</v>
      </c>
      <c r="C8" s="20">
        <v>21</v>
      </c>
      <c r="D8" s="269">
        <v>44</v>
      </c>
      <c r="F8" t="e">
        <f ca="1"/>
        <v>#NAME?</v>
      </c>
      <c r="G8" s="183" t="e">
        <f ca="1"/>
        <v>#NAME?</v>
      </c>
      <c r="H8" s="7" t="e">
        <f ca="1"/>
        <v>#NAME?</v>
      </c>
      <c r="I8" s="7" t="e">
        <f ca="1"/>
        <v>#NAME?</v>
      </c>
      <c r="J8" s="43" t="e">
        <f ca="1"/>
        <v>#NAME?</v>
      </c>
      <c r="L8" s="182">
        <f t="shared" si="0"/>
        <v>10</v>
      </c>
      <c r="M8" s="456">
        <f t="shared" si="1"/>
        <v>31</v>
      </c>
      <c r="N8" s="456">
        <f t="shared" si="2"/>
        <v>21</v>
      </c>
      <c r="O8" s="186">
        <f t="shared" si="3"/>
        <v>44</v>
      </c>
      <c r="P8" s="185" t="e">
        <f t="shared" ca="1" si="4"/>
        <v>#NAME?</v>
      </c>
      <c r="W8" s="417">
        <v>124.33709405134971</v>
      </c>
      <c r="Y8" t="str">
        <v>math</v>
      </c>
      <c r="Z8" s="349">
        <v>-4.5018372570957865E-2</v>
      </c>
      <c r="AC8" t="s">
        <v>124</v>
      </c>
      <c r="AD8" t="e">
        <f ca="1">1-(1-AD7)*(AD10-1)/(AD10-AD14-1)</f>
        <v>#NAME?</v>
      </c>
    </row>
    <row r="9" spans="1:35" x14ac:dyDescent="0.25">
      <c r="A9" s="256">
        <v>18</v>
      </c>
      <c r="B9" s="20">
        <v>40</v>
      </c>
      <c r="C9" s="20">
        <v>22</v>
      </c>
      <c r="D9" s="269">
        <v>43</v>
      </c>
      <c r="F9" t="e">
        <f ca="1"/>
        <v>#NAME?</v>
      </c>
      <c r="G9" s="183" t="e">
        <f ca="1"/>
        <v>#NAME?</v>
      </c>
      <c r="H9" s="7" t="e">
        <f ca="1"/>
        <v>#NAME?</v>
      </c>
      <c r="I9" s="7" t="e">
        <f ca="1"/>
        <v>#NAME?</v>
      </c>
      <c r="J9" s="43" t="e">
        <f ca="1"/>
        <v>#NAME?</v>
      </c>
      <c r="L9" s="182">
        <f t="shared" si="0"/>
        <v>18</v>
      </c>
      <c r="M9" s="456">
        <f t="shared" si="1"/>
        <v>40</v>
      </c>
      <c r="N9" s="456">
        <f t="shared" si="2"/>
        <v>22</v>
      </c>
      <c r="O9" s="186">
        <f t="shared" si="3"/>
        <v>43</v>
      </c>
      <c r="P9" s="185" t="e">
        <f t="shared" ca="1" si="4"/>
        <v>#NAME?</v>
      </c>
      <c r="R9" t="s">
        <v>1070</v>
      </c>
      <c r="W9" s="185">
        <v>10.509684350937441</v>
      </c>
      <c r="Z9">
        <v>-1</v>
      </c>
      <c r="AC9" t="s">
        <v>10</v>
      </c>
      <c r="AD9" t="e">
        <f ca="1">SQRT(AF15)</f>
        <v>#NAME?</v>
      </c>
    </row>
    <row r="10" spans="1:35" x14ac:dyDescent="0.25">
      <c r="A10" s="256">
        <v>15</v>
      </c>
      <c r="B10" s="20">
        <v>50</v>
      </c>
      <c r="C10" s="20">
        <v>28</v>
      </c>
      <c r="D10" s="269">
        <v>56</v>
      </c>
      <c r="F10" t="e">
        <f ca="1"/>
        <v>#NAME?</v>
      </c>
      <c r="G10" s="351" t="e">
        <f ca="1"/>
        <v>#NAME?</v>
      </c>
      <c r="H10" s="352" t="e">
        <f ca="1"/>
        <v>#NAME?</v>
      </c>
      <c r="I10" s="352" t="e">
        <f ca="1"/>
        <v>#NAME?</v>
      </c>
      <c r="J10" s="353" t="e">
        <f ca="1"/>
        <v>#NAME?</v>
      </c>
      <c r="L10" s="182">
        <f t="shared" si="0"/>
        <v>15</v>
      </c>
      <c r="M10" s="456">
        <f t="shared" si="1"/>
        <v>50</v>
      </c>
      <c r="N10" s="456">
        <f t="shared" si="2"/>
        <v>28</v>
      </c>
      <c r="O10" s="186">
        <f t="shared" si="3"/>
        <v>56</v>
      </c>
      <c r="P10" s="185" t="e">
        <f t="shared" ca="1" si="4"/>
        <v>#NAME?</v>
      </c>
      <c r="R10" s="363">
        <f>W14</f>
        <v>15.899921366693819</v>
      </c>
      <c r="S10" s="338">
        <f>W15</f>
        <v>32.399749616392405</v>
      </c>
      <c r="T10" s="338">
        <f>W16</f>
        <v>21.099928532015614</v>
      </c>
      <c r="U10" s="364">
        <f>W17</f>
        <v>46.999786427044917</v>
      </c>
      <c r="W10" s="123">
        <v>58.698291193444597</v>
      </c>
      <c r="AC10" s="354" t="s">
        <v>55</v>
      </c>
      <c r="AD10" s="354">
        <f>COUNTA(L4:L23)</f>
        <v>20</v>
      </c>
    </row>
    <row r="11" spans="1:35" x14ac:dyDescent="0.25">
      <c r="A11" s="256">
        <v>21</v>
      </c>
      <c r="B11" s="20">
        <v>21</v>
      </c>
      <c r="C11" s="20">
        <v>23</v>
      </c>
      <c r="D11" s="269">
        <v>46</v>
      </c>
      <c r="L11" s="182">
        <f t="shared" si="0"/>
        <v>21</v>
      </c>
      <c r="M11" s="456">
        <f t="shared" si="1"/>
        <v>21</v>
      </c>
      <c r="N11" s="456">
        <f t="shared" si="2"/>
        <v>23</v>
      </c>
      <c r="O11" s="186">
        <f t="shared" si="3"/>
        <v>46</v>
      </c>
      <c r="P11" s="185" t="e">
        <f t="shared" ca="1" si="4"/>
        <v>#NAME?</v>
      </c>
      <c r="W11" s="185">
        <v>8.6899329067307782</v>
      </c>
      <c r="Y11" t="s">
        <v>1074</v>
      </c>
    </row>
    <row r="12" spans="1:35" ht="15.75" thickBot="1" x14ac:dyDescent="0.3">
      <c r="A12" s="256">
        <v>20</v>
      </c>
      <c r="B12" s="20">
        <v>39</v>
      </c>
      <c r="C12" s="20">
        <v>25</v>
      </c>
      <c r="D12" s="269">
        <v>51</v>
      </c>
      <c r="F12" t="s">
        <v>1018</v>
      </c>
      <c r="L12" s="182">
        <f t="shared" si="0"/>
        <v>20</v>
      </c>
      <c r="M12" s="456">
        <f t="shared" si="1"/>
        <v>39</v>
      </c>
      <c r="N12" s="456">
        <f t="shared" si="2"/>
        <v>25</v>
      </c>
      <c r="O12" s="186">
        <f t="shared" si="3"/>
        <v>51</v>
      </c>
      <c r="P12" s="185" t="e">
        <f t="shared" ca="1" si="4"/>
        <v>#NAME?</v>
      </c>
      <c r="R12" t="s">
        <v>371</v>
      </c>
      <c r="W12" s="123">
        <v>8.9497550915703616</v>
      </c>
      <c r="Y12" s="414" t="e">
        <f t="array" aca="1" ref="Y12:AA14" ca="1">MINVERSE(R13:T15)/(COUNTA(L4:L23)-1)</f>
        <v>#NAME?</v>
      </c>
      <c r="Z12" s="358" t="e">
        <f ca="1"/>
        <v>#NAME?</v>
      </c>
      <c r="AA12" s="415" t="e">
        <f ca="1"/>
        <v>#NAME?</v>
      </c>
      <c r="AC12" t="s">
        <v>125</v>
      </c>
      <c r="AG12" s="455" t="s">
        <v>18</v>
      </c>
      <c r="AH12" s="455">
        <v>0.05</v>
      </c>
    </row>
    <row r="13" spans="1:35" ht="15.75" thickTop="1" x14ac:dyDescent="0.25">
      <c r="A13" s="256">
        <v>18</v>
      </c>
      <c r="B13" s="20">
        <v>36</v>
      </c>
      <c r="C13" s="20">
        <v>23</v>
      </c>
      <c r="D13" s="269">
        <v>56</v>
      </c>
      <c r="L13" s="182">
        <f t="shared" si="0"/>
        <v>18</v>
      </c>
      <c r="M13" s="456">
        <f t="shared" si="1"/>
        <v>36</v>
      </c>
      <c r="N13" s="456">
        <f t="shared" si="2"/>
        <v>23</v>
      </c>
      <c r="O13" s="186">
        <f t="shared" si="3"/>
        <v>56</v>
      </c>
      <c r="P13" s="185" t="e">
        <f t="shared" ca="1" si="4"/>
        <v>#NAME?</v>
      </c>
      <c r="R13" s="414" t="e">
        <f t="array" aca="1" ref="R13:U16" ca="1">COV(L4:O23,FALSE)</f>
        <v>#NAME?</v>
      </c>
      <c r="S13" s="358" t="e">
        <f ca="1"/>
        <v>#NAME?</v>
      </c>
      <c r="T13" s="358" t="e">
        <f ca="1"/>
        <v>#NAME?</v>
      </c>
      <c r="U13" s="415" t="e">
        <f ca="1"/>
        <v>#NAME?</v>
      </c>
      <c r="W13" s="123">
        <v>55.398851433720949</v>
      </c>
      <c r="Y13" s="183" t="e">
        <f ca="1"/>
        <v>#NAME?</v>
      </c>
      <c r="Z13" s="7" t="e">
        <f ca="1"/>
        <v>#NAME?</v>
      </c>
      <c r="AA13" s="43" t="e">
        <f ca="1"/>
        <v>#NAME?</v>
      </c>
      <c r="AC13" s="386"/>
      <c r="AD13" s="386" t="s">
        <v>41</v>
      </c>
      <c r="AE13" s="386" t="s">
        <v>111</v>
      </c>
      <c r="AF13" s="386" t="s">
        <v>115</v>
      </c>
      <c r="AG13" s="386" t="s">
        <v>98</v>
      </c>
      <c r="AH13" s="386" t="s">
        <v>48</v>
      </c>
      <c r="AI13" s="386" t="s">
        <v>164</v>
      </c>
    </row>
    <row r="14" spans="1:35" x14ac:dyDescent="0.25">
      <c r="A14" s="256">
        <v>13</v>
      </c>
      <c r="B14" s="20">
        <v>27</v>
      </c>
      <c r="C14" s="20">
        <v>21</v>
      </c>
      <c r="D14" s="269">
        <v>39</v>
      </c>
      <c r="F14" t="e">
        <f t="array" aca="1" ref="F14:J18" ca="1">MissingPairwise(A3:D23,TRUE)</f>
        <v>#NAME?</v>
      </c>
      <c r="G14" s="455" t="e">
        <f ca="1"/>
        <v>#NAME?</v>
      </c>
      <c r="H14" s="455" t="e">
        <f ca="1"/>
        <v>#NAME?</v>
      </c>
      <c r="I14" s="455" t="e">
        <f ca="1"/>
        <v>#NAME?</v>
      </c>
      <c r="J14" s="455" t="e">
        <f ca="1"/>
        <v>#NAME?</v>
      </c>
      <c r="L14" s="182">
        <f t="shared" si="0"/>
        <v>13</v>
      </c>
      <c r="M14" s="456">
        <f t="shared" si="1"/>
        <v>27</v>
      </c>
      <c r="N14" s="456">
        <f t="shared" si="2"/>
        <v>21</v>
      </c>
      <c r="O14" s="186">
        <f t="shared" si="3"/>
        <v>39</v>
      </c>
      <c r="P14" s="185" t="e">
        <f t="shared" ca="1" si="4"/>
        <v>#NAME?</v>
      </c>
      <c r="R14" s="183" t="e">
        <f ca="1"/>
        <v>#NAME?</v>
      </c>
      <c r="S14" s="7" t="e">
        <f ca="1"/>
        <v>#NAME?</v>
      </c>
      <c r="T14" s="7" t="e">
        <f ca="1"/>
        <v>#NAME?</v>
      </c>
      <c r="U14" s="43" t="e">
        <f ca="1"/>
        <v>#NAME?</v>
      </c>
      <c r="W14" s="417">
        <v>15.899921366693819</v>
      </c>
      <c r="Y14" s="351" t="e">
        <f ca="1"/>
        <v>#NAME?</v>
      </c>
      <c r="Z14" s="352" t="e">
        <f ca="1"/>
        <v>#NAME?</v>
      </c>
      <c r="AA14" s="353" t="e">
        <f ca="1"/>
        <v>#NAME?</v>
      </c>
      <c r="AC14" t="s">
        <v>113</v>
      </c>
      <c r="AD14">
        <f>COUNT(L4:O4)-1</f>
        <v>3</v>
      </c>
      <c r="AE14" t="e">
        <f ca="1">AD7*AE16</f>
        <v>#NAME?</v>
      </c>
      <c r="AF14" t="e">
        <f ca="1">AE14/AD14</f>
        <v>#NAME?</v>
      </c>
      <c r="AG14" t="e">
        <f ca="1">AF14/AF15</f>
        <v>#NAME?</v>
      </c>
      <c r="AH14" t="e">
        <f ca="1">FDIST(AG14,AD14,AD15)</f>
        <v>#NAME?</v>
      </c>
      <c r="AI14" s="455" t="e">
        <f ca="1">IF(AH14&lt;AH12,"yes","no")</f>
        <v>#NAME?</v>
      </c>
    </row>
    <row r="15" spans="1:35" x14ac:dyDescent="0.25">
      <c r="A15" s="256">
        <v>14</v>
      </c>
      <c r="B15" s="20">
        <v>32</v>
      </c>
      <c r="C15" s="20">
        <v>20</v>
      </c>
      <c r="D15" s="269">
        <v>46</v>
      </c>
      <c r="F15" t="e">
        <f ca="1"/>
        <v>#NAME?</v>
      </c>
      <c r="G15" s="457" t="e">
        <f ca="1"/>
        <v>#NAME?</v>
      </c>
      <c r="H15" s="458" t="e">
        <f ca="1"/>
        <v>#NAME?</v>
      </c>
      <c r="I15" s="458" t="e">
        <f ca="1"/>
        <v>#NAME?</v>
      </c>
      <c r="J15" s="459" t="e">
        <f ca="1"/>
        <v>#NAME?</v>
      </c>
      <c r="L15" s="182">
        <f t="shared" si="0"/>
        <v>14</v>
      </c>
      <c r="M15" s="456">
        <f t="shared" si="1"/>
        <v>32</v>
      </c>
      <c r="N15" s="456">
        <f t="shared" si="2"/>
        <v>20</v>
      </c>
      <c r="O15" s="186">
        <f t="shared" si="3"/>
        <v>46</v>
      </c>
      <c r="P15" s="185" t="e">
        <f t="shared" ca="1" si="4"/>
        <v>#NAME?</v>
      </c>
      <c r="R15" s="183" t="e">
        <f ca="1"/>
        <v>#NAME?</v>
      </c>
      <c r="S15" s="7" t="e">
        <f ca="1"/>
        <v>#NAME?</v>
      </c>
      <c r="T15" s="7" t="e">
        <f ca="1"/>
        <v>#NAME?</v>
      </c>
      <c r="U15" s="43" t="e">
        <f ca="1"/>
        <v>#NAME?</v>
      </c>
      <c r="W15" s="185">
        <v>32.399749616392405</v>
      </c>
      <c r="AC15" t="s">
        <v>126</v>
      </c>
      <c r="AD15">
        <f>AD16-AD14</f>
        <v>16</v>
      </c>
      <c r="AE15" t="e">
        <f ca="1">AE16-AE14</f>
        <v>#NAME?</v>
      </c>
      <c r="AF15" t="e">
        <f ca="1">AE15/AD15</f>
        <v>#NAME?</v>
      </c>
    </row>
    <row r="16" spans="1:35" x14ac:dyDescent="0.25">
      <c r="A16" s="256">
        <v>22</v>
      </c>
      <c r="B16" s="20">
        <v>40</v>
      </c>
      <c r="C16" s="20">
        <v>23</v>
      </c>
      <c r="D16" s="269">
        <v>49</v>
      </c>
      <c r="F16" t="e">
        <f ca="1"/>
        <v>#NAME?</v>
      </c>
      <c r="G16" s="460" t="e">
        <f ca="1"/>
        <v>#NAME?</v>
      </c>
      <c r="H16" s="461" t="e">
        <f ca="1"/>
        <v>#NAME?</v>
      </c>
      <c r="I16" s="461" t="e">
        <f ca="1"/>
        <v>#NAME?</v>
      </c>
      <c r="J16" s="462" t="e">
        <f ca="1"/>
        <v>#NAME?</v>
      </c>
      <c r="L16" s="182">
        <f t="shared" si="0"/>
        <v>22</v>
      </c>
      <c r="M16" s="456">
        <f t="shared" si="1"/>
        <v>40</v>
      </c>
      <c r="N16" s="456">
        <f t="shared" si="2"/>
        <v>23</v>
      </c>
      <c r="O16" s="186">
        <f t="shared" si="3"/>
        <v>49</v>
      </c>
      <c r="P16" s="185" t="e">
        <f t="shared" ca="1" si="4"/>
        <v>#NAME?</v>
      </c>
      <c r="R16" s="351" t="e">
        <f ca="1"/>
        <v>#NAME?</v>
      </c>
      <c r="S16" s="352" t="e">
        <f ca="1"/>
        <v>#NAME?</v>
      </c>
      <c r="T16" s="352" t="e">
        <f ca="1"/>
        <v>#NAME?</v>
      </c>
      <c r="U16" s="353" t="e">
        <f ca="1"/>
        <v>#NAME?</v>
      </c>
      <c r="W16" s="185">
        <v>21.099928532015614</v>
      </c>
      <c r="AC16" s="354" t="s">
        <v>1</v>
      </c>
      <c r="AD16" s="354">
        <f>AD10-1</f>
        <v>19</v>
      </c>
      <c r="AE16" s="354">
        <f>DEVSQ(O4:O23)</f>
        <v>1108</v>
      </c>
      <c r="AF16" s="354"/>
      <c r="AG16" s="354"/>
      <c r="AH16" s="354"/>
      <c r="AI16" s="354"/>
    </row>
    <row r="17" spans="1:35" ht="15.75" thickBot="1" x14ac:dyDescent="0.3">
      <c r="A17" s="256">
        <v>16</v>
      </c>
      <c r="B17" s="20">
        <v>31</v>
      </c>
      <c r="C17" s="20">
        <v>20</v>
      </c>
      <c r="D17" s="269">
        <v>44</v>
      </c>
      <c r="F17" t="e">
        <f ca="1"/>
        <v>#NAME?</v>
      </c>
      <c r="G17" s="460" t="e">
        <f ca="1"/>
        <v>#NAME?</v>
      </c>
      <c r="H17" s="461" t="e">
        <f ca="1"/>
        <v>#NAME?</v>
      </c>
      <c r="I17" s="461" t="e">
        <f ca="1"/>
        <v>#NAME?</v>
      </c>
      <c r="J17" s="462" t="e">
        <f ca="1"/>
        <v>#NAME?</v>
      </c>
      <c r="L17" s="182">
        <f t="shared" si="0"/>
        <v>16</v>
      </c>
      <c r="M17" s="456">
        <f t="shared" si="1"/>
        <v>31</v>
      </c>
      <c r="N17" s="456">
        <f t="shared" si="2"/>
        <v>20</v>
      </c>
      <c r="O17" s="186">
        <f t="shared" si="3"/>
        <v>44</v>
      </c>
      <c r="P17" s="185" t="e">
        <f t="shared" ca="1" si="4"/>
        <v>#NAME?</v>
      </c>
      <c r="W17" s="123">
        <v>46.999786427044917</v>
      </c>
    </row>
    <row r="18" spans="1:35" ht="15.75" thickTop="1" x14ac:dyDescent="0.25">
      <c r="A18" s="256">
        <v>13</v>
      </c>
      <c r="B18" s="20">
        <v>18</v>
      </c>
      <c r="C18" s="20">
        <v>21</v>
      </c>
      <c r="D18" s="269">
        <v>37</v>
      </c>
      <c r="F18" t="e">
        <f ca="1"/>
        <v>#NAME?</v>
      </c>
      <c r="G18" s="463" t="e">
        <f ca="1"/>
        <v>#NAME?</v>
      </c>
      <c r="H18" s="464" t="e">
        <f ca="1"/>
        <v>#NAME?</v>
      </c>
      <c r="I18" s="464" t="e">
        <f ca="1"/>
        <v>#NAME?</v>
      </c>
      <c r="J18" s="465" t="e">
        <f ca="1"/>
        <v>#NAME?</v>
      </c>
      <c r="L18" s="182">
        <f t="shared" si="0"/>
        <v>13</v>
      </c>
      <c r="M18" s="456">
        <f t="shared" si="1"/>
        <v>18</v>
      </c>
      <c r="N18" s="456">
        <f t="shared" si="2"/>
        <v>21</v>
      </c>
      <c r="O18" s="186">
        <f t="shared" si="3"/>
        <v>37</v>
      </c>
      <c r="P18" s="185" t="e">
        <f t="shared" ca="1" si="4"/>
        <v>#NAME?</v>
      </c>
      <c r="R18" t="s">
        <v>1071</v>
      </c>
      <c r="AC18" s="386"/>
      <c r="AD18" s="386" t="s">
        <v>797</v>
      </c>
      <c r="AE18" s="386" t="s">
        <v>390</v>
      </c>
      <c r="AF18" s="386" t="s">
        <v>42</v>
      </c>
      <c r="AG18" s="386" t="s">
        <v>48</v>
      </c>
      <c r="AH18" s="386" t="s">
        <v>15</v>
      </c>
      <c r="AI18" s="386" t="s">
        <v>16</v>
      </c>
    </row>
    <row r="19" spans="1:35" x14ac:dyDescent="0.25">
      <c r="A19" s="256">
        <v>16</v>
      </c>
      <c r="B19" s="20">
        <v>23</v>
      </c>
      <c r="C19" s="20">
        <v>21</v>
      </c>
      <c r="D19" s="269">
        <v>34</v>
      </c>
      <c r="L19" s="182">
        <f t="shared" si="0"/>
        <v>16</v>
      </c>
      <c r="M19" s="456">
        <f t="shared" si="1"/>
        <v>23</v>
      </c>
      <c r="N19" s="456">
        <f t="shared" si="2"/>
        <v>21</v>
      </c>
      <c r="O19" s="186">
        <f t="shared" si="3"/>
        <v>34</v>
      </c>
      <c r="P19" s="185" t="e">
        <f t="shared" ca="1" si="4"/>
        <v>#NAME?</v>
      </c>
      <c r="R19" s="363">
        <f>AVERAGE(L4:L23)</f>
        <v>15.9</v>
      </c>
      <c r="S19" s="338">
        <f>AVERAGE(M4:M23)</f>
        <v>32.4</v>
      </c>
      <c r="T19" s="338">
        <f>AVERAGE(N4:N23)</f>
        <v>21.1</v>
      </c>
      <c r="U19" s="364">
        <f>AVERAGE(O4:O23)</f>
        <v>47</v>
      </c>
      <c r="AC19" t="str">
        <f t="array" ref="AC19:AC22">Y5:Y8</f>
        <v>Intercept</v>
      </c>
      <c r="AD19">
        <f>Z5</f>
        <v>21.629184964866834</v>
      </c>
    </row>
    <row r="20" spans="1:35" x14ac:dyDescent="0.25">
      <c r="A20" s="256">
        <v>27</v>
      </c>
      <c r="B20" s="20">
        <v>26</v>
      </c>
      <c r="C20" s="20">
        <v>23</v>
      </c>
      <c r="D20" s="269">
        <v>59</v>
      </c>
      <c r="L20" s="182">
        <f t="shared" si="0"/>
        <v>27</v>
      </c>
      <c r="M20" s="456">
        <f t="shared" si="1"/>
        <v>26</v>
      </c>
      <c r="N20" s="456">
        <f t="shared" si="2"/>
        <v>23</v>
      </c>
      <c r="O20" s="186">
        <f t="shared" si="3"/>
        <v>59</v>
      </c>
      <c r="P20" s="185" t="e">
        <f t="shared" ca="1" si="4"/>
        <v>#NAME?</v>
      </c>
      <c r="AC20" t="str">
        <v>read</v>
      </c>
      <c r="AD20">
        <f t="array" ref="AD20:AD22">Z6:Z8</f>
        <v>0.66801415090768601</v>
      </c>
      <c r="AE20" t="e">
        <f t="array" aca="1" ref="AE20:AE22" ca="1">SQRT(DIAG(Y12:AA14))*AD9</f>
        <v>#NAME?</v>
      </c>
      <c r="AF20" t="e">
        <f ca="1">AD20/AE20</f>
        <v>#NAME?</v>
      </c>
      <c r="AG20" t="e">
        <f ca="1">TDIST(ABS(AF20),$AD$15,2)</f>
        <v>#NAME?</v>
      </c>
      <c r="AH20" t="e">
        <f ca="1">AD20-TINV(AH$12,$AD$15)*AE20</f>
        <v>#NAME?</v>
      </c>
      <c r="AI20" t="e">
        <f ca="1">AD20+TINV(AH$12,$AD$15)*AE20</f>
        <v>#NAME?</v>
      </c>
    </row>
    <row r="21" spans="1:35" x14ac:dyDescent="0.25">
      <c r="A21" s="256">
        <v>17</v>
      </c>
      <c r="B21" s="20">
        <v>12</v>
      </c>
      <c r="C21" s="20">
        <v>19</v>
      </c>
      <c r="D21" s="269">
        <v>35</v>
      </c>
      <c r="L21" s="182">
        <f t="shared" si="0"/>
        <v>17</v>
      </c>
      <c r="M21" s="456">
        <f t="shared" si="1"/>
        <v>12</v>
      </c>
      <c r="N21" s="456">
        <f t="shared" si="2"/>
        <v>19</v>
      </c>
      <c r="O21" s="186">
        <f t="shared" si="3"/>
        <v>35</v>
      </c>
      <c r="P21" s="185" t="e">
        <f t="shared" ca="1" si="4"/>
        <v>#NAME?</v>
      </c>
      <c r="AC21" t="str">
        <v>science</v>
      </c>
      <c r="AD21">
        <v>0.48454428261504684</v>
      </c>
      <c r="AE21" t="e">
        <f ca="1"/>
        <v>#NAME?</v>
      </c>
      <c r="AF21" t="e">
        <f ca="1">AD21/AE21</f>
        <v>#NAME?</v>
      </c>
      <c r="AG21" t="e">
        <f ca="1">TDIST(ABS(AF21),$AD$15,2)</f>
        <v>#NAME?</v>
      </c>
      <c r="AH21" t="e">
        <f ca="1">AD21-TINV(AH$12,$AD$15)*AE21</f>
        <v>#NAME?</v>
      </c>
      <c r="AI21" t="e">
        <f ca="1">AD21+TINV(AH$12,$AD$15)*AE21</f>
        <v>#NAME?</v>
      </c>
    </row>
    <row r="22" spans="1:35" x14ac:dyDescent="0.25">
      <c r="A22" s="256">
        <v>13</v>
      </c>
      <c r="B22" s="20">
        <v>21</v>
      </c>
      <c r="C22" s="20">
        <v>20</v>
      </c>
      <c r="D22" s="269">
        <v>48</v>
      </c>
      <c r="L22" s="182">
        <f t="shared" si="0"/>
        <v>13</v>
      </c>
      <c r="M22" s="456">
        <f t="shared" si="1"/>
        <v>21</v>
      </c>
      <c r="N22" s="456">
        <f t="shared" si="2"/>
        <v>20</v>
      </c>
      <c r="O22" s="186">
        <f t="shared" si="3"/>
        <v>48</v>
      </c>
      <c r="P22" s="185" t="e">
        <f t="shared" ca="1" si="4"/>
        <v>#NAME?</v>
      </c>
      <c r="AC22" s="354" t="str">
        <v>math</v>
      </c>
      <c r="AD22" s="354">
        <v>-4.5018372570957865E-2</v>
      </c>
      <c r="AE22" s="354" t="e">
        <f ca="1"/>
        <v>#NAME?</v>
      </c>
      <c r="AF22" s="354" t="e">
        <f ca="1">AD22/AE22</f>
        <v>#NAME?</v>
      </c>
      <c r="AG22" s="354" t="e">
        <f ca="1">TDIST(ABS(AF22),$AD$15,2)</f>
        <v>#NAME?</v>
      </c>
      <c r="AH22" s="354" t="e">
        <f ca="1">AD22-TINV(AH$12,$AD$15)*AE22</f>
        <v>#NAME?</v>
      </c>
      <c r="AI22" s="354" t="e">
        <f ca="1">AD22+TINV(AH$12,$AD$15)*AE22</f>
        <v>#NAME?</v>
      </c>
    </row>
    <row r="23" spans="1:35" x14ac:dyDescent="0.25">
      <c r="A23" s="425">
        <v>11</v>
      </c>
      <c r="B23" s="428">
        <v>51</v>
      </c>
      <c r="C23" s="428">
        <v>18</v>
      </c>
      <c r="D23" s="426">
        <v>54</v>
      </c>
      <c r="L23" s="377">
        <f t="shared" si="0"/>
        <v>11</v>
      </c>
      <c r="M23" s="440">
        <f t="shared" si="1"/>
        <v>51</v>
      </c>
      <c r="N23" s="440">
        <f t="shared" si="2"/>
        <v>18</v>
      </c>
      <c r="O23" s="378">
        <f t="shared" si="3"/>
        <v>54</v>
      </c>
      <c r="P23" s="123" t="e">
        <f t="shared" ca="1" si="4"/>
        <v>#NAME?</v>
      </c>
    </row>
    <row r="24" spans="1:35" x14ac:dyDescent="0.25">
      <c r="P24" t="e">
        <f ca="1">SUM(P4:P23)</f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TOC0</vt:lpstr>
      <vt:lpstr>TOC</vt:lpstr>
      <vt:lpstr>Logit 1</vt:lpstr>
      <vt:lpstr>Logit 2</vt:lpstr>
      <vt:lpstr>Logit 3</vt:lpstr>
      <vt:lpstr>Logit 3a</vt:lpstr>
      <vt:lpstr>Logit 4</vt:lpstr>
      <vt:lpstr>Logit 4a</vt:lpstr>
      <vt:lpstr>Logit 5</vt:lpstr>
      <vt:lpstr>Logit 5a</vt:lpstr>
      <vt:lpstr>Logit 6</vt:lpstr>
      <vt:lpstr>Logit 6a</vt:lpstr>
      <vt:lpstr>Logit 7a</vt:lpstr>
      <vt:lpstr>Hosmer</vt:lpstr>
      <vt:lpstr>Probit 1</vt:lpstr>
      <vt:lpstr>Probit 2</vt:lpstr>
      <vt:lpstr>MLogit 1</vt:lpstr>
      <vt:lpstr>MLogit 2</vt:lpstr>
      <vt:lpstr>MLogit 3</vt:lpstr>
      <vt:lpstr>MLogit 3a</vt:lpstr>
      <vt:lpstr>MLogit 4</vt:lpstr>
      <vt:lpstr>MLogit 4a</vt:lpstr>
      <vt:lpstr>MLogit 4b</vt:lpstr>
      <vt:lpstr>MLogit 5</vt:lpstr>
      <vt:lpstr>MLogit 5a</vt:lpstr>
      <vt:lpstr>MLogit 6</vt:lpstr>
      <vt:lpstr>OLogit 1</vt:lpstr>
      <vt:lpstr>OLogit 2</vt:lpstr>
      <vt:lpstr>OLogit 3</vt:lpstr>
      <vt:lpstr>PReg 1</vt:lpstr>
      <vt:lpstr>PReg 2</vt:lpstr>
      <vt:lpstr>PReg 3</vt:lpstr>
      <vt:lpstr>Log Lin 1.1</vt:lpstr>
      <vt:lpstr>Log Lin 1.2</vt:lpstr>
      <vt:lpstr>Log Lin 1.3</vt:lpstr>
      <vt:lpstr>Log Lin 1.4</vt:lpstr>
      <vt:lpstr>Log Lin 2.1</vt:lpstr>
      <vt:lpstr>Log Lin 2.2</vt:lpstr>
      <vt:lpstr>Log Lin 2.3</vt:lpstr>
      <vt:lpstr>Log Lin 2.4</vt:lpstr>
      <vt:lpstr>Log Lin 2.5</vt:lpstr>
      <vt:lpstr>Kaplan</vt:lpstr>
      <vt:lpstr>Kaplan 1</vt:lpstr>
      <vt:lpstr>Kaplan 2</vt:lpstr>
      <vt:lpstr>Kaplan 3</vt:lpstr>
      <vt:lpstr>Kaplan 4</vt:lpstr>
      <vt:lpstr>Log-Rank</vt:lpstr>
      <vt:lpstr>Log-Rank 1</vt:lpstr>
      <vt:lpstr>Cox Reg 1</vt:lpstr>
      <vt:lpstr>Cox Reg 2</vt:lpstr>
      <vt:lpstr>Cox Reg 3</vt:lpstr>
      <vt:lpstr>Cox Reg 4</vt:lpstr>
      <vt:lpstr>Cox Reg 5</vt:lpstr>
      <vt:lpstr>Cox Reg 6</vt:lpstr>
      <vt:lpstr>Cox Reg 7</vt:lpstr>
      <vt:lpstr>Cox Reg 8</vt:lpstr>
      <vt:lpstr>Rand Anova</vt:lpstr>
      <vt:lpstr>Mixed</vt:lpstr>
      <vt:lpstr>Mixed 2</vt:lpstr>
      <vt:lpstr>Nested</vt:lpstr>
      <vt:lpstr>Nested 1 </vt:lpstr>
      <vt:lpstr>Nested 1a</vt:lpstr>
      <vt:lpstr>Nested 2</vt:lpstr>
      <vt:lpstr>RCBD</vt:lpstr>
      <vt:lpstr>RCBD 1</vt:lpstr>
      <vt:lpstr>Split 1</vt:lpstr>
      <vt:lpstr>Split 2</vt:lpstr>
      <vt:lpstr>Split 3</vt:lpstr>
      <vt:lpstr>Split 4</vt:lpstr>
      <vt:lpstr>Split 5</vt:lpstr>
      <vt:lpstr>Latin</vt:lpstr>
      <vt:lpstr>Latin 1</vt:lpstr>
      <vt:lpstr>Latin 2</vt:lpstr>
      <vt:lpstr>Latin 3</vt:lpstr>
      <vt:lpstr>Latin 4</vt:lpstr>
      <vt:lpstr>Latin 5</vt:lpstr>
      <vt:lpstr>ANOVA Match 1.1</vt:lpstr>
      <vt:lpstr>ANOVA Match 1.2</vt:lpstr>
      <vt:lpstr>ANOVA Match 1.3</vt:lpstr>
      <vt:lpstr>ANOVA Match 1.3a</vt:lpstr>
      <vt:lpstr>ANOVA Match 1.4</vt:lpstr>
      <vt:lpstr>ANOVA Match 1.5</vt:lpstr>
      <vt:lpstr>ANOVAMatch 1.6</vt:lpstr>
      <vt:lpstr>ANOVA Match 2.1</vt:lpstr>
      <vt:lpstr>ANOVA Match 2.2</vt:lpstr>
      <vt:lpstr>ANOVA Match 2.3</vt:lpstr>
      <vt:lpstr>ANOVA Match 2.3A</vt:lpstr>
      <vt:lpstr>ANOVA Match 2.3B</vt:lpstr>
      <vt:lpstr>ANOVA Match 2.4</vt:lpstr>
      <vt:lpstr>ANOVA Match 2.5</vt:lpstr>
      <vt:lpstr>ANOVA Match 2.5A</vt:lpstr>
      <vt:lpstr>ANOVA Match 2.5B</vt:lpstr>
      <vt:lpstr>Friedman</vt:lpstr>
      <vt:lpstr>Cochran 1</vt:lpstr>
      <vt:lpstr>Cochran 2</vt:lpstr>
      <vt:lpstr>ANCOVA 1</vt:lpstr>
      <vt:lpstr>ANCOVA 2</vt:lpstr>
      <vt:lpstr>ANCOVA 3</vt:lpstr>
      <vt:lpstr>ANCOVA 4</vt:lpstr>
      <vt:lpstr>ANCOVA Contrasts</vt:lpstr>
      <vt:lpstr>ANCOVA Tukey</vt:lpstr>
      <vt:lpstr>ANCOVA Std</vt:lpstr>
      <vt:lpstr>ANCOVA Std 1</vt:lpstr>
      <vt:lpstr>ICC1</vt:lpstr>
      <vt:lpstr>ICC1a</vt:lpstr>
      <vt:lpstr>ICC2</vt:lpstr>
      <vt:lpstr>ICC3</vt:lpstr>
      <vt:lpstr>IPFP 2.1</vt:lpstr>
      <vt:lpstr>IPFP 2.1a</vt:lpstr>
      <vt:lpstr>IPFP 2.2 </vt:lpstr>
      <vt:lpstr>IPFP 3.1</vt:lpstr>
      <vt:lpstr>IPFP 3.2</vt:lpstr>
      <vt:lpstr>IPFP 3.2a</vt:lpstr>
      <vt:lpstr>Stud. Q Table</vt:lpstr>
      <vt:lpstr>Stud. Q Table 2</vt:lpstr>
      <vt:lpstr> Dunnett Table</vt:lpstr>
      <vt:lpstr>DW Table 1</vt:lpstr>
      <vt:lpstr>DW Table 2</vt:lpstr>
      <vt:lpstr>Miss 1</vt:lpstr>
      <vt:lpstr>Miss 2</vt:lpstr>
      <vt:lpstr>Miss 3</vt:lpstr>
      <vt:lpstr>Miss 4</vt:lpstr>
      <vt:lpstr>MI 1</vt:lpstr>
      <vt:lpstr>MI 2</vt:lpstr>
      <vt:lpstr>MI 3a</vt:lpstr>
      <vt:lpstr>MI 3</vt:lpstr>
      <vt:lpstr>MI 4</vt:lpstr>
      <vt:lpstr>MI 5</vt:lpstr>
      <vt:lpstr>MI 6</vt:lpstr>
      <vt:lpstr>MI 7</vt:lpstr>
      <vt:lpstr>MI 8</vt:lpstr>
      <vt:lpstr>MI 8a</vt:lpstr>
      <vt:lpstr>MI 9</vt:lpstr>
      <vt:lpstr>MI 9a</vt:lpstr>
      <vt:lpstr>FIML 1</vt:lpstr>
      <vt:lpstr>FIML 2</vt:lpstr>
      <vt:lpstr>FIML 2a</vt:lpstr>
      <vt:lpstr>FIML 2b</vt:lpstr>
      <vt:lpstr>FIML 2c</vt:lpstr>
      <vt:lpstr>FIML 3</vt:lpstr>
      <vt:lpstr>FIML 3a</vt:lpstr>
      <vt:lpstr>FIML 3b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 Zaiontz</cp:lastModifiedBy>
  <cp:lastPrinted>2015-05-22T15:20:10Z</cp:lastPrinted>
  <dcterms:created xsi:type="dcterms:W3CDTF">2011-12-03T11:22:59Z</dcterms:created>
  <dcterms:modified xsi:type="dcterms:W3CDTF">2018-01-13T18:36:48Z</dcterms:modified>
</cp:coreProperties>
</file>