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teunwegdam/Documents/RUG/Year 3 (MSc Supply Chain Management:SCM)/Semester 2A/Supply Chain Dynamics/"/>
    </mc:Choice>
  </mc:AlternateContent>
  <xr:revisionPtr revIDLastSave="0" documentId="8_{3B90F6E4-6FCC-EC42-A3D7-DB6C032EB1E5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Solar + Grid" sheetId="1" r:id="rId1"/>
    <sheet name="Electrolyzer" sheetId="2" r:id="rId2"/>
    <sheet name="Compressor" sheetId="3" r:id="rId3"/>
    <sheet name="Storage Tartu" sheetId="4" r:id="rId4"/>
    <sheet name="Tartu Bus" sheetId="5" r:id="rId5"/>
    <sheet name="Latvia Waste truck" sheetId="6" r:id="rId6"/>
    <sheet name="Final shee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C25" i="1"/>
  <c r="B25" i="1"/>
  <c r="B22" i="6"/>
  <c r="B15" i="6"/>
  <c r="B9" i="6"/>
  <c r="B10" i="6" s="1"/>
  <c r="D4" i="6"/>
  <c r="D6" i="6" s="1"/>
  <c r="D7" i="6" s="1"/>
  <c r="C4" i="6"/>
  <c r="C6" i="6" s="1"/>
  <c r="C7" i="6" s="1"/>
  <c r="B4" i="6"/>
  <c r="B6" i="6" s="1"/>
  <c r="B7" i="6" s="1"/>
  <c r="C25" i="5"/>
  <c r="B25" i="5" s="1"/>
  <c r="A25" i="5" s="1"/>
  <c r="B18" i="5" s="1"/>
  <c r="B17" i="5"/>
  <c r="B19" i="5" s="1"/>
  <c r="B15" i="5"/>
  <c r="B13" i="5"/>
  <c r="D11" i="5"/>
  <c r="C11" i="5"/>
  <c r="D10" i="5"/>
  <c r="C10" i="5"/>
  <c r="B10" i="5"/>
  <c r="B9" i="5"/>
  <c r="B11" i="5" s="1"/>
  <c r="D7" i="5"/>
  <c r="C7" i="5"/>
  <c r="B7" i="5"/>
  <c r="D3" i="5"/>
  <c r="C3" i="5"/>
  <c r="B3" i="5"/>
  <c r="J2" i="5"/>
  <c r="D11" i="4"/>
  <c r="B13" i="6" s="1"/>
  <c r="D10" i="4"/>
  <c r="D6" i="4"/>
  <c r="D7" i="4" s="1"/>
  <c r="C6" i="4"/>
  <c r="C7" i="4" s="1"/>
  <c r="D4" i="4"/>
  <c r="C4" i="4"/>
  <c r="D2" i="4"/>
  <c r="C2" i="4"/>
  <c r="B2" i="4"/>
  <c r="B4" i="4" s="1"/>
  <c r="B6" i="4" s="1"/>
  <c r="B7" i="4" s="1"/>
  <c r="E11" i="3"/>
  <c r="E4" i="3"/>
  <c r="D4" i="3"/>
  <c r="D11" i="3" s="1"/>
  <c r="D12" i="3" s="1"/>
  <c r="C4" i="3"/>
  <c r="C11" i="3" s="1"/>
  <c r="C12" i="3" s="1"/>
  <c r="E68" i="2"/>
  <c r="D68" i="2"/>
  <c r="C68" i="2"/>
  <c r="K55" i="2"/>
  <c r="J55" i="2"/>
  <c r="I55" i="2"/>
  <c r="E55" i="2"/>
  <c r="D55" i="2"/>
  <c r="C55" i="2"/>
  <c r="E54" i="2"/>
  <c r="D54" i="2"/>
  <c r="C54" i="2"/>
  <c r="K16" i="2"/>
  <c r="J16" i="2"/>
  <c r="I16" i="2"/>
  <c r="E16" i="2"/>
  <c r="D16" i="2"/>
  <c r="C16" i="2"/>
  <c r="H12" i="2"/>
  <c r="B12" i="2"/>
  <c r="C71" i="2" s="1"/>
  <c r="H11" i="2"/>
  <c r="B11" i="2"/>
  <c r="E3" i="2"/>
  <c r="D3" i="2"/>
  <c r="C3" i="2"/>
  <c r="D15" i="1"/>
  <c r="C15" i="1"/>
  <c r="B15" i="1"/>
  <c r="I13" i="1"/>
  <c r="I12" i="1"/>
  <c r="H12" i="1"/>
  <c r="H13" i="1" s="1"/>
  <c r="G12" i="1"/>
  <c r="G13" i="1" s="1"/>
  <c r="I11" i="1"/>
  <c r="E12" i="3" s="1"/>
  <c r="D11" i="1"/>
  <c r="C11" i="1"/>
  <c r="B11" i="1"/>
  <c r="C6" i="1"/>
  <c r="D6" i="1" s="1"/>
  <c r="C5" i="1"/>
  <c r="E5" i="1" s="1"/>
  <c r="C4" i="1"/>
  <c r="E4" i="1" s="1"/>
  <c r="C3" i="1"/>
  <c r="E3" i="1" s="1"/>
  <c r="M2" i="1"/>
  <c r="C20" i="6" l="1"/>
  <c r="B21" i="5"/>
  <c r="K7" i="2"/>
  <c r="J7" i="2"/>
  <c r="I7" i="2"/>
  <c r="E7" i="2"/>
  <c r="D7" i="2"/>
  <c r="C7" i="2"/>
  <c r="B16" i="6"/>
  <c r="B17" i="6" s="1"/>
  <c r="C21" i="6" s="1"/>
  <c r="K8" i="2"/>
  <c r="K19" i="2" s="1"/>
  <c r="K20" i="2" s="1"/>
  <c r="J8" i="2"/>
  <c r="J19" i="2" s="1"/>
  <c r="J20" i="2" s="1"/>
  <c r="J25" i="2" s="1"/>
  <c r="J26" i="2" s="1"/>
  <c r="J27" i="2" s="1"/>
  <c r="J28" i="2" s="1"/>
  <c r="I8" i="2"/>
  <c r="I19" i="2" s="1"/>
  <c r="I20" i="2" s="1"/>
  <c r="I25" i="2" s="1"/>
  <c r="I26" i="2" s="1"/>
  <c r="I27" i="2" s="1"/>
  <c r="I28" i="2" s="1"/>
  <c r="E8" i="2"/>
  <c r="E19" i="2" s="1"/>
  <c r="E20" i="2" s="1"/>
  <c r="D8" i="2"/>
  <c r="D19" i="2" s="1"/>
  <c r="D20" i="2" s="1"/>
  <c r="C8" i="2"/>
  <c r="C19" i="2" s="1"/>
  <c r="C20" i="2" s="1"/>
  <c r="D9" i="2"/>
  <c r="D21" i="2" s="1"/>
  <c r="D22" i="2" s="1"/>
  <c r="C9" i="2"/>
  <c r="C21" i="2" s="1"/>
  <c r="C22" i="2" s="1"/>
  <c r="K9" i="2"/>
  <c r="K21" i="2" s="1"/>
  <c r="K22" i="2" s="1"/>
  <c r="J9" i="2"/>
  <c r="J21" i="2" s="1"/>
  <c r="J22" i="2" s="1"/>
  <c r="I9" i="2"/>
  <c r="I21" i="2" s="1"/>
  <c r="I22" i="2" s="1"/>
  <c r="E9" i="2"/>
  <c r="E21" i="2" s="1"/>
  <c r="E22" i="2" s="1"/>
  <c r="C26" i="1"/>
  <c r="B26" i="1"/>
  <c r="D26" i="1"/>
  <c r="D71" i="2"/>
  <c r="E71" i="2"/>
  <c r="H66" i="2"/>
  <c r="I71" i="2"/>
  <c r="D3" i="1"/>
  <c r="D4" i="1"/>
  <c r="E6" i="1"/>
  <c r="K36" i="2" s="1"/>
  <c r="K38" i="2" s="1"/>
  <c r="I54" i="2"/>
  <c r="J71" i="2"/>
  <c r="J54" i="2"/>
  <c r="K71" i="2"/>
  <c r="D5" i="1"/>
  <c r="K54" i="2"/>
  <c r="B66" i="2"/>
  <c r="K52" i="2" l="1"/>
  <c r="K47" i="2"/>
  <c r="K49" i="2"/>
  <c r="K50" i="2"/>
  <c r="K51" i="2"/>
  <c r="K46" i="2"/>
  <c r="C13" i="2"/>
  <c r="C14" i="2" s="1"/>
  <c r="C17" i="2"/>
  <c r="C18" i="2" s="1"/>
  <c r="J17" i="2"/>
  <c r="J18" i="2" s="1"/>
  <c r="E36" i="2"/>
  <c r="E38" i="2" s="1"/>
  <c r="K17" i="2"/>
  <c r="K18" i="2" s="1"/>
  <c r="K13" i="2"/>
  <c r="K14" i="2" s="1"/>
  <c r="E25" i="7" s="1"/>
  <c r="D17" i="2"/>
  <c r="D18" i="2" s="1"/>
  <c r="E17" i="2"/>
  <c r="E18" i="2" s="1"/>
  <c r="K25" i="2"/>
  <c r="K26" i="2" s="1"/>
  <c r="K27" i="2" s="1"/>
  <c r="K28" i="2" s="1"/>
  <c r="I10" i="2"/>
  <c r="I23" i="2" s="1"/>
  <c r="I24" i="2" s="1"/>
  <c r="E10" i="2"/>
  <c r="E23" i="2" s="1"/>
  <c r="E24" i="2" s="1"/>
  <c r="D10" i="2"/>
  <c r="D23" i="2" s="1"/>
  <c r="D24" i="2" s="1"/>
  <c r="C10" i="2"/>
  <c r="C23" i="2" s="1"/>
  <c r="C24" i="2" s="1"/>
  <c r="K10" i="2"/>
  <c r="K23" i="2" s="1"/>
  <c r="K24" i="2" s="1"/>
  <c r="J10" i="2"/>
  <c r="J23" i="2" s="1"/>
  <c r="J24" i="2" s="1"/>
  <c r="C25" i="2"/>
  <c r="C26" i="2" s="1"/>
  <c r="C27" i="2" s="1"/>
  <c r="C28" i="2" s="1"/>
  <c r="C36" i="2"/>
  <c r="C38" i="2" s="1"/>
  <c r="B12" i="1"/>
  <c r="D12" i="1"/>
  <c r="D16" i="1"/>
  <c r="C16" i="1"/>
  <c r="C12" i="1"/>
  <c r="B16" i="1"/>
  <c r="D23" i="1"/>
  <c r="D24" i="1" s="1"/>
  <c r="D27" i="1" s="1"/>
  <c r="C23" i="1"/>
  <c r="C24" i="1" s="1"/>
  <c r="C27" i="1" s="1"/>
  <c r="B23" i="1"/>
  <c r="B24" i="1" s="1"/>
  <c r="B27" i="1" s="1"/>
  <c r="D36" i="2"/>
  <c r="D38" i="2" s="1"/>
  <c r="J36" i="2"/>
  <c r="J38" i="2" s="1"/>
  <c r="D25" i="2"/>
  <c r="D26" i="2" s="1"/>
  <c r="D27" i="2" s="1"/>
  <c r="D28" i="2" s="1"/>
  <c r="I17" i="2"/>
  <c r="I18" i="2" s="1"/>
  <c r="I31" i="2" s="1"/>
  <c r="I33" i="2" s="1"/>
  <c r="I34" i="2" s="1"/>
  <c r="I13" i="2"/>
  <c r="I14" i="2" s="1"/>
  <c r="C25" i="7" s="1"/>
  <c r="E25" i="2"/>
  <c r="E26" i="2" s="1"/>
  <c r="E27" i="2" s="1"/>
  <c r="E28" i="2" s="1"/>
  <c r="I36" i="2"/>
  <c r="I38" i="2" s="1"/>
  <c r="C22" i="6"/>
  <c r="B23" i="6" s="1"/>
  <c r="D31" i="2" l="1"/>
  <c r="D33" i="2" s="1"/>
  <c r="D34" i="2" s="1"/>
  <c r="C7" i="3"/>
  <c r="C8" i="3" s="1"/>
  <c r="C9" i="3" s="1"/>
  <c r="C24" i="7"/>
  <c r="D13" i="2"/>
  <c r="D14" i="2" s="1"/>
  <c r="K57" i="2"/>
  <c r="K59" i="2" s="1"/>
  <c r="I51" i="2"/>
  <c r="I46" i="2"/>
  <c r="I52" i="2"/>
  <c r="I47" i="2"/>
  <c r="I49" i="2"/>
  <c r="I50" i="2"/>
  <c r="I40" i="2"/>
  <c r="K31" i="2"/>
  <c r="K33" i="2" s="1"/>
  <c r="K34" i="2" s="1"/>
  <c r="K40" i="2"/>
  <c r="C50" i="2"/>
  <c r="C40" i="2"/>
  <c r="C51" i="2"/>
  <c r="C46" i="2"/>
  <c r="C57" i="2" s="1"/>
  <c r="C59" i="2"/>
  <c r="C52" i="2"/>
  <c r="C47" i="2"/>
  <c r="C49" i="2"/>
  <c r="B17" i="1"/>
  <c r="E51" i="2"/>
  <c r="E46" i="2"/>
  <c r="E52" i="2"/>
  <c r="E47" i="2"/>
  <c r="E49" i="2"/>
  <c r="E50" i="2"/>
  <c r="J13" i="2"/>
  <c r="J14" i="2" s="1"/>
  <c r="D25" i="7" s="1"/>
  <c r="E13" i="2"/>
  <c r="E14" i="2" s="1"/>
  <c r="J31" i="2"/>
  <c r="J33" i="2" s="1"/>
  <c r="J34" i="2" s="1"/>
  <c r="D50" i="2"/>
  <c r="D40" i="2"/>
  <c r="D51" i="2"/>
  <c r="D46" i="2"/>
  <c r="D52" i="2"/>
  <c r="D47" i="2"/>
  <c r="D49" i="2"/>
  <c r="C17" i="1"/>
  <c r="J52" i="2"/>
  <c r="J47" i="2"/>
  <c r="J49" i="2"/>
  <c r="J50" i="2"/>
  <c r="J51" i="2"/>
  <c r="J46" i="2"/>
  <c r="D17" i="1"/>
  <c r="E31" i="2"/>
  <c r="E33" i="2" s="1"/>
  <c r="E34" i="2" s="1"/>
  <c r="C31" i="2"/>
  <c r="C33" i="2" s="1"/>
  <c r="C34" i="2" s="1"/>
  <c r="C66" i="2" l="1"/>
  <c r="C61" i="2"/>
  <c r="C21" i="7" s="1"/>
  <c r="C72" i="2"/>
  <c r="C73" i="2" s="1"/>
  <c r="C60" i="2"/>
  <c r="E57" i="2"/>
  <c r="E59" i="2" s="1"/>
  <c r="J57" i="2"/>
  <c r="J59" i="2" s="1"/>
  <c r="E7" i="3"/>
  <c r="E8" i="3" s="1"/>
  <c r="E9" i="3" s="1"/>
  <c r="E24" i="7"/>
  <c r="I57" i="2"/>
  <c r="I59" i="2" s="1"/>
  <c r="J40" i="2"/>
  <c r="E40" i="2"/>
  <c r="D57" i="2"/>
  <c r="D59" i="2" s="1"/>
  <c r="K60" i="2"/>
  <c r="K61" i="2"/>
  <c r="E22" i="7" s="1"/>
  <c r="K72" i="2"/>
  <c r="K73" i="2" s="1"/>
  <c r="D7" i="3"/>
  <c r="D8" i="3" s="1"/>
  <c r="D9" i="3" s="1"/>
  <c r="D24" i="7"/>
  <c r="F6" i="1"/>
  <c r="I6" i="1" s="1"/>
  <c r="F3" i="1"/>
  <c r="I3" i="1" s="1"/>
  <c r="F5" i="1"/>
  <c r="I5" i="1" s="1"/>
  <c r="F4" i="1"/>
  <c r="I4" i="1" s="1"/>
  <c r="J60" i="2" l="1"/>
  <c r="J61" i="2"/>
  <c r="D22" i="7" s="1"/>
  <c r="J72" i="2"/>
  <c r="J73" i="2" s="1"/>
  <c r="E72" i="2"/>
  <c r="E73" i="2" s="1"/>
  <c r="E60" i="2"/>
  <c r="E66" i="2"/>
  <c r="E61" i="2"/>
  <c r="E21" i="7" s="1"/>
  <c r="D61" i="2"/>
  <c r="D21" i="7" s="1"/>
  <c r="D72" i="2"/>
  <c r="D73" i="2" s="1"/>
  <c r="D60" i="2"/>
  <c r="D66" i="2"/>
  <c r="C62" i="2"/>
  <c r="H6" i="1"/>
  <c r="K6" i="1" s="1"/>
  <c r="H5" i="1"/>
  <c r="K5" i="1" s="1"/>
  <c r="H4" i="1"/>
  <c r="K4" i="1" s="1"/>
  <c r="H3" i="1"/>
  <c r="K3" i="1" s="1"/>
  <c r="G6" i="1"/>
  <c r="J6" i="1" s="1"/>
  <c r="G5" i="1"/>
  <c r="J5" i="1" s="1"/>
  <c r="G3" i="1"/>
  <c r="J3" i="1" s="1"/>
  <c r="G4" i="1"/>
  <c r="J4" i="1" s="1"/>
  <c r="I66" i="2"/>
  <c r="I67" i="2" s="1"/>
  <c r="I68" i="2" s="1"/>
  <c r="I60" i="2"/>
  <c r="I61" i="2"/>
  <c r="I72" i="2"/>
  <c r="I73" i="2" s="1"/>
  <c r="C22" i="7" l="1"/>
  <c r="I62" i="2"/>
  <c r="J66" i="2"/>
  <c r="J67" i="2" l="1"/>
  <c r="J68" i="2" s="1"/>
  <c r="K66" i="2"/>
  <c r="K67" i="2" s="1"/>
  <c r="K68" i="2" s="1"/>
</calcChain>
</file>

<file path=xl/sharedStrings.xml><?xml version="1.0" encoding="utf-8"?>
<sst xmlns="http://schemas.openxmlformats.org/spreadsheetml/2006/main" count="308" uniqueCount="185">
  <si>
    <t>Energy production - Compressor usage</t>
  </si>
  <si>
    <t>Solar field capacity</t>
  </si>
  <si>
    <t>source</t>
  </si>
  <si>
    <t>Sun hours per day</t>
  </si>
  <si>
    <t>Kw per day</t>
  </si>
  <si>
    <t>Shortage Kw per day</t>
  </si>
  <si>
    <t>kW per hour (kWh)</t>
  </si>
  <si>
    <t>Compressor usage low</t>
  </si>
  <si>
    <t>Compressor usage medium</t>
  </si>
  <si>
    <t>Compressor usage high</t>
  </si>
  <si>
    <t>kW capacity low</t>
  </si>
  <si>
    <t>kW capacity medium</t>
  </si>
  <si>
    <t>kW capacity high</t>
  </si>
  <si>
    <t>Solar capacity</t>
  </si>
  <si>
    <t>Summer</t>
  </si>
  <si>
    <t>Efficiency solar panels</t>
  </si>
  <si>
    <t>Fall</t>
  </si>
  <si>
    <t>Winter</t>
  </si>
  <si>
    <t>Spring</t>
  </si>
  <si>
    <t>Grid costs</t>
  </si>
  <si>
    <t xml:space="preserve">low </t>
  </si>
  <si>
    <t>medium</t>
  </si>
  <si>
    <t>high</t>
  </si>
  <si>
    <t>Bus Tartu</t>
  </si>
  <si>
    <t>Waste Truck Latvia</t>
  </si>
  <si>
    <t>Total</t>
  </si>
  <si>
    <t>Grid price (renewable energy)</t>
  </si>
  <si>
    <t>h2 Kg</t>
  </si>
  <si>
    <t>Total grid price for the shortage</t>
  </si>
  <si>
    <t>kWh</t>
  </si>
  <si>
    <t>kWh per day</t>
  </si>
  <si>
    <t>Scenario 2: Grey energy</t>
  </si>
  <si>
    <t>Low</t>
  </si>
  <si>
    <t>Medium</t>
  </si>
  <si>
    <t>High</t>
  </si>
  <si>
    <t>Grid price (Grey energy)</t>
  </si>
  <si>
    <t>Total grey energy for the shortage</t>
  </si>
  <si>
    <t>Difference (in %)</t>
  </si>
  <si>
    <t>Scenario 3: Selling excess solar energy</t>
  </si>
  <si>
    <t>Price solar energy</t>
  </si>
  <si>
    <t>Excess summer per day</t>
  </si>
  <si>
    <t>Excess summer season</t>
  </si>
  <si>
    <t>Excess spring per day</t>
  </si>
  <si>
    <t>Excess spring season</t>
  </si>
  <si>
    <t>Total profit per year</t>
  </si>
  <si>
    <t>Alkaline electrolysis cells (AECs)</t>
  </si>
  <si>
    <t>Solid oxide electrolysis cells technology (SOECs)</t>
  </si>
  <si>
    <t xml:space="preserve">Market price scenario's </t>
  </si>
  <si>
    <t>Capex (euro/kWh)</t>
  </si>
  <si>
    <t>Capex (euro/kW)</t>
  </si>
  <si>
    <t>Energy consumption (kWh/kg h2)</t>
  </si>
  <si>
    <t>Seasons</t>
  </si>
  <si>
    <t>Output in kg h2 per hour</t>
  </si>
  <si>
    <t>- Summer</t>
  </si>
  <si>
    <t>- Fall</t>
  </si>
  <si>
    <t>- Winter</t>
  </si>
  <si>
    <t>- Spring</t>
  </si>
  <si>
    <t>Efficiency</t>
  </si>
  <si>
    <t>Period (in years)</t>
  </si>
  <si>
    <t>Average kg per hour (over the whole year)</t>
  </si>
  <si>
    <t>Average kg per year (hours per year --&gt;)</t>
  </si>
  <si>
    <t>Season demand in Kg</t>
  </si>
  <si>
    <t>- Summer supply</t>
  </si>
  <si>
    <t>- Difference</t>
  </si>
  <si>
    <t>Energy shortage in kg</t>
  </si>
  <si>
    <t>Energy shortage in kWh</t>
  </si>
  <si>
    <t>Price per kWh</t>
  </si>
  <si>
    <t>Per Kg</t>
  </si>
  <si>
    <t>Scenario 5: Sell surplus of hydrogen</t>
  </si>
  <si>
    <t>Kg surplus</t>
  </si>
  <si>
    <t>Kg h2 price EU</t>
  </si>
  <si>
    <t>Possible profit</t>
  </si>
  <si>
    <t>Discount per kg h2</t>
  </si>
  <si>
    <t>CAPEX</t>
  </si>
  <si>
    <t>Capex (1-year)</t>
  </si>
  <si>
    <t>Capex (1-year) per kg</t>
  </si>
  <si>
    <t>Limit 100kg per dag (electrolyzer)</t>
  </si>
  <si>
    <t>AEC OPEX (2-years)</t>
  </si>
  <si>
    <t xml:space="preserve">SOEC OPEX (2-years) </t>
  </si>
  <si>
    <t>Stack replacement cost (50% of capex) (10 year lifetime)</t>
  </si>
  <si>
    <t>Stack replacement cost (23,5% per year) (5 year lifetime)</t>
  </si>
  <si>
    <t>Maintenance (2%) (Capex 4-year)</t>
  </si>
  <si>
    <t>Onside costs</t>
  </si>
  <si>
    <t>- Installation costs: (33%)</t>
  </si>
  <si>
    <t>- Piping costs (35%)</t>
  </si>
  <si>
    <t>- Instruction and controls (12%)</t>
  </si>
  <si>
    <t>- Electrical equipment and material (13%)</t>
  </si>
  <si>
    <t>Manufacturing costs</t>
  </si>
  <si>
    <t>- Labour costs (11.166 EUR/Year) (0.5 FTE)</t>
  </si>
  <si>
    <t>- Water costs (100kg hydrogen * 9 liters * 0,00412/Year)</t>
  </si>
  <si>
    <t>OPEX (1-year)</t>
  </si>
  <si>
    <t>CAPEX + OPEX (1-year)</t>
  </si>
  <si>
    <t xml:space="preserve">euro / kg h2 </t>
  </si>
  <si>
    <t>euro / kg h2 (Incl. Scenario 5: selling surplus)</t>
  </si>
  <si>
    <t xml:space="preserve">Average </t>
  </si>
  <si>
    <t>Average</t>
  </si>
  <si>
    <t>Scenario 1: implement TPM AEC</t>
  </si>
  <si>
    <t>Scenario 1: implement TPM SOEC</t>
  </si>
  <si>
    <t>- current costs per euro/kg h2 at 55% efficiency</t>
  </si>
  <si>
    <t>- TPM costs per year</t>
  </si>
  <si>
    <t>- possible costs per euro/kg h2 at 75% efficiency</t>
  </si>
  <si>
    <t xml:space="preserve">- possible costs per euro/kg h2 at 75% efficiency </t>
  </si>
  <si>
    <t>Difference current vs TPM (%)</t>
  </si>
  <si>
    <t>Difference current vs TPM</t>
  </si>
  <si>
    <t>Scenario 4 : extra 150 kwh solar investment AEC</t>
  </si>
  <si>
    <t>Scenario 4 : extra 150 kwh solar investment SOEC</t>
  </si>
  <si>
    <t>- investment per year</t>
  </si>
  <si>
    <t xml:space="preserve">- CAPEX + OPEX (1-year) including solor investment </t>
  </si>
  <si>
    <t xml:space="preserve">possible costs per euro / kg h2 </t>
  </si>
  <si>
    <t>Compressor</t>
  </si>
  <si>
    <t>Capex</t>
  </si>
  <si>
    <t>OPEX</t>
  </si>
  <si>
    <t>Energy consumption (kWh/Kg)</t>
  </si>
  <si>
    <t>kWh per year</t>
  </si>
  <si>
    <t>CAPEX + OPEX</t>
  </si>
  <si>
    <t>Price per kg h2</t>
  </si>
  <si>
    <t>Storage</t>
  </si>
  <si>
    <t>low</t>
  </si>
  <si>
    <t>Storage container (per kg)</t>
  </si>
  <si>
    <t>76 kg</t>
  </si>
  <si>
    <t>3 containers</t>
  </si>
  <si>
    <t>Bio-CNG truck</t>
  </si>
  <si>
    <t>Km</t>
  </si>
  <si>
    <t>Costs</t>
  </si>
  <si>
    <t>Costs per km</t>
  </si>
  <si>
    <t>Tartu city</t>
  </si>
  <si>
    <t xml:space="preserve">Latvia </t>
  </si>
  <si>
    <t>Bus storage capacity</t>
  </si>
  <si>
    <t>Tartu Bus</t>
  </si>
  <si>
    <t>Latvia Waste Truck</t>
  </si>
  <si>
    <t>kg</t>
  </si>
  <si>
    <t>Demand in kg h2 (yearly)</t>
  </si>
  <si>
    <t>km</t>
  </si>
  <si>
    <t>Fuel container capacity</t>
  </si>
  <si>
    <t>Capacity in kg</t>
  </si>
  <si>
    <t>Tours</t>
  </si>
  <si>
    <t>Demand (Tartu)</t>
  </si>
  <si>
    <t>Amount of refills</t>
  </si>
  <si>
    <t>Containers per year</t>
  </si>
  <si>
    <t>New container every:</t>
  </si>
  <si>
    <t>Days</t>
  </si>
  <si>
    <t>Bring one every</t>
  </si>
  <si>
    <t>How many trips</t>
  </si>
  <si>
    <t>Transport cost per year</t>
  </si>
  <si>
    <t>Personnel cost per year</t>
  </si>
  <si>
    <t>Total transport cost per year</t>
  </si>
  <si>
    <t>per kg h2</t>
  </si>
  <si>
    <t>Salary truck driver Estonia</t>
  </si>
  <si>
    <t>Average salary per trip</t>
  </si>
  <si>
    <t>Average salar/hour</t>
  </si>
  <si>
    <t>Average salary/day</t>
  </si>
  <si>
    <t>Average salary/year</t>
  </si>
  <si>
    <t>Capacity</t>
  </si>
  <si>
    <t>kms per 1kg</t>
  </si>
  <si>
    <t>Demand</t>
  </si>
  <si>
    <t>km per year</t>
  </si>
  <si>
    <t>km per day</t>
  </si>
  <si>
    <t>Days per container</t>
  </si>
  <si>
    <t>New container every</t>
  </si>
  <si>
    <t>Trips (365/3.5)</t>
  </si>
  <si>
    <t>Fuel costs (10 euros per trip)</t>
  </si>
  <si>
    <t>Hours per trip</t>
  </si>
  <si>
    <t>Total hours per year (105 trips per year)</t>
  </si>
  <si>
    <t>Total costs per year</t>
  </si>
  <si>
    <t>Total transport costs Latvia</t>
  </si>
  <si>
    <t>Transport costs</t>
  </si>
  <si>
    <t>Tartu</t>
  </si>
  <si>
    <t>Euros per kg h2</t>
  </si>
  <si>
    <t>Solar + Grid</t>
  </si>
  <si>
    <t>Units</t>
  </si>
  <si>
    <t>Kw</t>
  </si>
  <si>
    <t>Demand per year</t>
  </si>
  <si>
    <t>Kg h2</t>
  </si>
  <si>
    <t>Euro/kWh</t>
  </si>
  <si>
    <t>Grey energy</t>
  </si>
  <si>
    <t>Electrolyzer</t>
  </si>
  <si>
    <t>%</t>
  </si>
  <si>
    <t>Project time in years</t>
  </si>
  <si>
    <t>Years</t>
  </si>
  <si>
    <t>Total cost Euro/Kg h2</t>
  </si>
  <si>
    <t>AEC</t>
  </si>
  <si>
    <t>Euro/Kg h2</t>
  </si>
  <si>
    <t>SOEC</t>
  </si>
  <si>
    <t>Total production h2 AEC</t>
  </si>
  <si>
    <t>Total production h2 SOEC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</si>
</sst>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]#,##0.00"/>
    <numFmt numFmtId="165" formatCode="0.0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2"/>
      <color rgb="FF000000"/>
      <name val="Calibri"/>
    </font>
    <font>
      <u/>
      <sz val="10"/>
      <color rgb="FF0000FF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4" fillId="0" borderId="3" xfId="0" applyFont="1" applyBorder="1"/>
    <xf numFmtId="2" fontId="4" fillId="0" borderId="3" xfId="0" applyNumberFormat="1" applyFont="1" applyBorder="1"/>
    <xf numFmtId="4" fontId="4" fillId="0" borderId="3" xfId="0" applyNumberFormat="1" applyFont="1" applyBorder="1"/>
    <xf numFmtId="9" fontId="4" fillId="0" borderId="3" xfId="0" applyNumberFormat="1" applyFont="1" applyBorder="1"/>
    <xf numFmtId="0" fontId="5" fillId="2" borderId="0" xfId="0" applyFont="1" applyFill="1"/>
    <xf numFmtId="0" fontId="4" fillId="0" borderId="0" xfId="0" applyFont="1"/>
    <xf numFmtId="164" fontId="4" fillId="0" borderId="3" xfId="0" applyNumberFormat="1" applyFont="1" applyBorder="1"/>
    <xf numFmtId="0" fontId="6" fillId="0" borderId="0" xfId="0" applyFont="1"/>
    <xf numFmtId="10" fontId="4" fillId="3" borderId="3" xfId="0" applyNumberFormat="1" applyFont="1" applyFill="1" applyBorder="1"/>
    <xf numFmtId="164" fontId="4" fillId="0" borderId="0" xfId="0" applyNumberFormat="1" applyFont="1"/>
    <xf numFmtId="164" fontId="0" fillId="0" borderId="3" xfId="0" applyNumberFormat="1" applyBorder="1" applyAlignment="1">
      <alignment horizontal="right"/>
    </xf>
    <xf numFmtId="0" fontId="7" fillId="0" borderId="0" xfId="0" applyFont="1" applyAlignment="1">
      <alignment horizontal="right"/>
    </xf>
    <xf numFmtId="164" fontId="4" fillId="3" borderId="3" xfId="0" applyNumberFormat="1" applyFont="1" applyFill="1" applyBorder="1"/>
    <xf numFmtId="0" fontId="1" fillId="0" borderId="0" xfId="0" applyFont="1" applyAlignment="1">
      <alignment horizontal="center"/>
    </xf>
    <xf numFmtId="2" fontId="0" fillId="2" borderId="3" xfId="0" applyNumberFormat="1" applyFill="1" applyBorder="1"/>
    <xf numFmtId="3" fontId="4" fillId="0" borderId="3" xfId="0" applyNumberFormat="1" applyFont="1" applyBorder="1"/>
    <xf numFmtId="165" fontId="4" fillId="0" borderId="3" xfId="0" applyNumberFormat="1" applyFont="1" applyBorder="1"/>
    <xf numFmtId="164" fontId="0" fillId="2" borderId="3" xfId="0" applyNumberFormat="1" applyFill="1" applyBorder="1"/>
    <xf numFmtId="0" fontId="1" fillId="3" borderId="0" xfId="0" applyFont="1" applyFill="1"/>
    <xf numFmtId="0" fontId="4" fillId="3" borderId="3" xfId="0" applyFont="1" applyFill="1" applyBorder="1"/>
    <xf numFmtId="2" fontId="4" fillId="3" borderId="3" xfId="0" applyNumberFormat="1" applyFont="1" applyFill="1" applyBorder="1"/>
    <xf numFmtId="0" fontId="4" fillId="3" borderId="0" xfId="0" applyFont="1" applyFill="1"/>
    <xf numFmtId="0" fontId="8" fillId="3" borderId="0" xfId="0" applyFont="1" applyFill="1"/>
    <xf numFmtId="0" fontId="1" fillId="4" borderId="0" xfId="0" applyFont="1" applyFill="1"/>
    <xf numFmtId="10" fontId="4" fillId="0" borderId="3" xfId="0" applyNumberFormat="1" applyFont="1" applyBorder="1"/>
    <xf numFmtId="164" fontId="0" fillId="3" borderId="3" xfId="0" applyNumberFormat="1" applyFill="1" applyBorder="1"/>
    <xf numFmtId="10" fontId="4" fillId="4" borderId="3" xfId="0" applyNumberFormat="1" applyFont="1" applyFill="1" applyBorder="1"/>
    <xf numFmtId="0" fontId="4" fillId="2" borderId="3" xfId="0" applyFont="1" applyFill="1" applyBorder="1"/>
    <xf numFmtId="0" fontId="9" fillId="0" borderId="3" xfId="0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164" fontId="9" fillId="2" borderId="3" xfId="0" applyNumberFormat="1" applyFont="1" applyFill="1" applyBorder="1" applyAlignment="1">
      <alignment horizontal="center"/>
    </xf>
    <xf numFmtId="0" fontId="4" fillId="2" borderId="0" xfId="0" applyFont="1" applyFill="1"/>
    <xf numFmtId="164" fontId="4" fillId="4" borderId="3" xfId="0" applyNumberFormat="1" applyFont="1" applyFill="1" applyBorder="1"/>
    <xf numFmtId="2" fontId="9" fillId="0" borderId="0" xfId="0" applyNumberFormat="1" applyFont="1" applyAlignment="1">
      <alignment horizontal="left"/>
    </xf>
    <xf numFmtId="10" fontId="4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right"/>
    </xf>
    <xf numFmtId="2" fontId="4" fillId="0" borderId="0" xfId="0" applyNumberFormat="1" applyFont="1"/>
    <xf numFmtId="1" fontId="4" fillId="0" borderId="0" xfId="0" applyNumberFormat="1" applyFont="1"/>
    <xf numFmtId="165" fontId="4" fillId="0" borderId="0" xfId="0" applyNumberFormat="1" applyFont="1"/>
    <xf numFmtId="0" fontId="4" fillId="0" borderId="5" xfId="0" applyFont="1" applyBorder="1"/>
    <xf numFmtId="0" fontId="4" fillId="0" borderId="1" xfId="0" applyFont="1" applyBorder="1"/>
    <xf numFmtId="0" fontId="11" fillId="5" borderId="3" xfId="0" applyFont="1" applyFill="1" applyBorder="1"/>
    <xf numFmtId="0" fontId="4" fillId="5" borderId="3" xfId="0" applyFont="1" applyFill="1" applyBorder="1"/>
    <xf numFmtId="164" fontId="4" fillId="5" borderId="3" xfId="0" applyNumberFormat="1" applyFont="1" applyFill="1" applyBorder="1"/>
    <xf numFmtId="9" fontId="4" fillId="5" borderId="3" xfId="0" applyNumberFormat="1" applyFont="1" applyFill="1" applyBorder="1"/>
    <xf numFmtId="0" fontId="1" fillId="6" borderId="3" xfId="0" applyFont="1" applyFill="1" applyBorder="1"/>
    <xf numFmtId="0" fontId="4" fillId="6" borderId="3" xfId="0" applyFont="1" applyFill="1" applyBorder="1"/>
    <xf numFmtId="164" fontId="4" fillId="6" borderId="3" xfId="0" applyNumberFormat="1" applyFont="1" applyFill="1" applyBorder="1"/>
    <xf numFmtId="164" fontId="0" fillId="6" borderId="3" xfId="0" applyNumberFormat="1" applyFill="1" applyBorder="1"/>
    <xf numFmtId="1" fontId="4" fillId="0" borderId="3" xfId="0" applyNumberFormat="1" applyFont="1" applyBorder="1"/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4" xfId="0" applyFont="1" applyBorder="1"/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/>
    <xf numFmtId="0" fontId="3" fillId="0" borderId="7" xfId="0" applyFont="1" applyBorder="1"/>
    <xf numFmtId="0" fontId="1" fillId="0" borderId="7" xfId="0" applyFont="1" applyBorder="1"/>
    <xf numFmtId="0" fontId="1" fillId="0" borderId="6" xfId="0" applyFon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lobalpetrolprices.com/Estonia/electricity_prices/" TargetMode="External"/><Relationship Id="rId2" Type="http://schemas.openxmlformats.org/officeDocument/2006/relationships/hyperlink" Target="https://www.vattenfall.nl/kennis/zonnepanelen-wp/" TargetMode="External"/><Relationship Id="rId1" Type="http://schemas.openxmlformats.org/officeDocument/2006/relationships/hyperlink" Target="https://www.ilmateenistus.ee/kliima/kliimanormid/paikesepaiste-kestus/?lang=en" TargetMode="External"/><Relationship Id="rId4" Type="http://schemas.openxmlformats.org/officeDocument/2006/relationships/hyperlink" Target="https://www.solar.com/learn/solar-panel-cos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uotes.solarproof.com.au/system-sizes/150kw-solar-system-information-facts-figures/" TargetMode="External"/><Relationship Id="rId2" Type="http://schemas.openxmlformats.org/officeDocument/2006/relationships/hyperlink" Target="https://world-class-manufacturing.com/article1.shtml" TargetMode="External"/><Relationship Id="rId1" Type="http://schemas.openxmlformats.org/officeDocument/2006/relationships/hyperlink" Target="https://www.reuters.com/business/energy/imported-hydrogen-can-beat-eu-production-costs-by-2030-study-2023-01-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8"/>
  <sheetViews>
    <sheetView tabSelected="1" workbookViewId="0">
      <selection activeCell="G23" sqref="G23"/>
    </sheetView>
  </sheetViews>
  <sheetFormatPr baseColWidth="10" defaultColWidth="12.6640625" defaultRowHeight="15.75" customHeight="1" x14ac:dyDescent="0.15"/>
  <cols>
    <col min="1" max="1" width="32.33203125" customWidth="1"/>
    <col min="2" max="2" width="15.6640625" customWidth="1"/>
    <col min="3" max="3" width="9.83203125" customWidth="1"/>
    <col min="4" max="4" width="17.6640625" customWidth="1"/>
    <col min="5" max="5" width="15.6640625" customWidth="1"/>
    <col min="6" max="6" width="20.6640625" customWidth="1"/>
    <col min="7" max="9" width="26.5" customWidth="1"/>
    <col min="10" max="10" width="17.5" customWidth="1"/>
    <col min="11" max="11" width="14.6640625" customWidth="1"/>
    <col min="12" max="12" width="3.6640625" customWidth="1"/>
    <col min="13" max="13" width="4.33203125" customWidth="1"/>
    <col min="14" max="14" width="17.5" customWidth="1"/>
    <col min="15" max="15" width="6" customWidth="1"/>
  </cols>
  <sheetData>
    <row r="1" spans="1:15" ht="15.75" customHeight="1" x14ac:dyDescent="0.15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M1" s="55" t="s">
        <v>1</v>
      </c>
      <c r="N1" s="56"/>
    </row>
    <row r="2" spans="1:15" ht="15.75" customHeight="1" x14ac:dyDescent="0.15">
      <c r="A2" s="61" t="s">
        <v>2</v>
      </c>
      <c r="B2" s="62" t="s">
        <v>3</v>
      </c>
      <c r="C2" s="62" t="s">
        <v>4</v>
      </c>
      <c r="D2" s="62" t="s">
        <v>5</v>
      </c>
      <c r="E2" s="62" t="s">
        <v>6</v>
      </c>
      <c r="F2" s="62" t="s">
        <v>7</v>
      </c>
      <c r="G2" s="62" t="s">
        <v>8</v>
      </c>
      <c r="H2" s="62" t="s">
        <v>9</v>
      </c>
      <c r="I2" s="62" t="s">
        <v>10</v>
      </c>
      <c r="J2" s="62" t="s">
        <v>11</v>
      </c>
      <c r="K2" s="62" t="s">
        <v>12</v>
      </c>
      <c r="M2" s="4">
        <f>'Final sheet'!C2</f>
        <v>850</v>
      </c>
      <c r="N2" s="4" t="s">
        <v>13</v>
      </c>
    </row>
    <row r="3" spans="1:15" ht="15.75" customHeight="1" x14ac:dyDescent="0.15">
      <c r="A3" s="3" t="s">
        <v>14</v>
      </c>
      <c r="B3" s="4">
        <v>8.1999999999999993</v>
      </c>
      <c r="C3" s="5">
        <f t="shared" ref="C3:C6" si="0">B3*$M$2*$M$3</f>
        <v>5924.4999999999991</v>
      </c>
      <c r="D3" s="5">
        <f t="shared" ref="D3:D6" si="1">C3-$I$13</f>
        <v>3726.0068493150675</v>
      </c>
      <c r="E3" s="5">
        <f t="shared" ref="E3:E6" si="2">C3/24</f>
        <v>246.85416666666663</v>
      </c>
      <c r="F3" s="6">
        <f>Compressor!$C$9</f>
        <v>3.207145317625915</v>
      </c>
      <c r="G3" s="6">
        <f>Compressor!$D$9</f>
        <v>4.4476449216132972</v>
      </c>
      <c r="H3" s="6">
        <f>Compressor!$E$9</f>
        <v>5.514039318023503</v>
      </c>
      <c r="I3" s="5">
        <f t="shared" ref="I3:I6" si="3">E3-F3</f>
        <v>243.64702134904073</v>
      </c>
      <c r="J3" s="5">
        <f t="shared" ref="J3:J6" si="4">E3-G3</f>
        <v>242.40652174505334</v>
      </c>
      <c r="K3" s="5">
        <f t="shared" ref="K3:K6" si="5">E3-H3</f>
        <v>241.34012734864314</v>
      </c>
      <c r="M3" s="7">
        <v>0.85</v>
      </c>
      <c r="N3" s="4" t="s">
        <v>15</v>
      </c>
      <c r="O3" s="8" t="s">
        <v>2</v>
      </c>
    </row>
    <row r="4" spans="1:15" ht="15.75" customHeight="1" x14ac:dyDescent="0.15">
      <c r="A4" s="3" t="s">
        <v>16</v>
      </c>
      <c r="B4" s="4">
        <v>2.88</v>
      </c>
      <c r="C4" s="5">
        <f t="shared" si="0"/>
        <v>2080.7999999999997</v>
      </c>
      <c r="D4" s="5">
        <f t="shared" si="1"/>
        <v>-117.69315068493188</v>
      </c>
      <c r="E4" s="5">
        <f t="shared" si="2"/>
        <v>86.699999999999989</v>
      </c>
      <c r="F4" s="6">
        <f>Compressor!$C$9</f>
        <v>3.207145317625915</v>
      </c>
      <c r="G4" s="6">
        <f>Compressor!$D$9</f>
        <v>4.4476449216132972</v>
      </c>
      <c r="H4" s="6">
        <f>Compressor!$E$9</f>
        <v>5.514039318023503</v>
      </c>
      <c r="I4" s="5">
        <f t="shared" si="3"/>
        <v>83.492854682374073</v>
      </c>
      <c r="J4" s="5">
        <f t="shared" si="4"/>
        <v>82.252355078386685</v>
      </c>
      <c r="K4" s="5">
        <f t="shared" si="5"/>
        <v>81.185960681976482</v>
      </c>
    </row>
    <row r="5" spans="1:15" ht="15.75" customHeight="1" x14ac:dyDescent="0.15">
      <c r="A5" s="3" t="s">
        <v>17</v>
      </c>
      <c r="B5" s="4">
        <v>1.4</v>
      </c>
      <c r="C5" s="5">
        <f t="shared" si="0"/>
        <v>1011.5</v>
      </c>
      <c r="D5" s="5">
        <f t="shared" si="1"/>
        <v>-1186.9931506849316</v>
      </c>
      <c r="E5" s="5">
        <f t="shared" si="2"/>
        <v>42.145833333333336</v>
      </c>
      <c r="F5" s="6">
        <f>Compressor!$C$9</f>
        <v>3.207145317625915</v>
      </c>
      <c r="G5" s="6">
        <f>Compressor!$D$9</f>
        <v>4.4476449216132972</v>
      </c>
      <c r="H5" s="6">
        <f>Compressor!$E$9</f>
        <v>5.514039318023503</v>
      </c>
      <c r="I5" s="5">
        <f t="shared" si="3"/>
        <v>38.93868801570742</v>
      </c>
      <c r="J5" s="5">
        <f t="shared" si="4"/>
        <v>37.698188411720039</v>
      </c>
      <c r="K5" s="5">
        <f t="shared" si="5"/>
        <v>36.631794015309836</v>
      </c>
    </row>
    <row r="6" spans="1:15" ht="15.75" customHeight="1" x14ac:dyDescent="0.15">
      <c r="A6" s="3" t="s">
        <v>18</v>
      </c>
      <c r="B6" s="4">
        <v>6.49</v>
      </c>
      <c r="C6" s="5">
        <f t="shared" si="0"/>
        <v>4689.0249999999996</v>
      </c>
      <c r="D6" s="5">
        <f t="shared" si="1"/>
        <v>2490.531849315068</v>
      </c>
      <c r="E6" s="5">
        <f t="shared" si="2"/>
        <v>195.37604166666665</v>
      </c>
      <c r="F6" s="6">
        <f>Compressor!$C$9</f>
        <v>3.207145317625915</v>
      </c>
      <c r="G6" s="6">
        <f>Compressor!$D$9</f>
        <v>4.4476449216132972</v>
      </c>
      <c r="H6" s="6">
        <f>Compressor!$E$9</f>
        <v>5.514039318023503</v>
      </c>
      <c r="I6" s="5">
        <f t="shared" si="3"/>
        <v>192.16889634904075</v>
      </c>
      <c r="J6" s="5">
        <f t="shared" si="4"/>
        <v>190.92839674505336</v>
      </c>
      <c r="K6" s="5">
        <f t="shared" si="5"/>
        <v>189.86200234864316</v>
      </c>
    </row>
    <row r="7" spans="1:15" ht="15.75" customHeight="1" x14ac:dyDescent="0.15">
      <c r="B7" s="9"/>
      <c r="C7" s="9"/>
      <c r="D7" s="9"/>
    </row>
    <row r="8" spans="1:15" ht="15.75" customHeight="1" x14ac:dyDescent="0.15">
      <c r="A8" s="1"/>
      <c r="B8" s="9"/>
      <c r="C8" s="9"/>
      <c r="D8" s="9"/>
    </row>
    <row r="9" spans="1:15" ht="15.75" customHeight="1" x14ac:dyDescent="0.15">
      <c r="A9" s="55" t="s">
        <v>19</v>
      </c>
      <c r="B9" s="57"/>
      <c r="C9" s="57"/>
      <c r="D9" s="56"/>
      <c r="G9" s="9"/>
      <c r="H9" s="9"/>
    </row>
    <row r="10" spans="1:15" ht="15.75" customHeight="1" x14ac:dyDescent="0.15">
      <c r="A10" s="4"/>
      <c r="B10" s="3" t="s">
        <v>20</v>
      </c>
      <c r="C10" s="3" t="s">
        <v>21</v>
      </c>
      <c r="D10" s="3" t="s">
        <v>22</v>
      </c>
      <c r="F10" s="4"/>
      <c r="G10" s="3" t="s">
        <v>23</v>
      </c>
      <c r="H10" s="3" t="s">
        <v>24</v>
      </c>
      <c r="I10" s="3" t="s">
        <v>25</v>
      </c>
    </row>
    <row r="11" spans="1:15" ht="15.75" customHeight="1" x14ac:dyDescent="0.15">
      <c r="A11" s="4" t="s">
        <v>26</v>
      </c>
      <c r="B11" s="10">
        <f>'Final sheet'!C5</f>
        <v>1.26</v>
      </c>
      <c r="C11" s="10">
        <f>'Final sheet'!D5</f>
        <v>1.36</v>
      </c>
      <c r="D11" s="10">
        <f>'Final sheet'!E5</f>
        <v>1.46</v>
      </c>
      <c r="F11" s="3" t="s">
        <v>27</v>
      </c>
      <c r="G11" s="4">
        <v>8500</v>
      </c>
      <c r="H11" s="4">
        <v>7549</v>
      </c>
      <c r="I11" s="4">
        <f>H11+G11</f>
        <v>16049</v>
      </c>
    </row>
    <row r="12" spans="1:15" ht="15.75" customHeight="1" x14ac:dyDescent="0.15">
      <c r="A12" s="4" t="s">
        <v>28</v>
      </c>
      <c r="B12" s="10">
        <f t="shared" ref="B12:D12" si="6">-$D$4+-$D$5*B11</f>
        <v>1613.3045205479457</v>
      </c>
      <c r="C12" s="10">
        <f t="shared" si="6"/>
        <v>1732.0038356164389</v>
      </c>
      <c r="D12" s="10">
        <f t="shared" si="6"/>
        <v>1850.7031506849319</v>
      </c>
      <c r="F12" s="3" t="s">
        <v>29</v>
      </c>
      <c r="G12" s="4">
        <f t="shared" ref="G12:H12" si="7">G11*50</f>
        <v>425000</v>
      </c>
      <c r="H12" s="4">
        <f t="shared" si="7"/>
        <v>377450</v>
      </c>
      <c r="I12" s="4">
        <f>50*I11</f>
        <v>802450</v>
      </c>
      <c r="J12" s="9"/>
    </row>
    <row r="13" spans="1:15" ht="15.75" customHeight="1" x14ac:dyDescent="0.15">
      <c r="A13" s="1"/>
      <c r="F13" s="3" t="s">
        <v>30</v>
      </c>
      <c r="G13" s="5">
        <f t="shared" ref="G13:I13" si="8">G12/365</f>
        <v>1164.3835616438357</v>
      </c>
      <c r="H13" s="5">
        <f t="shared" si="8"/>
        <v>1034.1095890410959</v>
      </c>
      <c r="I13" s="5">
        <f t="shared" si="8"/>
        <v>2198.4931506849316</v>
      </c>
    </row>
    <row r="14" spans="1:15" ht="15.75" customHeight="1" x14ac:dyDescent="0.15">
      <c r="A14" s="3" t="s">
        <v>31</v>
      </c>
      <c r="B14" s="3" t="s">
        <v>32</v>
      </c>
      <c r="C14" s="3" t="s">
        <v>33</v>
      </c>
      <c r="D14" s="3" t="s">
        <v>34</v>
      </c>
    </row>
    <row r="15" spans="1:15" ht="15.75" customHeight="1" x14ac:dyDescent="0.15">
      <c r="A15" s="4" t="s">
        <v>35</v>
      </c>
      <c r="B15" s="4">
        <f>'Final sheet'!$C$6</f>
        <v>0.17299999999999999</v>
      </c>
      <c r="C15" s="4">
        <f>'Final sheet'!$C$6</f>
        <v>0.17299999999999999</v>
      </c>
      <c r="D15" s="4">
        <f>'Final sheet'!$C$6</f>
        <v>0.17299999999999999</v>
      </c>
      <c r="E15" s="11" t="s">
        <v>2</v>
      </c>
    </row>
    <row r="16" spans="1:15" ht="15.75" customHeight="1" x14ac:dyDescent="0.15">
      <c r="A16" s="4" t="s">
        <v>36</v>
      </c>
      <c r="B16" s="10">
        <f t="shared" ref="B16:D16" si="9">(-$D$4+-$D$5)*B15</f>
        <v>225.71073013698637</v>
      </c>
      <c r="C16" s="10">
        <f t="shared" si="9"/>
        <v>225.71073013698637</v>
      </c>
      <c r="D16" s="10">
        <f t="shared" si="9"/>
        <v>225.71073013698637</v>
      </c>
    </row>
    <row r="17" spans="1:10" ht="15.75" customHeight="1" x14ac:dyDescent="0.15">
      <c r="A17" s="4" t="s">
        <v>37</v>
      </c>
      <c r="B17" s="12">
        <f t="shared" ref="B17:D17" si="10">(B16-B12)/B12</f>
        <v>-0.86009415627229169</v>
      </c>
      <c r="C17" s="12">
        <f t="shared" si="10"/>
        <v>-0.86968231507602101</v>
      </c>
      <c r="D17" s="12">
        <f t="shared" si="10"/>
        <v>-0.87804055444901985</v>
      </c>
    </row>
    <row r="19" spans="1:10" ht="15.75" customHeight="1" x14ac:dyDescent="0.15">
      <c r="J19" s="13"/>
    </row>
    <row r="21" spans="1:10" ht="15.75" customHeight="1" x14ac:dyDescent="0.15">
      <c r="A21" s="3" t="s">
        <v>38</v>
      </c>
      <c r="B21" s="3" t="s">
        <v>32</v>
      </c>
      <c r="C21" s="3" t="s">
        <v>33</v>
      </c>
      <c r="D21" s="3" t="s">
        <v>34</v>
      </c>
      <c r="E21" s="11" t="s">
        <v>2</v>
      </c>
    </row>
    <row r="22" spans="1:10" ht="15.75" customHeight="1" x14ac:dyDescent="0.15">
      <c r="A22" s="4" t="s">
        <v>39</v>
      </c>
      <c r="B22" s="10">
        <v>0.06</v>
      </c>
      <c r="C22" s="10">
        <v>7.0000000000000007E-2</v>
      </c>
      <c r="D22" s="10">
        <v>0.08</v>
      </c>
    </row>
    <row r="23" spans="1:10" ht="15.75" customHeight="1" x14ac:dyDescent="0.15">
      <c r="A23" s="4" t="s">
        <v>40</v>
      </c>
      <c r="B23" s="10">
        <f>B22*D3</f>
        <v>223.56041095890404</v>
      </c>
      <c r="C23" s="10">
        <f>C22*D3</f>
        <v>260.82047945205477</v>
      </c>
      <c r="D23" s="10">
        <f>D22*D3</f>
        <v>298.08054794520541</v>
      </c>
    </row>
    <row r="24" spans="1:10" ht="15.75" customHeight="1" x14ac:dyDescent="0.15">
      <c r="A24" s="4" t="s">
        <v>41</v>
      </c>
      <c r="B24" s="10">
        <f t="shared" ref="B24:D24" si="11">B23*92</f>
        <v>20567.557808219171</v>
      </c>
      <c r="C24" s="10">
        <f t="shared" si="11"/>
        <v>23995.484109589037</v>
      </c>
      <c r="D24" s="10">
        <f t="shared" si="11"/>
        <v>27423.410410958899</v>
      </c>
    </row>
    <row r="25" spans="1:10" ht="15.75" customHeight="1" x14ac:dyDescent="0.15">
      <c r="A25" s="4" t="s">
        <v>42</v>
      </c>
      <c r="B25" s="10">
        <f>B22*$D$6</f>
        <v>149.43191095890407</v>
      </c>
      <c r="C25" s="10">
        <f>C22*$D$6</f>
        <v>174.33722945205477</v>
      </c>
      <c r="D25" s="10">
        <f>D22*$D$6</f>
        <v>199.24254794520544</v>
      </c>
    </row>
    <row r="26" spans="1:10" x14ac:dyDescent="0.2">
      <c r="A26" s="4" t="s">
        <v>43</v>
      </c>
      <c r="B26" s="14">
        <f t="shared" ref="B26:D26" si="12">B25*92</f>
        <v>13747.735808219175</v>
      </c>
      <c r="C26" s="14">
        <f t="shared" si="12"/>
        <v>16039.025109589038</v>
      </c>
      <c r="D26" s="14">
        <f t="shared" si="12"/>
        <v>18330.314410958901</v>
      </c>
      <c r="F26" s="15"/>
      <c r="G26" s="15"/>
    </row>
    <row r="27" spans="1:10" ht="15.75" customHeight="1" x14ac:dyDescent="0.15">
      <c r="A27" s="4" t="s">
        <v>44</v>
      </c>
      <c r="B27" s="16">
        <f t="shared" ref="B27:D27" si="13">B24+B26</f>
        <v>34315.293616438343</v>
      </c>
      <c r="C27" s="16">
        <f t="shared" si="13"/>
        <v>40034.509219178071</v>
      </c>
      <c r="D27" s="16">
        <f t="shared" si="13"/>
        <v>45753.7248219178</v>
      </c>
    </row>
    <row r="28" spans="1:10" x14ac:dyDescent="0.2">
      <c r="C28" s="15"/>
      <c r="D28" s="15"/>
      <c r="E28" s="15"/>
      <c r="F28" s="15"/>
    </row>
  </sheetData>
  <mergeCells count="3">
    <mergeCell ref="A1:K1"/>
    <mergeCell ref="M1:N1"/>
    <mergeCell ref="A9:D9"/>
  </mergeCells>
  <hyperlinks>
    <hyperlink ref="A2" r:id="rId1" xr:uid="{00000000-0004-0000-0000-000000000000}"/>
    <hyperlink ref="O3" r:id="rId2" xr:uid="{00000000-0004-0000-0000-000001000000}"/>
    <hyperlink ref="E15" r:id="rId3" xr:uid="{00000000-0004-0000-0000-000002000000}"/>
    <hyperlink ref="E21" r:id="rId4" location=":~:text=Residential%20solar%20energy%20costs%20on,of%20equipment%2C%20and%20energy%20needs.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78"/>
  <sheetViews>
    <sheetView topLeftCell="A54" workbookViewId="0">
      <selection sqref="A1:E1"/>
    </sheetView>
  </sheetViews>
  <sheetFormatPr baseColWidth="10" defaultColWidth="12.6640625" defaultRowHeight="15.75" customHeight="1" x14ac:dyDescent="0.15"/>
  <cols>
    <col min="1" max="1" width="42.83203125" customWidth="1"/>
    <col min="7" max="7" width="43.1640625" customWidth="1"/>
  </cols>
  <sheetData>
    <row r="1" spans="1:11" ht="13" x14ac:dyDescent="0.15">
      <c r="A1" s="55" t="s">
        <v>45</v>
      </c>
      <c r="B1" s="57"/>
      <c r="C1" s="57"/>
      <c r="D1" s="57"/>
      <c r="E1" s="56"/>
      <c r="F1" s="9"/>
      <c r="G1" s="55" t="s">
        <v>46</v>
      </c>
      <c r="H1" s="57"/>
      <c r="I1" s="57"/>
      <c r="J1" s="57"/>
      <c r="K1" s="56"/>
    </row>
    <row r="2" spans="1:11" ht="13" x14ac:dyDescent="0.15">
      <c r="A2" s="3" t="s">
        <v>47</v>
      </c>
      <c r="B2" s="4"/>
      <c r="C2" s="3" t="s">
        <v>32</v>
      </c>
      <c r="D2" s="3" t="s">
        <v>33</v>
      </c>
      <c r="E2" s="3" t="s">
        <v>34</v>
      </c>
      <c r="G2" s="3" t="s">
        <v>47</v>
      </c>
      <c r="H2" s="3"/>
      <c r="I2" s="3" t="s">
        <v>32</v>
      </c>
      <c r="J2" s="3" t="s">
        <v>33</v>
      </c>
      <c r="K2" s="3" t="s">
        <v>34</v>
      </c>
    </row>
    <row r="3" spans="1:11" ht="13" x14ac:dyDescent="0.15">
      <c r="A3" s="3" t="s">
        <v>48</v>
      </c>
      <c r="B3" s="4"/>
      <c r="C3" s="4">
        <f>'Final sheet'!C13</f>
        <v>600</v>
      </c>
      <c r="D3" s="4">
        <f>'Final sheet'!D13</f>
        <v>950</v>
      </c>
      <c r="E3" s="4">
        <f>'Final sheet'!E13</f>
        <v>1300</v>
      </c>
      <c r="G3" s="3" t="s">
        <v>49</v>
      </c>
      <c r="H3" s="4"/>
      <c r="I3" s="4">
        <v>2000</v>
      </c>
      <c r="J3" s="4">
        <v>3800</v>
      </c>
      <c r="K3" s="4">
        <v>5600</v>
      </c>
    </row>
    <row r="4" spans="1:11" ht="13" x14ac:dyDescent="0.15">
      <c r="A4" s="3" t="s">
        <v>50</v>
      </c>
      <c r="B4" s="4"/>
      <c r="C4" s="4">
        <v>49</v>
      </c>
      <c r="D4" s="4">
        <v>53</v>
      </c>
      <c r="E4" s="4">
        <v>57</v>
      </c>
      <c r="G4" s="3" t="s">
        <v>50</v>
      </c>
      <c r="H4" s="4"/>
      <c r="I4" s="4">
        <v>34</v>
      </c>
      <c r="J4" s="4">
        <v>34.5</v>
      </c>
      <c r="K4" s="4">
        <v>35</v>
      </c>
    </row>
    <row r="5" spans="1:11" ht="13" x14ac:dyDescent="0.15">
      <c r="C5" s="17"/>
      <c r="D5" s="17"/>
      <c r="E5" s="17"/>
      <c r="I5" s="17"/>
      <c r="J5" s="17"/>
      <c r="K5" s="17"/>
    </row>
    <row r="6" spans="1:11" ht="13" x14ac:dyDescent="0.15">
      <c r="A6" s="3" t="s">
        <v>51</v>
      </c>
      <c r="B6" s="4"/>
      <c r="C6" s="59" t="s">
        <v>52</v>
      </c>
      <c r="D6" s="57"/>
      <c r="E6" s="56"/>
      <c r="G6" s="3" t="s">
        <v>51</v>
      </c>
      <c r="H6" s="4"/>
      <c r="I6" s="59" t="s">
        <v>52</v>
      </c>
      <c r="J6" s="57"/>
      <c r="K6" s="56"/>
    </row>
    <row r="7" spans="1:11" ht="13" x14ac:dyDescent="0.15">
      <c r="A7" s="3" t="s">
        <v>53</v>
      </c>
      <c r="B7" s="4"/>
      <c r="C7" s="5">
        <f>'Solar + Grid'!$E3/C$4*$B$11</f>
        <v>2.7708120748299319</v>
      </c>
      <c r="D7" s="5">
        <f>'Solar + Grid'!$E3/D$4*$B$11</f>
        <v>2.5616941823899371</v>
      </c>
      <c r="E7" s="5">
        <f>'Solar + Grid'!$E3/E$4*$B$11</f>
        <v>2.3819261695906433</v>
      </c>
      <c r="G7" s="3" t="s">
        <v>53</v>
      </c>
      <c r="H7" s="4"/>
      <c r="I7" s="18">
        <f>'Solar + Grid'!$E3/I$4*$B$11</f>
        <v>3.9932291666666662</v>
      </c>
      <c r="J7" s="18">
        <f>'Solar + Grid'!$E3/J$4*$B$11</f>
        <v>3.9353562801932362</v>
      </c>
      <c r="K7" s="18">
        <f>'Solar + Grid'!$E3/K$4*$B$11</f>
        <v>3.8791369047619044</v>
      </c>
    </row>
    <row r="8" spans="1:11" ht="13" x14ac:dyDescent="0.15">
      <c r="A8" s="3" t="s">
        <v>54</v>
      </c>
      <c r="B8" s="4"/>
      <c r="C8" s="5">
        <f>'Solar + Grid'!$E4/C$4*$B$11</f>
        <v>0.9731632653061224</v>
      </c>
      <c r="D8" s="5">
        <f>'Solar + Grid'!$E4/D$4*$B$11</f>
        <v>0.89971698113207543</v>
      </c>
      <c r="E8" s="5">
        <f>'Solar + Grid'!$E4/E$4*$B$11</f>
        <v>0.83657894736842109</v>
      </c>
      <c r="G8" s="3" t="s">
        <v>54</v>
      </c>
      <c r="H8" s="4"/>
      <c r="I8" s="18">
        <f>'Solar + Grid'!$E4/I$4*$B$11</f>
        <v>1.4025000000000001</v>
      </c>
      <c r="J8" s="18">
        <f>'Solar + Grid'!$E4/J$4*$B$11</f>
        <v>1.3821739130434783</v>
      </c>
      <c r="K8" s="18">
        <f>'Solar + Grid'!$E4/K$4*$B$11</f>
        <v>1.3624285714285713</v>
      </c>
    </row>
    <row r="9" spans="1:11" ht="13" x14ac:dyDescent="0.15">
      <c r="A9" s="3" t="s">
        <v>55</v>
      </c>
      <c r="B9" s="4"/>
      <c r="C9" s="5">
        <f>'Solar + Grid'!$E5/C$4*$B$11</f>
        <v>0.47306547619047623</v>
      </c>
      <c r="D9" s="5">
        <f>'Solar + Grid'!$E5/D$4*$B$11</f>
        <v>0.43736242138364789</v>
      </c>
      <c r="E9" s="5">
        <f>'Solar + Grid'!$E5/E$4*$B$11</f>
        <v>0.40667032163742695</v>
      </c>
      <c r="G9" s="3" t="s">
        <v>55</v>
      </c>
      <c r="H9" s="4"/>
      <c r="I9" s="18">
        <f>'Solar + Grid'!$E5/I$4*$B$11</f>
        <v>0.68177083333333344</v>
      </c>
      <c r="J9" s="18">
        <f>'Solar + Grid'!$E5/J$4*$B$11</f>
        <v>0.67189009661835752</v>
      </c>
      <c r="K9" s="18">
        <f>'Solar + Grid'!$E5/K$4*$B$11</f>
        <v>0.66229166666666683</v>
      </c>
    </row>
    <row r="10" spans="1:11" ht="13" x14ac:dyDescent="0.15">
      <c r="A10" s="3" t="s">
        <v>56</v>
      </c>
      <c r="B10" s="4"/>
      <c r="C10" s="5">
        <f>'Solar + Grid'!$E6/C$4*$B$11</f>
        <v>2.1929963860544217</v>
      </c>
      <c r="D10" s="5">
        <f>'Solar + Grid'!$E6/D$4*$B$11</f>
        <v>2.0274872248427673</v>
      </c>
      <c r="E10" s="5">
        <f>'Solar + Grid'!$E6/E$4*$B$11</f>
        <v>1.8852074195906434</v>
      </c>
      <c r="G10" s="3" t="s">
        <v>56</v>
      </c>
      <c r="H10" s="4"/>
      <c r="I10" s="18">
        <f>'Solar + Grid'!$E6/I$4*$B$11</f>
        <v>3.1604947916666668</v>
      </c>
      <c r="J10" s="18">
        <f>'Solar + Grid'!$E6/J$4*$B$11</f>
        <v>3.1146905193236716</v>
      </c>
      <c r="K10" s="18">
        <f>'Solar + Grid'!$E6/K$4*$B$11</f>
        <v>3.0701949404761906</v>
      </c>
    </row>
    <row r="11" spans="1:11" ht="13" x14ac:dyDescent="0.15">
      <c r="A11" s="3" t="s">
        <v>57</v>
      </c>
      <c r="B11" s="7">
        <f>'Final sheet'!C9</f>
        <v>0.55000000000000004</v>
      </c>
      <c r="C11" s="4"/>
      <c r="D11" s="4"/>
      <c r="E11" s="4"/>
      <c r="G11" s="3" t="s">
        <v>57</v>
      </c>
      <c r="H11" s="7">
        <f>'Final sheet'!C9</f>
        <v>0.55000000000000004</v>
      </c>
      <c r="I11" s="4"/>
      <c r="J11" s="4"/>
      <c r="K11" s="4"/>
    </row>
    <row r="12" spans="1:11" ht="13" x14ac:dyDescent="0.15">
      <c r="A12" s="3" t="s">
        <v>58</v>
      </c>
      <c r="B12" s="19">
        <f>'Final sheet'!C10</f>
        <v>2</v>
      </c>
      <c r="C12" s="4"/>
      <c r="D12" s="4"/>
      <c r="E12" s="4"/>
      <c r="G12" s="3" t="s">
        <v>58</v>
      </c>
      <c r="H12" s="19">
        <f>'Final sheet'!C10</f>
        <v>2</v>
      </c>
      <c r="I12" s="4"/>
      <c r="J12" s="4"/>
      <c r="K12" s="4"/>
    </row>
    <row r="13" spans="1:11" ht="13" x14ac:dyDescent="0.15">
      <c r="A13" s="3" t="s">
        <v>59</v>
      </c>
      <c r="B13" s="4"/>
      <c r="C13" s="5">
        <f t="shared" ref="C13:E13" si="0">AVERAGE(C7:C10)</f>
        <v>1.602509300595238</v>
      </c>
      <c r="D13" s="5">
        <f t="shared" si="0"/>
        <v>1.4815652024371069</v>
      </c>
      <c r="E13" s="5">
        <f t="shared" si="0"/>
        <v>1.3775957145467836</v>
      </c>
      <c r="G13" s="3" t="s">
        <v>59</v>
      </c>
      <c r="H13" s="4"/>
      <c r="I13" s="5">
        <f t="shared" ref="I13:K13" si="1">AVERAGE(I7:I10)</f>
        <v>2.3094986979166667</v>
      </c>
      <c r="J13" s="5">
        <f t="shared" si="1"/>
        <v>2.2760277022946855</v>
      </c>
      <c r="K13" s="5">
        <f t="shared" si="1"/>
        <v>2.2435130208333334</v>
      </c>
    </row>
    <row r="14" spans="1:11" ht="13" x14ac:dyDescent="0.15">
      <c r="A14" s="3" t="s">
        <v>60</v>
      </c>
      <c r="B14" s="20">
        <v>8765.8127700000005</v>
      </c>
      <c r="C14" s="5">
        <f t="shared" ref="C14:E14" si="2">C13*$B$14</f>
        <v>14047.296491201507</v>
      </c>
      <c r="D14" s="5">
        <f t="shared" si="2"/>
        <v>12987.123171110827</v>
      </c>
      <c r="E14" s="5">
        <f t="shared" si="2"/>
        <v>12075.746106471472</v>
      </c>
      <c r="G14" s="3" t="s">
        <v>60</v>
      </c>
      <c r="H14" s="20">
        <v>8765.8127700000005</v>
      </c>
      <c r="I14" s="5">
        <f t="shared" ref="I14:K14" si="3">I13*$H$14</f>
        <v>20244.633178496289</v>
      </c>
      <c r="J14" s="5">
        <f t="shared" si="3"/>
        <v>19951.232697648513</v>
      </c>
      <c r="K14" s="5">
        <f t="shared" si="3"/>
        <v>19666.215087682111</v>
      </c>
    </row>
    <row r="16" spans="1:11" ht="13" x14ac:dyDescent="0.15">
      <c r="A16" s="3" t="s">
        <v>61</v>
      </c>
      <c r="B16" s="4"/>
      <c r="C16" s="5">
        <f>'Final sheet'!$C$3/4</f>
        <v>4012.25</v>
      </c>
      <c r="D16" s="5">
        <f>'Final sheet'!$C$3/4</f>
        <v>4012.25</v>
      </c>
      <c r="E16" s="5">
        <f>'Final sheet'!$C$3/4</f>
        <v>4012.25</v>
      </c>
      <c r="G16" s="3" t="s">
        <v>61</v>
      </c>
      <c r="H16" s="4"/>
      <c r="I16" s="4">
        <f>'Final sheet'!$C$3/4</f>
        <v>4012.25</v>
      </c>
      <c r="J16" s="4">
        <f>'Final sheet'!$C$3/4</f>
        <v>4012.25</v>
      </c>
      <c r="K16" s="4">
        <f>'Final sheet'!$C$3/4</f>
        <v>4012.25</v>
      </c>
    </row>
    <row r="17" spans="1:11" ht="13" x14ac:dyDescent="0.15">
      <c r="A17" s="4" t="s">
        <v>62</v>
      </c>
      <c r="B17" s="4"/>
      <c r="C17" s="5">
        <f t="shared" ref="C17:E17" si="4">(C7*24)*90</f>
        <v>5984.9540816326526</v>
      </c>
      <c r="D17" s="5">
        <f t="shared" si="4"/>
        <v>5533.2594339622638</v>
      </c>
      <c r="E17" s="5">
        <f t="shared" si="4"/>
        <v>5144.9605263157891</v>
      </c>
      <c r="G17" s="4" t="s">
        <v>62</v>
      </c>
      <c r="H17" s="4"/>
      <c r="I17" s="5">
        <f t="shared" ref="I17:K17" si="5">(I7*24)*90</f>
        <v>8625.375</v>
      </c>
      <c r="J17" s="5">
        <f t="shared" si="5"/>
        <v>8500.3695652173901</v>
      </c>
      <c r="K17" s="5">
        <f t="shared" si="5"/>
        <v>8378.9357142857134</v>
      </c>
    </row>
    <row r="18" spans="1:11" ht="13" x14ac:dyDescent="0.15">
      <c r="A18" s="4" t="s">
        <v>63</v>
      </c>
      <c r="B18" s="4"/>
      <c r="C18" s="5">
        <f t="shared" ref="C18:E18" si="6">C17-C16</f>
        <v>1972.7040816326526</v>
      </c>
      <c r="D18" s="5">
        <f t="shared" si="6"/>
        <v>1521.0094339622638</v>
      </c>
      <c r="E18" s="5">
        <f t="shared" si="6"/>
        <v>1132.7105263157891</v>
      </c>
      <c r="G18" s="4" t="s">
        <v>63</v>
      </c>
      <c r="H18" s="4"/>
      <c r="I18" s="5">
        <f t="shared" ref="I18:K18" si="7">I17-I16</f>
        <v>4613.125</v>
      </c>
      <c r="J18" s="5">
        <f t="shared" si="7"/>
        <v>4488.1195652173901</v>
      </c>
      <c r="K18" s="5">
        <f t="shared" si="7"/>
        <v>4366.6857142857134</v>
      </c>
    </row>
    <row r="19" spans="1:11" ht="13" x14ac:dyDescent="0.15">
      <c r="A19" s="4" t="s">
        <v>54</v>
      </c>
      <c r="B19" s="4"/>
      <c r="C19" s="5">
        <f t="shared" ref="C19:E19" si="8">(C8*24)*90</f>
        <v>2102.0326530612242</v>
      </c>
      <c r="D19" s="5">
        <f t="shared" si="8"/>
        <v>1943.3886792452831</v>
      </c>
      <c r="E19" s="5">
        <f t="shared" si="8"/>
        <v>1807.0105263157893</v>
      </c>
      <c r="G19" s="4" t="s">
        <v>54</v>
      </c>
      <c r="H19" s="4"/>
      <c r="I19" s="5">
        <f t="shared" ref="I19:K19" si="9">(I8*24)*90</f>
        <v>3029.4000000000005</v>
      </c>
      <c r="J19" s="5">
        <f t="shared" si="9"/>
        <v>2985.4956521739132</v>
      </c>
      <c r="K19" s="5">
        <f t="shared" si="9"/>
        <v>2942.8457142857137</v>
      </c>
    </row>
    <row r="20" spans="1:11" ht="13" x14ac:dyDescent="0.15">
      <c r="A20" s="4" t="s">
        <v>63</v>
      </c>
      <c r="B20" s="4"/>
      <c r="C20" s="5">
        <f t="shared" ref="C20:E20" si="10">C19-C16</f>
        <v>-1910.2173469387758</v>
      </c>
      <c r="D20" s="5">
        <f t="shared" si="10"/>
        <v>-2068.8613207547169</v>
      </c>
      <c r="E20" s="5">
        <f t="shared" si="10"/>
        <v>-2205.2394736842107</v>
      </c>
      <c r="G20" s="4" t="s">
        <v>63</v>
      </c>
      <c r="H20" s="4"/>
      <c r="I20" s="5">
        <f t="shared" ref="I20:K20" si="11">I19-I16</f>
        <v>-982.84999999999945</v>
      </c>
      <c r="J20" s="5">
        <f t="shared" si="11"/>
        <v>-1026.7543478260868</v>
      </c>
      <c r="K20" s="5">
        <f t="shared" si="11"/>
        <v>-1069.4042857142863</v>
      </c>
    </row>
    <row r="21" spans="1:11" ht="13" x14ac:dyDescent="0.15">
      <c r="A21" s="4" t="s">
        <v>55</v>
      </c>
      <c r="B21" s="4"/>
      <c r="C21" s="5">
        <f t="shared" ref="C21:E21" si="12">(C9*24)*90</f>
        <v>1021.8214285714287</v>
      </c>
      <c r="D21" s="5">
        <f t="shared" si="12"/>
        <v>944.70283018867951</v>
      </c>
      <c r="E21" s="5">
        <f t="shared" si="12"/>
        <v>878.4078947368422</v>
      </c>
      <c r="G21" s="4" t="s">
        <v>55</v>
      </c>
      <c r="H21" s="4"/>
      <c r="I21" s="5">
        <f t="shared" ref="I21:K21" si="13">(I9*24)*90</f>
        <v>1472.6250000000005</v>
      </c>
      <c r="J21" s="5">
        <f t="shared" si="13"/>
        <v>1451.2826086956522</v>
      </c>
      <c r="K21" s="5">
        <f t="shared" si="13"/>
        <v>1430.5500000000002</v>
      </c>
    </row>
    <row r="22" spans="1:11" ht="13" x14ac:dyDescent="0.15">
      <c r="A22" s="4" t="s">
        <v>63</v>
      </c>
      <c r="B22" s="4"/>
      <c r="C22" s="5">
        <f t="shared" ref="C22:E22" si="14">C21-C16</f>
        <v>-2990.4285714285716</v>
      </c>
      <c r="D22" s="5">
        <f t="shared" si="14"/>
        <v>-3067.5471698113206</v>
      </c>
      <c r="E22" s="5">
        <f t="shared" si="14"/>
        <v>-3133.8421052631579</v>
      </c>
      <c r="G22" s="4" t="s">
        <v>63</v>
      </c>
      <c r="H22" s="4"/>
      <c r="I22" s="5">
        <f t="shared" ref="I22:K22" si="15">I21-I16</f>
        <v>-2539.6249999999995</v>
      </c>
      <c r="J22" s="5">
        <f t="shared" si="15"/>
        <v>-2560.967391304348</v>
      </c>
      <c r="K22" s="5">
        <f t="shared" si="15"/>
        <v>-2581.6999999999998</v>
      </c>
    </row>
    <row r="23" spans="1:11" ht="13" x14ac:dyDescent="0.15">
      <c r="A23" s="4" t="s">
        <v>56</v>
      </c>
      <c r="B23" s="4"/>
      <c r="C23" s="5">
        <f t="shared" ref="C23:E23" si="16">(C10*24)*90</f>
        <v>4736.8721938775516</v>
      </c>
      <c r="D23" s="5">
        <f t="shared" si="16"/>
        <v>4379.3724056603778</v>
      </c>
      <c r="E23" s="5">
        <f t="shared" si="16"/>
        <v>4072.0480263157897</v>
      </c>
      <c r="G23" s="4" t="s">
        <v>56</v>
      </c>
      <c r="H23" s="4"/>
      <c r="I23" s="5">
        <f t="shared" ref="I23:K23" si="17">(I10*24)*90</f>
        <v>6826.6687500000007</v>
      </c>
      <c r="J23" s="5">
        <f t="shared" si="17"/>
        <v>6727.7315217391306</v>
      </c>
      <c r="K23" s="5">
        <f t="shared" si="17"/>
        <v>6631.6210714285717</v>
      </c>
    </row>
    <row r="24" spans="1:11" ht="13" x14ac:dyDescent="0.15">
      <c r="A24" s="4" t="s">
        <v>63</v>
      </c>
      <c r="B24" s="4"/>
      <c r="C24" s="5">
        <f t="shared" ref="C24:E24" si="18">C23-C16</f>
        <v>724.62219387755158</v>
      </c>
      <c r="D24" s="5">
        <f t="shared" si="18"/>
        <v>367.12240566037781</v>
      </c>
      <c r="E24" s="5">
        <f t="shared" si="18"/>
        <v>59.798026315789684</v>
      </c>
      <c r="G24" s="4" t="s">
        <v>63</v>
      </c>
      <c r="H24" s="4"/>
      <c r="I24" s="5">
        <f t="shared" ref="I24:K24" si="19">I23-I16</f>
        <v>2814.4187500000007</v>
      </c>
      <c r="J24" s="5">
        <f t="shared" si="19"/>
        <v>2715.4815217391306</v>
      </c>
      <c r="K24" s="5">
        <f t="shared" si="19"/>
        <v>2619.3710714285717</v>
      </c>
    </row>
    <row r="25" spans="1:11" ht="13" x14ac:dyDescent="0.15">
      <c r="A25" s="3" t="s">
        <v>64</v>
      </c>
      <c r="B25" s="4"/>
      <c r="C25" s="5">
        <f t="shared" ref="C25:E25" si="20">SUM(C20,C22)</f>
        <v>-4900.6459183673469</v>
      </c>
      <c r="D25" s="5">
        <f t="shared" si="20"/>
        <v>-5136.4084905660375</v>
      </c>
      <c r="E25" s="5">
        <f t="shared" si="20"/>
        <v>-5339.0815789473691</v>
      </c>
      <c r="G25" s="3" t="s">
        <v>64</v>
      </c>
      <c r="H25" s="4"/>
      <c r="I25" s="5">
        <f t="shared" ref="I25:K25" si="21">SUM(I20,I22)</f>
        <v>-3522.474999999999</v>
      </c>
      <c r="J25" s="5">
        <f t="shared" si="21"/>
        <v>-3587.7217391304348</v>
      </c>
      <c r="K25" s="5">
        <f t="shared" si="21"/>
        <v>-3651.1042857142861</v>
      </c>
    </row>
    <row r="26" spans="1:11" ht="13" x14ac:dyDescent="0.15">
      <c r="A26" s="3" t="s">
        <v>65</v>
      </c>
      <c r="B26" s="4"/>
      <c r="C26" s="5">
        <f t="shared" ref="C26:E26" si="22">-C25*50</f>
        <v>245032.29591836734</v>
      </c>
      <c r="D26" s="5">
        <f t="shared" si="22"/>
        <v>256820.42452830187</v>
      </c>
      <c r="E26" s="5">
        <f t="shared" si="22"/>
        <v>266954.07894736843</v>
      </c>
      <c r="G26" s="3" t="s">
        <v>65</v>
      </c>
      <c r="H26" s="4"/>
      <c r="I26" s="4">
        <f t="shared" ref="I26:K26" si="23">-I25*50</f>
        <v>176123.74999999994</v>
      </c>
      <c r="J26" s="4">
        <f t="shared" si="23"/>
        <v>179386.08695652173</v>
      </c>
      <c r="K26" s="4">
        <f t="shared" si="23"/>
        <v>182555.21428571432</v>
      </c>
    </row>
    <row r="27" spans="1:11" ht="13" x14ac:dyDescent="0.15">
      <c r="A27" s="3" t="s">
        <v>66</v>
      </c>
      <c r="B27" s="4"/>
      <c r="C27" s="10">
        <f>C26*'Final sheet'!C5</f>
        <v>308740.69285714283</v>
      </c>
      <c r="D27" s="10">
        <f>D26*'Final sheet'!D5</f>
        <v>349275.77735849057</v>
      </c>
      <c r="E27" s="10">
        <f>E26*'Final sheet'!E5</f>
        <v>389752.9552631579</v>
      </c>
      <c r="G27" s="3" t="s">
        <v>66</v>
      </c>
      <c r="H27" s="4"/>
      <c r="I27" s="10">
        <f>I26*'Final sheet'!$C$5</f>
        <v>221915.92499999993</v>
      </c>
      <c r="J27" s="10">
        <f>J26*'Final sheet'!$C$5</f>
        <v>226026.46956521738</v>
      </c>
      <c r="K27" s="10">
        <f>K26*'Final sheet'!$C$5</f>
        <v>230019.57000000004</v>
      </c>
    </row>
    <row r="28" spans="1:11" ht="13" x14ac:dyDescent="0.15">
      <c r="A28" s="3" t="s">
        <v>67</v>
      </c>
      <c r="B28" s="4"/>
      <c r="C28" s="10">
        <f>IF(C27/('Final sheet'!$C$3)&lt;0,0,C27/('Final sheet'!$C$3))</f>
        <v>19.23737883090179</v>
      </c>
      <c r="D28" s="10">
        <f>IF(D27/('Final sheet'!$C$3)&lt;0,0,D27/('Final sheet'!$C$3))</f>
        <v>21.763086632094868</v>
      </c>
      <c r="E28" s="10">
        <f>IF(E27/('Final sheet'!$C$3)&lt;0,0,E27/('Final sheet'!$C$3))</f>
        <v>24.285186320839795</v>
      </c>
      <c r="G28" s="3" t="s">
        <v>67</v>
      </c>
      <c r="H28" s="4"/>
      <c r="I28" s="21">
        <f>IF(I27/('Final sheet'!$C$3)&lt;0,0,I27/('Final sheet'!$C$3))</f>
        <v>13.827398903358461</v>
      </c>
      <c r="J28" s="21">
        <f>IF(J27/('Final sheet'!$C$3)&lt;0,0,J27/('Final sheet'!$C$3))</f>
        <v>14.083523556932979</v>
      </c>
      <c r="K28" s="21">
        <f>IF(K27/('Final sheet'!$C$3)&lt;0,0,K27/('Final sheet'!$C$3))</f>
        <v>14.332330363262511</v>
      </c>
    </row>
    <row r="30" spans="1:11" ht="13" x14ac:dyDescent="0.15">
      <c r="A30" s="60" t="s">
        <v>68</v>
      </c>
      <c r="B30" s="57"/>
      <c r="C30" s="57"/>
      <c r="D30" s="57"/>
      <c r="E30" s="56"/>
      <c r="F30" s="22"/>
      <c r="G30" s="60" t="s">
        <v>68</v>
      </c>
      <c r="H30" s="57"/>
      <c r="I30" s="57"/>
      <c r="J30" s="57"/>
      <c r="K30" s="56"/>
    </row>
    <row r="31" spans="1:11" ht="13" x14ac:dyDescent="0.15">
      <c r="A31" s="23" t="s">
        <v>69</v>
      </c>
      <c r="B31" s="23"/>
      <c r="C31" s="24">
        <f t="shared" ref="C31:E31" si="24">SUM(C18,C24)</f>
        <v>2697.3262755102041</v>
      </c>
      <c r="D31" s="24">
        <f t="shared" si="24"/>
        <v>1888.1318396226416</v>
      </c>
      <c r="E31" s="24">
        <f t="shared" si="24"/>
        <v>1192.5085526315788</v>
      </c>
      <c r="F31" s="25"/>
      <c r="G31" s="23" t="s">
        <v>69</v>
      </c>
      <c r="H31" s="23"/>
      <c r="I31" s="24">
        <f t="shared" ref="I31:K31" si="25">SUM(I18,I24)</f>
        <v>7427.5437500000007</v>
      </c>
      <c r="J31" s="24">
        <f t="shared" si="25"/>
        <v>7203.6010869565207</v>
      </c>
      <c r="K31" s="24">
        <f t="shared" si="25"/>
        <v>6986.0567857142851</v>
      </c>
    </row>
    <row r="32" spans="1:11" ht="13" x14ac:dyDescent="0.15">
      <c r="A32" s="23" t="s">
        <v>70</v>
      </c>
      <c r="B32" s="23"/>
      <c r="C32" s="16">
        <v>8</v>
      </c>
      <c r="D32" s="16">
        <v>7</v>
      </c>
      <c r="E32" s="16">
        <v>6</v>
      </c>
      <c r="F32" s="26" t="s">
        <v>2</v>
      </c>
      <c r="G32" s="23" t="s">
        <v>70</v>
      </c>
      <c r="H32" s="23"/>
      <c r="I32" s="16">
        <v>8</v>
      </c>
      <c r="J32" s="16">
        <v>7</v>
      </c>
      <c r="K32" s="16">
        <v>6</v>
      </c>
    </row>
    <row r="33" spans="1:11" ht="13" x14ac:dyDescent="0.15">
      <c r="A33" s="23" t="s">
        <v>71</v>
      </c>
      <c r="B33" s="23"/>
      <c r="C33" s="16">
        <f t="shared" ref="C33:E33" si="26">C32*C31</f>
        <v>21578.610204081633</v>
      </c>
      <c r="D33" s="16">
        <f t="shared" si="26"/>
        <v>13216.922877358491</v>
      </c>
      <c r="E33" s="16">
        <f t="shared" si="26"/>
        <v>7155.0513157894729</v>
      </c>
      <c r="F33" s="25"/>
      <c r="G33" s="23" t="s">
        <v>71</v>
      </c>
      <c r="H33" s="23"/>
      <c r="I33" s="16">
        <f t="shared" ref="I33:K33" si="27">I32*I31</f>
        <v>59420.350000000006</v>
      </c>
      <c r="J33" s="16">
        <f t="shared" si="27"/>
        <v>50425.207608695644</v>
      </c>
      <c r="K33" s="16">
        <f t="shared" si="27"/>
        <v>41916.34071428571</v>
      </c>
    </row>
    <row r="34" spans="1:11" ht="13" x14ac:dyDescent="0.15">
      <c r="A34" s="23" t="s">
        <v>72</v>
      </c>
      <c r="B34" s="23"/>
      <c r="C34" s="16">
        <f>C33/'Final sheet'!$C$3</f>
        <v>1.3445454672616133</v>
      </c>
      <c r="D34" s="16">
        <f>D33/'Final sheet'!$C$3</f>
        <v>0.82353560205361653</v>
      </c>
      <c r="E34" s="16">
        <f>E33/'Final sheet'!$C$3</f>
        <v>0.44582536705025066</v>
      </c>
      <c r="F34" s="25"/>
      <c r="G34" s="23" t="s">
        <v>72</v>
      </c>
      <c r="H34" s="23"/>
      <c r="I34" s="16">
        <f>I33/'Final sheet'!$C$3</f>
        <v>3.7024331734064431</v>
      </c>
      <c r="J34" s="16">
        <f>J33/'Final sheet'!$C$3</f>
        <v>3.1419532437345405</v>
      </c>
      <c r="K34" s="16">
        <f>K33/'Final sheet'!$C$3</f>
        <v>2.6117727406246938</v>
      </c>
    </row>
    <row r="36" spans="1:11" ht="13" x14ac:dyDescent="0.15">
      <c r="A36" s="4" t="s">
        <v>73</v>
      </c>
      <c r="B36" s="4"/>
      <c r="C36" s="10">
        <f>SUM('Solar + Grid'!$E$3:$E$6)*C3</f>
        <v>342645.62499999994</v>
      </c>
      <c r="D36" s="10">
        <f>SUM('Solar + Grid'!$E$3:$E$6)*D3</f>
        <v>542522.23958333326</v>
      </c>
      <c r="E36" s="10">
        <f>SUM('Solar + Grid'!$E$3:$E$6)*E3</f>
        <v>742398.85416666651</v>
      </c>
      <c r="G36" s="4" t="s">
        <v>73</v>
      </c>
      <c r="H36" s="4"/>
      <c r="I36" s="10">
        <f>SUM('Solar + Grid'!$E$3:$E$6)*I3</f>
        <v>1142152.0833333333</v>
      </c>
      <c r="J36" s="10">
        <f>SUM('Solar + Grid'!$E$3:$E$6)*J3</f>
        <v>2170088.958333333</v>
      </c>
      <c r="K36" s="10">
        <f>SUM('Solar + Grid'!$E$3:$E$6)*K3</f>
        <v>3198025.833333333</v>
      </c>
    </row>
    <row r="38" spans="1:11" ht="13" x14ac:dyDescent="0.15">
      <c r="A38" s="4" t="s">
        <v>74</v>
      </c>
      <c r="B38" s="4"/>
      <c r="C38" s="10">
        <f t="shared" ref="C38:E38" si="28">C36/$B$12</f>
        <v>171322.81249999997</v>
      </c>
      <c r="D38" s="10">
        <f t="shared" si="28"/>
        <v>271261.11979166663</v>
      </c>
      <c r="E38" s="10">
        <f t="shared" si="28"/>
        <v>371199.42708333326</v>
      </c>
      <c r="G38" s="4" t="s">
        <v>74</v>
      </c>
      <c r="H38" s="4"/>
      <c r="I38" s="10">
        <f t="shared" ref="I38:K38" si="29">I36/$B$12</f>
        <v>571076.04166666663</v>
      </c>
      <c r="J38" s="10">
        <f t="shared" si="29"/>
        <v>1085044.4791666665</v>
      </c>
      <c r="K38" s="10">
        <f t="shared" si="29"/>
        <v>1599012.9166666665</v>
      </c>
    </row>
    <row r="40" spans="1:11" ht="13" x14ac:dyDescent="0.15">
      <c r="A40" s="4" t="s">
        <v>75</v>
      </c>
      <c r="B40" s="4"/>
      <c r="C40" s="10">
        <f t="shared" ref="C40:E40" si="30">C38/C14</f>
        <v>12.196141272258874</v>
      </c>
      <c r="D40" s="10">
        <f t="shared" si="30"/>
        <v>20.886929015586205</v>
      </c>
      <c r="E40" s="10">
        <f t="shared" si="30"/>
        <v>30.73925402293818</v>
      </c>
      <c r="G40" s="4" t="s">
        <v>75</v>
      </c>
      <c r="H40" s="4"/>
      <c r="I40" s="10">
        <f t="shared" ref="I40:K40" si="31">I38/I14</f>
        <v>28.208762126313047</v>
      </c>
      <c r="J40" s="10">
        <f t="shared" si="31"/>
        <v>54.384834040582952</v>
      </c>
      <c r="K40" s="10">
        <f t="shared" si="31"/>
        <v>81.307608481725836</v>
      </c>
    </row>
    <row r="43" spans="1:11" ht="13" x14ac:dyDescent="0.15">
      <c r="A43" s="27" t="s">
        <v>76</v>
      </c>
    </row>
    <row r="45" spans="1:11" ht="13" x14ac:dyDescent="0.15">
      <c r="A45" s="55" t="s">
        <v>77</v>
      </c>
      <c r="B45" s="57"/>
      <c r="C45" s="57"/>
      <c r="D45" s="57"/>
      <c r="E45" s="56"/>
      <c r="G45" s="55" t="s">
        <v>78</v>
      </c>
      <c r="H45" s="57"/>
      <c r="I45" s="57"/>
      <c r="J45" s="57"/>
      <c r="K45" s="56"/>
    </row>
    <row r="46" spans="1:11" ht="13" x14ac:dyDescent="0.15">
      <c r="A46" s="4" t="s">
        <v>79</v>
      </c>
      <c r="B46" s="7">
        <v>0.5</v>
      </c>
      <c r="C46" s="10">
        <f t="shared" ref="C46:E46" si="32">(C38*$B$46)/10</f>
        <v>8566.1406249999982</v>
      </c>
      <c r="D46" s="10">
        <f t="shared" si="32"/>
        <v>13563.055989583332</v>
      </c>
      <c r="E46" s="10">
        <f t="shared" si="32"/>
        <v>18559.971354166664</v>
      </c>
      <c r="G46" s="4" t="s">
        <v>80</v>
      </c>
      <c r="H46" s="28">
        <v>0.23499999999999999</v>
      </c>
      <c r="I46" s="10">
        <f t="shared" ref="I46:K46" si="33">$H$46*I38/5</f>
        <v>26840.573958333331</v>
      </c>
      <c r="J46" s="10">
        <f t="shared" si="33"/>
        <v>50997.090520833321</v>
      </c>
      <c r="K46" s="10">
        <f t="shared" si="33"/>
        <v>75153.607083333321</v>
      </c>
    </row>
    <row r="47" spans="1:11" ht="13" x14ac:dyDescent="0.15">
      <c r="A47" s="4" t="s">
        <v>81</v>
      </c>
      <c r="B47" s="7">
        <v>0.02</v>
      </c>
      <c r="C47" s="10">
        <f t="shared" ref="C47:E47" si="34">$B$47*C38</f>
        <v>3426.4562499999993</v>
      </c>
      <c r="D47" s="10">
        <f t="shared" si="34"/>
        <v>5425.2223958333325</v>
      </c>
      <c r="E47" s="10">
        <f t="shared" si="34"/>
        <v>7423.9885416666657</v>
      </c>
      <c r="G47" s="4" t="s">
        <v>81</v>
      </c>
      <c r="H47" s="7">
        <v>0.02</v>
      </c>
      <c r="I47" s="10">
        <f t="shared" ref="I47:K47" si="35">$H47*I$38</f>
        <v>11421.520833333332</v>
      </c>
      <c r="J47" s="10">
        <f t="shared" si="35"/>
        <v>21700.88958333333</v>
      </c>
      <c r="K47" s="10">
        <f t="shared" si="35"/>
        <v>31980.258333333331</v>
      </c>
    </row>
    <row r="48" spans="1:11" ht="13" x14ac:dyDescent="0.15">
      <c r="A48" s="4" t="s">
        <v>82</v>
      </c>
      <c r="B48" s="4"/>
      <c r="C48" s="10"/>
      <c r="D48" s="10"/>
      <c r="E48" s="10"/>
      <c r="G48" s="4" t="s">
        <v>82</v>
      </c>
      <c r="H48" s="4"/>
      <c r="I48" s="10"/>
      <c r="J48" s="10"/>
      <c r="K48" s="10"/>
    </row>
    <row r="49" spans="1:11" ht="13" x14ac:dyDescent="0.15">
      <c r="A49" s="4" t="s">
        <v>83</v>
      </c>
      <c r="B49" s="7">
        <v>0.33</v>
      </c>
      <c r="C49" s="10">
        <f t="shared" ref="C49:E49" si="36">$B$49*C38</f>
        <v>56536.52812499999</v>
      </c>
      <c r="D49" s="10">
        <f t="shared" si="36"/>
        <v>89516.169531249994</v>
      </c>
      <c r="E49" s="10">
        <f t="shared" si="36"/>
        <v>122495.81093749998</v>
      </c>
      <c r="G49" s="4" t="s">
        <v>83</v>
      </c>
      <c r="H49" s="7">
        <v>0.33</v>
      </c>
      <c r="I49" s="10">
        <f t="shared" ref="I49:K49" si="37">$H49*I$38</f>
        <v>188455.09375</v>
      </c>
      <c r="J49" s="10">
        <f t="shared" si="37"/>
        <v>358064.67812499998</v>
      </c>
      <c r="K49" s="10">
        <f t="shared" si="37"/>
        <v>527674.26249999995</v>
      </c>
    </row>
    <row r="50" spans="1:11" ht="13" x14ac:dyDescent="0.15">
      <c r="A50" s="4" t="s">
        <v>84</v>
      </c>
      <c r="B50" s="7">
        <v>0.35</v>
      </c>
      <c r="C50" s="10">
        <f t="shared" ref="C50:E50" si="38">$B$50*C38</f>
        <v>59962.984374999985</v>
      </c>
      <c r="D50" s="10">
        <f t="shared" si="38"/>
        <v>94941.391927083314</v>
      </c>
      <c r="E50" s="10">
        <f t="shared" si="38"/>
        <v>129919.79947916663</v>
      </c>
      <c r="G50" s="4" t="s">
        <v>84</v>
      </c>
      <c r="H50" s="7">
        <v>0.35</v>
      </c>
      <c r="I50" s="10">
        <f t="shared" ref="I50:K50" si="39">$H50*I$38</f>
        <v>199876.61458333331</v>
      </c>
      <c r="J50" s="10">
        <f t="shared" si="39"/>
        <v>379765.56770833326</v>
      </c>
      <c r="K50" s="10">
        <f t="shared" si="39"/>
        <v>559654.52083333326</v>
      </c>
    </row>
    <row r="51" spans="1:11" ht="13" x14ac:dyDescent="0.15">
      <c r="A51" s="4" t="s">
        <v>85</v>
      </c>
      <c r="B51" s="7">
        <v>0.12</v>
      </c>
      <c r="C51" s="10">
        <f t="shared" ref="C51:E51" si="40">$B$51*C38</f>
        <v>20558.737499999996</v>
      </c>
      <c r="D51" s="10">
        <f t="shared" si="40"/>
        <v>32551.334374999995</v>
      </c>
      <c r="E51" s="10">
        <f t="shared" si="40"/>
        <v>44543.931249999987</v>
      </c>
      <c r="G51" s="4" t="s">
        <v>85</v>
      </c>
      <c r="H51" s="7">
        <v>0.12</v>
      </c>
      <c r="I51" s="10">
        <f t="shared" ref="I51:K51" si="41">$H51*I$38</f>
        <v>68529.125</v>
      </c>
      <c r="J51" s="10">
        <f t="shared" si="41"/>
        <v>130205.33749999998</v>
      </c>
      <c r="K51" s="10">
        <f t="shared" si="41"/>
        <v>191881.55</v>
      </c>
    </row>
    <row r="52" spans="1:11" ht="13" x14ac:dyDescent="0.15">
      <c r="A52" s="4" t="s">
        <v>86</v>
      </c>
      <c r="B52" s="7">
        <v>0.13</v>
      </c>
      <c r="C52" s="10">
        <f t="shared" ref="C52:E52" si="42">$B$52*C38</f>
        <v>22271.965624999997</v>
      </c>
      <c r="D52" s="10">
        <f t="shared" si="42"/>
        <v>35263.945572916666</v>
      </c>
      <c r="E52" s="10">
        <f t="shared" si="42"/>
        <v>48255.925520833327</v>
      </c>
      <c r="G52" s="4" t="s">
        <v>86</v>
      </c>
      <c r="H52" s="7">
        <v>0.13</v>
      </c>
      <c r="I52" s="10">
        <f t="shared" ref="I52:K52" si="43">$H52*I$38</f>
        <v>74239.885416666657</v>
      </c>
      <c r="J52" s="10">
        <f t="shared" si="43"/>
        <v>141055.78229166666</v>
      </c>
      <c r="K52" s="10">
        <f t="shared" si="43"/>
        <v>207871.67916666664</v>
      </c>
    </row>
    <row r="53" spans="1:11" ht="13" x14ac:dyDescent="0.15">
      <c r="A53" s="4" t="s">
        <v>87</v>
      </c>
      <c r="B53" s="4"/>
      <c r="C53" s="10"/>
      <c r="D53" s="10"/>
      <c r="E53" s="10"/>
      <c r="G53" s="4" t="s">
        <v>87</v>
      </c>
      <c r="H53" s="4"/>
      <c r="I53" s="10"/>
      <c r="J53" s="10"/>
      <c r="K53" s="10"/>
    </row>
    <row r="54" spans="1:11" ht="13" x14ac:dyDescent="0.15">
      <c r="A54" s="4" t="s">
        <v>88</v>
      </c>
      <c r="B54" s="4">
        <v>0.5</v>
      </c>
      <c r="C54" s="10">
        <f t="shared" ref="C54:E54" si="44">$B$54*11166</f>
        <v>5583</v>
      </c>
      <c r="D54" s="10">
        <f t="shared" si="44"/>
        <v>5583</v>
      </c>
      <c r="E54" s="10">
        <f t="shared" si="44"/>
        <v>5583</v>
      </c>
      <c r="G54" s="4" t="s">
        <v>88</v>
      </c>
      <c r="H54" s="4">
        <v>0.5</v>
      </c>
      <c r="I54" s="10">
        <f t="shared" ref="I54:K54" si="45">$H$54*11166*$B$12</f>
        <v>11166</v>
      </c>
      <c r="J54" s="10">
        <f t="shared" si="45"/>
        <v>11166</v>
      </c>
      <c r="K54" s="10">
        <f t="shared" si="45"/>
        <v>11166</v>
      </c>
    </row>
    <row r="55" spans="1:11" ht="13" x14ac:dyDescent="0.15">
      <c r="A55" s="4" t="s">
        <v>89</v>
      </c>
      <c r="B55" s="4">
        <v>4.1200000000000004E-3</v>
      </c>
      <c r="C55" s="10">
        <f t="shared" ref="C55:E55" si="46">$B$55*9*100*365</f>
        <v>1353.42</v>
      </c>
      <c r="D55" s="10">
        <f t="shared" si="46"/>
        <v>1353.42</v>
      </c>
      <c r="E55" s="10">
        <f t="shared" si="46"/>
        <v>1353.42</v>
      </c>
      <c r="G55" s="4" t="s">
        <v>89</v>
      </c>
      <c r="H55" s="4">
        <v>4.1200000000000004E-3</v>
      </c>
      <c r="I55" s="10">
        <f t="shared" ref="I55:K55" si="47">$H$55*9*100*365</f>
        <v>1353.42</v>
      </c>
      <c r="J55" s="10">
        <f t="shared" si="47"/>
        <v>1353.42</v>
      </c>
      <c r="K55" s="10">
        <f t="shared" si="47"/>
        <v>1353.42</v>
      </c>
    </row>
    <row r="57" spans="1:11" ht="13" x14ac:dyDescent="0.15">
      <c r="A57" s="4" t="s">
        <v>90</v>
      </c>
      <c r="B57" s="4"/>
      <c r="C57" s="10">
        <f t="shared" ref="C57:E57" si="48">SUM(C46:C55)</f>
        <v>178259.23249999995</v>
      </c>
      <c r="D57" s="10">
        <f t="shared" si="48"/>
        <v>278197.53979166661</v>
      </c>
      <c r="E57" s="10">
        <f t="shared" si="48"/>
        <v>378135.84708333324</v>
      </c>
      <c r="G57" s="4" t="s">
        <v>90</v>
      </c>
      <c r="H57" s="4"/>
      <c r="I57" s="10">
        <f t="shared" ref="I57:K57" si="49">SUM(I46:I55)</f>
        <v>581882.23354166665</v>
      </c>
      <c r="J57" s="10">
        <f t="shared" si="49"/>
        <v>1094308.7657291666</v>
      </c>
      <c r="K57" s="10">
        <f t="shared" si="49"/>
        <v>1606735.2979166664</v>
      </c>
    </row>
    <row r="59" spans="1:11" ht="13" x14ac:dyDescent="0.15">
      <c r="A59" s="4" t="s">
        <v>91</v>
      </c>
      <c r="B59" s="4"/>
      <c r="C59" s="10">
        <f>C38+C57</f>
        <v>349582.04499999993</v>
      </c>
      <c r="D59" s="10">
        <f t="shared" ref="D59:E59" si="50">D57+D38</f>
        <v>549458.65958333318</v>
      </c>
      <c r="E59" s="10">
        <f t="shared" si="50"/>
        <v>749335.27416666644</v>
      </c>
      <c r="G59" s="4" t="s">
        <v>91</v>
      </c>
      <c r="H59" s="4"/>
      <c r="I59" s="10">
        <f t="shared" ref="I59:K59" si="51">I57+I38</f>
        <v>1152958.2752083333</v>
      </c>
      <c r="J59" s="10">
        <f t="shared" si="51"/>
        <v>2179353.2448958331</v>
      </c>
      <c r="K59" s="10">
        <f t="shared" si="51"/>
        <v>3205748.2145833327</v>
      </c>
    </row>
    <row r="60" spans="1:11" ht="13" x14ac:dyDescent="0.15">
      <c r="A60" s="4" t="s">
        <v>92</v>
      </c>
      <c r="B60" s="4"/>
      <c r="C60" s="29">
        <f t="shared" ref="C60:E60" si="52">C59/(C14)+C28</f>
        <v>44.123451764505766</v>
      </c>
      <c r="D60" s="29">
        <f t="shared" si="52"/>
        <v>64.071044471870749</v>
      </c>
      <c r="E60" s="29">
        <f t="shared" si="52"/>
        <v>86.338103594836866</v>
      </c>
      <c r="G60" s="4" t="s">
        <v>92</v>
      </c>
      <c r="H60" s="4"/>
      <c r="I60" s="16">
        <f t="shared" ref="I60:K60" si="53">(I59/I14)+I28</f>
        <v>70.778703727838945</v>
      </c>
      <c r="J60" s="16">
        <f t="shared" si="53"/>
        <v>123.31753821271388</v>
      </c>
      <c r="K60" s="16">
        <f t="shared" si="53"/>
        <v>177.34021979650916</v>
      </c>
    </row>
    <row r="61" spans="1:11" ht="13" x14ac:dyDescent="0.15">
      <c r="A61" s="4" t="s">
        <v>93</v>
      </c>
      <c r="B61" s="4"/>
      <c r="C61" s="16">
        <f t="shared" ref="C61:E61" si="54">C59/(C14)+C28-C34</f>
        <v>42.778906297244156</v>
      </c>
      <c r="D61" s="16">
        <f t="shared" si="54"/>
        <v>63.247508869817132</v>
      </c>
      <c r="E61" s="16">
        <f t="shared" si="54"/>
        <v>85.892278227786619</v>
      </c>
      <c r="G61" s="4" t="s">
        <v>93</v>
      </c>
      <c r="H61" s="4"/>
      <c r="I61" s="16">
        <f t="shared" ref="I61:K61" si="55">(I59/I14)+I28-I34</f>
        <v>67.076270554432497</v>
      </c>
      <c r="J61" s="16">
        <f t="shared" si="55"/>
        <v>120.17558496897935</v>
      </c>
      <c r="K61" s="16">
        <f t="shared" si="55"/>
        <v>174.72844705588446</v>
      </c>
    </row>
    <row r="62" spans="1:11" ht="13" x14ac:dyDescent="0.15">
      <c r="A62" s="4" t="s">
        <v>94</v>
      </c>
      <c r="B62" s="4"/>
      <c r="C62" s="58">
        <f>AVERAGE(C60:E60)</f>
        <v>64.844199943737792</v>
      </c>
      <c r="D62" s="57"/>
      <c r="E62" s="56"/>
      <c r="G62" s="4" t="s">
        <v>95</v>
      </c>
      <c r="H62" s="4"/>
      <c r="I62" s="58">
        <f>AVERAGE(I61:K61)</f>
        <v>120.66010085976545</v>
      </c>
      <c r="J62" s="57"/>
      <c r="K62" s="56"/>
    </row>
    <row r="63" spans="1:11" ht="13" x14ac:dyDescent="0.15">
      <c r="C63" s="13"/>
      <c r="D63" s="13"/>
      <c r="E63" s="13"/>
    </row>
    <row r="64" spans="1:11" ht="13" x14ac:dyDescent="0.15">
      <c r="A64" s="55" t="s">
        <v>96</v>
      </c>
      <c r="B64" s="57"/>
      <c r="C64" s="57"/>
      <c r="D64" s="57"/>
      <c r="E64" s="56"/>
      <c r="G64" s="55" t="s">
        <v>97</v>
      </c>
      <c r="H64" s="57"/>
      <c r="I64" s="57"/>
      <c r="J64" s="57"/>
      <c r="K64" s="56"/>
    </row>
    <row r="65" spans="1:11" ht="13" x14ac:dyDescent="0.15">
      <c r="A65" s="4" t="s">
        <v>98</v>
      </c>
      <c r="B65" s="4"/>
      <c r="C65" s="10">
        <v>42.778906297244156</v>
      </c>
      <c r="D65" s="10">
        <v>63.247508869817132</v>
      </c>
      <c r="E65" s="10">
        <v>85.892278227786619</v>
      </c>
      <c r="F65" s="11" t="s">
        <v>2</v>
      </c>
      <c r="G65" s="4" t="s">
        <v>98</v>
      </c>
      <c r="H65" s="4"/>
      <c r="I65" s="10">
        <v>56.951304824480481</v>
      </c>
      <c r="J65" s="10">
        <v>109.23401465578091</v>
      </c>
      <c r="K65" s="10">
        <v>163.00788943324665</v>
      </c>
    </row>
    <row r="66" spans="1:11" ht="13" x14ac:dyDescent="0.15">
      <c r="A66" s="4" t="s">
        <v>99</v>
      </c>
      <c r="B66" s="10">
        <f>100000/B12</f>
        <v>50000</v>
      </c>
      <c r="C66" s="10">
        <f>$C$59+B66</f>
        <v>399582.04499999993</v>
      </c>
      <c r="D66" s="10">
        <f t="shared" ref="D66:E66" si="56">D59+$B$66</f>
        <v>599458.65958333318</v>
      </c>
      <c r="E66" s="10">
        <f t="shared" si="56"/>
        <v>799335.27416666644</v>
      </c>
      <c r="G66" s="4" t="s">
        <v>99</v>
      </c>
      <c r="H66" s="4">
        <f>100000/B12</f>
        <v>50000</v>
      </c>
      <c r="I66" s="10">
        <f t="shared" ref="I66:K66" si="57">I59+H66</f>
        <v>1202958.2752083333</v>
      </c>
      <c r="J66" s="10">
        <f t="shared" si="57"/>
        <v>3382311.5201041661</v>
      </c>
      <c r="K66" s="10">
        <f t="shared" si="57"/>
        <v>6588059.7346874988</v>
      </c>
    </row>
    <row r="67" spans="1:11" ht="13" x14ac:dyDescent="0.15">
      <c r="A67" s="4" t="s">
        <v>100</v>
      </c>
      <c r="B67" s="4"/>
      <c r="C67" s="10">
        <v>29.740014132031042</v>
      </c>
      <c r="D67" s="10">
        <v>45.943405335588864</v>
      </c>
      <c r="E67" s="10">
        <v>63.650055786401786</v>
      </c>
      <c r="G67" s="4" t="s">
        <v>101</v>
      </c>
      <c r="H67" s="4"/>
      <c r="I67" s="10">
        <f t="shared" ref="I67:K67" si="58">I66/(I14)</f>
        <v>59.421095191100193</v>
      </c>
      <c r="J67" s="10">
        <f t="shared" si="58"/>
        <v>169.52894948204434</v>
      </c>
      <c r="K67" s="10">
        <f t="shared" si="58"/>
        <v>334.99378021213221</v>
      </c>
    </row>
    <row r="68" spans="1:11" ht="13" x14ac:dyDescent="0.15">
      <c r="A68" s="4" t="s">
        <v>102</v>
      </c>
      <c r="B68" s="20"/>
      <c r="C68" s="12">
        <f t="shared" ref="C68:E68" si="59">(C67-C65)/C65</f>
        <v>-0.30479723054661373</v>
      </c>
      <c r="D68" s="12">
        <f t="shared" si="59"/>
        <v>-0.27359344017557191</v>
      </c>
      <c r="E68" s="12">
        <f t="shared" si="59"/>
        <v>-0.2589548548520087</v>
      </c>
      <c r="G68" s="4" t="s">
        <v>103</v>
      </c>
      <c r="H68" s="4"/>
      <c r="I68" s="30">
        <f t="shared" ref="I68:K68" si="60">(I67-I65)/I65</f>
        <v>4.3366703787233937E-2</v>
      </c>
      <c r="J68" s="30">
        <f t="shared" si="60"/>
        <v>0.55197948199803237</v>
      </c>
      <c r="K68" s="30">
        <f t="shared" si="60"/>
        <v>1.0550770970463703</v>
      </c>
    </row>
    <row r="69" spans="1:11" ht="16.5" customHeight="1" x14ac:dyDescent="0.15">
      <c r="A69" s="1"/>
      <c r="F69" s="9"/>
      <c r="G69" s="1"/>
    </row>
    <row r="70" spans="1:11" ht="16.5" customHeight="1" x14ac:dyDescent="0.15">
      <c r="A70" s="55" t="s">
        <v>104</v>
      </c>
      <c r="B70" s="57"/>
      <c r="C70" s="57"/>
      <c r="D70" s="57"/>
      <c r="E70" s="56"/>
      <c r="F70" s="11" t="s">
        <v>2</v>
      </c>
      <c r="G70" s="55" t="s">
        <v>105</v>
      </c>
      <c r="H70" s="57"/>
      <c r="I70" s="57"/>
      <c r="J70" s="57"/>
      <c r="K70" s="56"/>
    </row>
    <row r="71" spans="1:11" ht="13" x14ac:dyDescent="0.15">
      <c r="A71" s="31" t="s">
        <v>106</v>
      </c>
      <c r="B71" s="4"/>
      <c r="C71" s="10">
        <f>163000/$B$12</f>
        <v>81500</v>
      </c>
      <c r="D71" s="10">
        <f>200000/$B$12</f>
        <v>100000</v>
      </c>
      <c r="E71" s="10">
        <f>262500/B12</f>
        <v>131250</v>
      </c>
      <c r="G71" s="31" t="s">
        <v>106</v>
      </c>
      <c r="H71" s="4"/>
      <c r="I71" s="10">
        <f>163000/$B$12</f>
        <v>81500</v>
      </c>
      <c r="J71" s="10">
        <f>200000/$B$12</f>
        <v>100000</v>
      </c>
      <c r="K71" s="10">
        <f>262500/$B$12</f>
        <v>131250</v>
      </c>
    </row>
    <row r="72" spans="1:11" ht="13" x14ac:dyDescent="0.15">
      <c r="A72" s="4" t="s">
        <v>107</v>
      </c>
      <c r="B72" s="4"/>
      <c r="C72" s="10">
        <f t="shared" ref="C72:E72" si="61">(C59+C71)</f>
        <v>431082.04499999993</v>
      </c>
      <c r="D72" s="10">
        <f t="shared" si="61"/>
        <v>649458.65958333318</v>
      </c>
      <c r="E72" s="10">
        <f t="shared" si="61"/>
        <v>880585.27416666644</v>
      </c>
      <c r="G72" s="4" t="s">
        <v>107</v>
      </c>
      <c r="H72" s="4"/>
      <c r="I72" s="10">
        <f t="shared" ref="I72:K72" si="62">I59+I71</f>
        <v>1234458.2752083333</v>
      </c>
      <c r="J72" s="10">
        <f t="shared" si="62"/>
        <v>2279353.2448958331</v>
      </c>
      <c r="K72" s="10">
        <f t="shared" si="62"/>
        <v>3336998.2145833327</v>
      </c>
    </row>
    <row r="73" spans="1:11" ht="13" x14ac:dyDescent="0.15">
      <c r="A73" s="32" t="s">
        <v>108</v>
      </c>
      <c r="B73" s="33"/>
      <c r="C73" s="34">
        <f t="shared" ref="C73:E73" si="63">C72/(C14)</f>
        <v>30.68790106836623</v>
      </c>
      <c r="D73" s="34">
        <f t="shared" si="63"/>
        <v>50.007892512178515</v>
      </c>
      <c r="E73" s="34">
        <f t="shared" si="63"/>
        <v>72.921810909452219</v>
      </c>
      <c r="F73" s="35"/>
      <c r="G73" s="32" t="s">
        <v>108</v>
      </c>
      <c r="H73" s="4"/>
      <c r="I73" s="36">
        <f t="shared" ref="I73:K73" si="64">I72/(I14)</f>
        <v>60.977063122070611</v>
      </c>
      <c r="J73" s="36">
        <f t="shared" si="64"/>
        <v>114.24623628215622</v>
      </c>
      <c r="K73" s="36">
        <f t="shared" si="64"/>
        <v>169.68177149010506</v>
      </c>
    </row>
    <row r="74" spans="1:11" ht="13" x14ac:dyDescent="0.15">
      <c r="A74" s="37"/>
      <c r="B74" s="17"/>
      <c r="C74" s="38"/>
      <c r="D74" s="38"/>
      <c r="E74" s="38"/>
    </row>
    <row r="75" spans="1:11" ht="13" x14ac:dyDescent="0.15">
      <c r="A75" s="39"/>
      <c r="B75" s="40"/>
      <c r="C75" s="40"/>
      <c r="D75" s="40"/>
    </row>
    <row r="76" spans="1:11" ht="13" x14ac:dyDescent="0.15">
      <c r="A76" s="39"/>
      <c r="B76" s="40"/>
      <c r="C76" s="40"/>
      <c r="D76" s="40"/>
    </row>
    <row r="77" spans="1:11" ht="13" x14ac:dyDescent="0.15">
      <c r="A77" s="39"/>
      <c r="B77" s="40"/>
      <c r="C77" s="40"/>
      <c r="D77" s="40"/>
    </row>
    <row r="78" spans="1:11" ht="13" x14ac:dyDescent="0.15">
      <c r="B78" s="40"/>
      <c r="C78" s="40"/>
      <c r="D78" s="40"/>
    </row>
  </sheetData>
  <mergeCells count="14">
    <mergeCell ref="A70:E70"/>
    <mergeCell ref="G70:K70"/>
    <mergeCell ref="A1:E1"/>
    <mergeCell ref="G1:K1"/>
    <mergeCell ref="C6:E6"/>
    <mergeCell ref="I6:K6"/>
    <mergeCell ref="A30:E30"/>
    <mergeCell ref="G30:K30"/>
    <mergeCell ref="G45:K45"/>
    <mergeCell ref="A45:E45"/>
    <mergeCell ref="C62:E62"/>
    <mergeCell ref="I62:K62"/>
    <mergeCell ref="A64:E64"/>
    <mergeCell ref="G64:K64"/>
  </mergeCells>
  <hyperlinks>
    <hyperlink ref="F32" r:id="rId1" location=":~:text=Recent%20studies%20have%20put%20the,range%20of%206%2D8%20euros." xr:uid="{00000000-0004-0000-0100-000000000000}"/>
    <hyperlink ref="F65" r:id="rId2" xr:uid="{00000000-0004-0000-0100-000001000000}"/>
    <hyperlink ref="F70" r:id="rId3" location=":~:text=You%20might%20expect%20to%20pay%20%24262%2C500.00%20for,of%20150kW%20solar%20power%20system.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2"/>
  <sheetViews>
    <sheetView workbookViewId="0"/>
  </sheetViews>
  <sheetFormatPr baseColWidth="10" defaultColWidth="12.6640625" defaultRowHeight="15.75" customHeight="1" x14ac:dyDescent="0.15"/>
  <cols>
    <col min="1" max="1" width="29.6640625" customWidth="1"/>
  </cols>
  <sheetData>
    <row r="1" spans="1:5" ht="15.75" customHeight="1" x14ac:dyDescent="0.15">
      <c r="A1" s="3" t="s">
        <v>109</v>
      </c>
      <c r="B1" s="4"/>
      <c r="C1" s="3" t="s">
        <v>32</v>
      </c>
      <c r="D1" s="3" t="s">
        <v>33</v>
      </c>
      <c r="E1" s="3" t="s">
        <v>34</v>
      </c>
    </row>
    <row r="2" spans="1:5" ht="15.75" customHeight="1" x14ac:dyDescent="0.15">
      <c r="A2" s="3" t="s">
        <v>110</v>
      </c>
      <c r="B2" s="4"/>
      <c r="C2" s="10">
        <v>47000</v>
      </c>
      <c r="D2" s="10">
        <v>89300</v>
      </c>
      <c r="E2" s="10">
        <v>131600</v>
      </c>
    </row>
    <row r="3" spans="1:5" ht="15.75" customHeight="1" x14ac:dyDescent="0.15">
      <c r="A3" s="1"/>
      <c r="C3" s="13"/>
      <c r="D3" s="13"/>
      <c r="E3" s="13"/>
    </row>
    <row r="4" spans="1:5" ht="15.75" customHeight="1" x14ac:dyDescent="0.15">
      <c r="A4" s="3" t="s">
        <v>111</v>
      </c>
      <c r="B4" s="7">
        <v>0.03</v>
      </c>
      <c r="C4" s="10">
        <f t="shared" ref="C4:E4" si="0">C2*$B$4</f>
        <v>1410</v>
      </c>
      <c r="D4" s="10">
        <f t="shared" si="0"/>
        <v>2679</v>
      </c>
      <c r="E4" s="10">
        <f t="shared" si="0"/>
        <v>3948</v>
      </c>
    </row>
    <row r="5" spans="1:5" ht="15.75" customHeight="1" x14ac:dyDescent="0.15">
      <c r="A5" s="9"/>
      <c r="B5" s="9"/>
      <c r="C5" s="9"/>
      <c r="D5" s="9"/>
      <c r="E5" s="9"/>
    </row>
    <row r="6" spans="1:5" ht="15.75" customHeight="1" x14ac:dyDescent="0.15">
      <c r="A6" s="3" t="s">
        <v>112</v>
      </c>
      <c r="B6" s="3" t="s">
        <v>29</v>
      </c>
      <c r="C6" s="4">
        <v>2</v>
      </c>
      <c r="D6" s="4">
        <v>3</v>
      </c>
      <c r="E6" s="4">
        <v>4</v>
      </c>
    </row>
    <row r="7" spans="1:5" ht="15.75" customHeight="1" x14ac:dyDescent="0.15">
      <c r="A7" s="3"/>
      <c r="B7" s="3" t="s">
        <v>113</v>
      </c>
      <c r="C7" s="6">
        <f>C6*Electrolyzer!C14</f>
        <v>28094.592982403014</v>
      </c>
      <c r="D7" s="6">
        <f>D6*Electrolyzer!D14</f>
        <v>38961.36951333248</v>
      </c>
      <c r="E7" s="6">
        <f>E6*Electrolyzer!E14</f>
        <v>48302.984425885887</v>
      </c>
    </row>
    <row r="8" spans="1:5" ht="15.75" customHeight="1" x14ac:dyDescent="0.15">
      <c r="A8" s="3"/>
      <c r="B8" s="3" t="s">
        <v>30</v>
      </c>
      <c r="C8" s="6">
        <f t="shared" ref="C8:E8" si="1">C7/365</f>
        <v>76.971487623021957</v>
      </c>
      <c r="D8" s="6">
        <f t="shared" si="1"/>
        <v>106.74347811871912</v>
      </c>
      <c r="E8" s="6">
        <f t="shared" si="1"/>
        <v>132.33694363256407</v>
      </c>
    </row>
    <row r="9" spans="1:5" ht="15.75" customHeight="1" x14ac:dyDescent="0.15">
      <c r="A9" s="3"/>
      <c r="B9" s="3" t="s">
        <v>29</v>
      </c>
      <c r="C9" s="6">
        <f t="shared" ref="C9:E9" si="2">C8/24</f>
        <v>3.207145317625915</v>
      </c>
      <c r="D9" s="6">
        <f t="shared" si="2"/>
        <v>4.4476449216132972</v>
      </c>
      <c r="E9" s="6">
        <f t="shared" si="2"/>
        <v>5.514039318023503</v>
      </c>
    </row>
    <row r="11" spans="1:5" ht="15.75" customHeight="1" x14ac:dyDescent="0.15">
      <c r="A11" s="3" t="s">
        <v>114</v>
      </c>
      <c r="B11" s="4"/>
      <c r="C11" s="10">
        <f t="shared" ref="C11:E11" si="3">SUM(C2:C4)</f>
        <v>48410</v>
      </c>
      <c r="D11" s="10">
        <f t="shared" si="3"/>
        <v>91979</v>
      </c>
      <c r="E11" s="10">
        <f t="shared" si="3"/>
        <v>135548</v>
      </c>
    </row>
    <row r="12" spans="1:5" ht="15.75" customHeight="1" x14ac:dyDescent="0.15">
      <c r="A12" s="3" t="s">
        <v>115</v>
      </c>
      <c r="B12" s="4"/>
      <c r="C12" s="10">
        <f>C11/'Solar + Grid'!$I$11</f>
        <v>3.0163873138513302</v>
      </c>
      <c r="D12" s="10">
        <f>D11/'Solar + Grid'!$I$11</f>
        <v>5.7311358963175278</v>
      </c>
      <c r="E12" s="10">
        <f>E11/'Solar + Grid'!$I$11</f>
        <v>8.4458844787837251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5"/>
  <sheetViews>
    <sheetView workbookViewId="0">
      <selection activeCell="B21" sqref="B21"/>
    </sheetView>
  </sheetViews>
  <sheetFormatPr baseColWidth="10" defaultColWidth="23.33203125" defaultRowHeight="15.75" customHeight="1" x14ac:dyDescent="0.15"/>
  <sheetData>
    <row r="1" spans="1:7" ht="15.75" customHeight="1" x14ac:dyDescent="0.15">
      <c r="A1" s="3" t="s">
        <v>116</v>
      </c>
      <c r="B1" s="3" t="s">
        <v>117</v>
      </c>
      <c r="C1" s="3" t="s">
        <v>21</v>
      </c>
      <c r="D1" s="3" t="s">
        <v>22</v>
      </c>
    </row>
    <row r="2" spans="1:7" ht="15.75" customHeight="1" x14ac:dyDescent="0.15">
      <c r="A2" s="3" t="s">
        <v>118</v>
      </c>
      <c r="B2" s="10">
        <f>135*0.94</f>
        <v>126.89999999999999</v>
      </c>
      <c r="C2" s="10">
        <f>240*0.94</f>
        <v>225.6</v>
      </c>
      <c r="D2" s="10">
        <f>345*0.94</f>
        <v>324.29999999999995</v>
      </c>
      <c r="E2" s="13"/>
    </row>
    <row r="3" spans="1:7" ht="15.75" customHeight="1" x14ac:dyDescent="0.15">
      <c r="A3" s="1"/>
    </row>
    <row r="4" spans="1:7" ht="15.75" customHeight="1" x14ac:dyDescent="0.15">
      <c r="A4" s="3" t="s">
        <v>119</v>
      </c>
      <c r="B4" s="10">
        <f t="shared" ref="B4:D4" si="0">B2*76</f>
        <v>9644.4</v>
      </c>
      <c r="C4" s="10">
        <f t="shared" si="0"/>
        <v>17145.599999999999</v>
      </c>
      <c r="D4" s="10">
        <f t="shared" si="0"/>
        <v>24646.799999999996</v>
      </c>
    </row>
    <row r="5" spans="1:7" ht="15.75" customHeight="1" x14ac:dyDescent="0.15">
      <c r="A5" s="1"/>
    </row>
    <row r="6" spans="1:7" ht="15.75" customHeight="1" x14ac:dyDescent="0.15">
      <c r="A6" s="3" t="s">
        <v>120</v>
      </c>
      <c r="B6" s="10">
        <f t="shared" ref="B6:D6" si="1">B4*3</f>
        <v>28933.199999999997</v>
      </c>
      <c r="C6" s="10">
        <f t="shared" si="1"/>
        <v>51436.799999999996</v>
      </c>
      <c r="D6" s="10">
        <f t="shared" si="1"/>
        <v>73940.399999999994</v>
      </c>
    </row>
    <row r="7" spans="1:7" ht="15.75" customHeight="1" x14ac:dyDescent="0.15">
      <c r="A7" s="4"/>
      <c r="B7" s="10">
        <f>B6/'Solar + Grid'!$I$11</f>
        <v>1.8028039130163871</v>
      </c>
      <c r="C7" s="10">
        <f>C6/'Solar + Grid'!$I$11</f>
        <v>3.2049847342513549</v>
      </c>
      <c r="D7" s="10">
        <f>D6/'Solar + Grid'!$I$11</f>
        <v>4.6071655554863229</v>
      </c>
    </row>
    <row r="9" spans="1:7" ht="15.75" customHeight="1" x14ac:dyDescent="0.15">
      <c r="A9" s="3" t="s">
        <v>121</v>
      </c>
      <c r="B9" s="3" t="s">
        <v>122</v>
      </c>
      <c r="C9" s="3"/>
      <c r="D9" s="3" t="s">
        <v>123</v>
      </c>
      <c r="F9" s="10">
        <v>0.05</v>
      </c>
      <c r="G9" s="3" t="s">
        <v>124</v>
      </c>
    </row>
    <row r="10" spans="1:7" ht="15.75" customHeight="1" x14ac:dyDescent="0.15">
      <c r="A10" s="4" t="s">
        <v>125</v>
      </c>
      <c r="B10" s="4">
        <v>5</v>
      </c>
      <c r="C10" s="4"/>
      <c r="D10" s="10">
        <f>B10*F9</f>
        <v>0.25</v>
      </c>
    </row>
    <row r="11" spans="1:7" ht="15.75" customHeight="1" x14ac:dyDescent="0.15">
      <c r="A11" s="4" t="s">
        <v>126</v>
      </c>
      <c r="B11" s="4">
        <v>200</v>
      </c>
      <c r="C11" s="4"/>
      <c r="D11" s="10">
        <f>B11*F9</f>
        <v>10</v>
      </c>
    </row>
    <row r="15" spans="1:7" ht="15.75" customHeight="1" x14ac:dyDescent="0.15">
      <c r="B15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6"/>
  <sheetViews>
    <sheetView workbookViewId="0">
      <selection sqref="A1:XFD1048576"/>
    </sheetView>
  </sheetViews>
  <sheetFormatPr baseColWidth="10" defaultColWidth="12.6640625" defaultRowHeight="15.75" customHeight="1" x14ac:dyDescent="0.15"/>
  <cols>
    <col min="1" max="1" width="24.6640625" bestFit="1" customWidth="1"/>
    <col min="2" max="2" width="17" bestFit="1" customWidth="1"/>
    <col min="3" max="3" width="17.33203125" bestFit="1" customWidth="1"/>
    <col min="4" max="4" width="18" bestFit="1" customWidth="1"/>
    <col min="5" max="5" width="3.33203125" bestFit="1" customWidth="1"/>
    <col min="6" max="6" width="13.33203125" customWidth="1"/>
    <col min="7" max="7" width="21.83203125" bestFit="1" customWidth="1"/>
    <col min="8" max="8" width="9" bestFit="1" customWidth="1"/>
    <col min="9" max="9" width="17" bestFit="1" customWidth="1"/>
    <col min="10" max="10" width="6.1640625" bestFit="1" customWidth="1"/>
    <col min="13" max="13" width="16.6640625" customWidth="1"/>
    <col min="18" max="18" width="14" customWidth="1"/>
    <col min="21" max="21" width="14" customWidth="1"/>
    <col min="23" max="23" width="15.1640625" customWidth="1"/>
  </cols>
  <sheetData>
    <row r="1" spans="1:26" ht="15.75" customHeight="1" x14ac:dyDescent="0.15">
      <c r="A1" s="3" t="s">
        <v>127</v>
      </c>
      <c r="B1" s="3" t="s">
        <v>32</v>
      </c>
      <c r="C1" s="3" t="s">
        <v>33</v>
      </c>
      <c r="D1" s="3" t="s">
        <v>34</v>
      </c>
      <c r="E1" s="4"/>
      <c r="F1" s="9"/>
      <c r="G1" s="4"/>
      <c r="H1" s="3" t="s">
        <v>128</v>
      </c>
      <c r="I1" s="3" t="s">
        <v>129</v>
      </c>
      <c r="J1" s="3" t="s">
        <v>25</v>
      </c>
    </row>
    <row r="2" spans="1:26" ht="15.75" customHeight="1" x14ac:dyDescent="0.15">
      <c r="A2" s="4"/>
      <c r="B2" s="4">
        <v>33</v>
      </c>
      <c r="C2" s="4">
        <v>38</v>
      </c>
      <c r="D2" s="4">
        <v>43</v>
      </c>
      <c r="E2" s="4" t="s">
        <v>130</v>
      </c>
      <c r="G2" s="3" t="s">
        <v>131</v>
      </c>
      <c r="H2" s="4">
        <v>8500</v>
      </c>
      <c r="I2" s="4">
        <v>7549</v>
      </c>
      <c r="J2" s="4">
        <f>I2+H2</f>
        <v>16049</v>
      </c>
      <c r="K2" s="1"/>
      <c r="L2" s="1"/>
    </row>
    <row r="3" spans="1:26" ht="15.75" customHeight="1" x14ac:dyDescent="0.15">
      <c r="A3" s="4"/>
      <c r="B3" s="4">
        <f t="shared" ref="B3:D3" si="0">B2*10</f>
        <v>330</v>
      </c>
      <c r="C3" s="4">
        <f t="shared" si="0"/>
        <v>380</v>
      </c>
      <c r="D3" s="4">
        <f t="shared" si="0"/>
        <v>430</v>
      </c>
      <c r="E3" s="4" t="s">
        <v>132</v>
      </c>
      <c r="O3" s="42"/>
      <c r="P3" s="42"/>
      <c r="Q3" s="42"/>
    </row>
    <row r="5" spans="1:26" ht="15.75" customHeight="1" x14ac:dyDescent="0.15">
      <c r="A5" s="3" t="s">
        <v>133</v>
      </c>
      <c r="B5" s="3" t="s">
        <v>32</v>
      </c>
      <c r="C5" s="3" t="s">
        <v>33</v>
      </c>
      <c r="D5" s="2" t="s">
        <v>34</v>
      </c>
      <c r="E5" s="43"/>
      <c r="J5" s="1"/>
      <c r="K5" s="1"/>
      <c r="L5" s="1"/>
      <c r="O5" s="1"/>
      <c r="P5" s="1"/>
      <c r="Q5" s="1"/>
    </row>
    <row r="6" spans="1:26" ht="15.75" customHeight="1" x14ac:dyDescent="0.15">
      <c r="A6" s="4" t="s">
        <v>134</v>
      </c>
      <c r="B6" s="4">
        <v>66</v>
      </c>
      <c r="C6" s="4">
        <v>76</v>
      </c>
      <c r="D6" s="44">
        <v>86</v>
      </c>
      <c r="E6" s="43"/>
      <c r="J6" s="1"/>
      <c r="K6" s="1"/>
      <c r="L6" s="1"/>
      <c r="O6" s="1"/>
      <c r="P6" s="1"/>
      <c r="Q6" s="1"/>
    </row>
    <row r="7" spans="1:26" ht="15.75" customHeight="1" x14ac:dyDescent="0.15">
      <c r="A7" s="4" t="s">
        <v>135</v>
      </c>
      <c r="B7" s="4">
        <f t="shared" ref="B7:D7" si="1">B6/B2</f>
        <v>2</v>
      </c>
      <c r="C7" s="4">
        <f t="shared" si="1"/>
        <v>2</v>
      </c>
      <c r="D7" s="44">
        <f t="shared" si="1"/>
        <v>2</v>
      </c>
      <c r="E7" s="43"/>
      <c r="J7" s="54"/>
      <c r="K7" s="54"/>
      <c r="L7" s="54"/>
    </row>
    <row r="8" spans="1:26" ht="15.75" customHeight="1" x14ac:dyDescent="0.15">
      <c r="J8" s="40"/>
      <c r="K8" s="40"/>
      <c r="L8" s="40"/>
      <c r="O8" s="42"/>
      <c r="P8" s="42"/>
      <c r="Q8" s="42"/>
      <c r="T8" s="42"/>
      <c r="U8" s="42"/>
      <c r="V8" s="42"/>
      <c r="X8" s="42"/>
      <c r="Y8" s="42"/>
      <c r="Z8" s="42"/>
    </row>
    <row r="9" spans="1:26" ht="15.75" customHeight="1" x14ac:dyDescent="0.15">
      <c r="A9" s="3" t="s">
        <v>136</v>
      </c>
      <c r="B9" s="4">
        <f>H2</f>
        <v>8500</v>
      </c>
      <c r="C9" s="4">
        <v>8500</v>
      </c>
      <c r="D9" s="4">
        <v>8500</v>
      </c>
      <c r="J9" s="40"/>
      <c r="K9" s="40"/>
      <c r="L9" s="40"/>
      <c r="O9" s="42"/>
      <c r="P9" s="42"/>
      <c r="Q9" s="42"/>
      <c r="T9" s="42"/>
      <c r="U9" s="42"/>
      <c r="V9" s="42"/>
      <c r="X9" s="42"/>
      <c r="Y9" s="42"/>
      <c r="Z9" s="42"/>
    </row>
    <row r="10" spans="1:26" ht="15.75" customHeight="1" x14ac:dyDescent="0.15">
      <c r="A10" s="3" t="s">
        <v>137</v>
      </c>
      <c r="B10" s="20">
        <f t="shared" ref="B10:D10" si="2">$B$9/B2</f>
        <v>257.57575757575756</v>
      </c>
      <c r="C10" s="20">
        <f t="shared" si="2"/>
        <v>223.68421052631578</v>
      </c>
      <c r="D10" s="20">
        <f t="shared" si="2"/>
        <v>197.67441860465115</v>
      </c>
      <c r="J10" s="40"/>
      <c r="K10" s="40"/>
      <c r="L10" s="40"/>
      <c r="O10" s="42"/>
      <c r="P10" s="42"/>
      <c r="Q10" s="42"/>
      <c r="T10" s="42"/>
      <c r="U10" s="42"/>
      <c r="V10" s="42"/>
      <c r="X10" s="42"/>
      <c r="Y10" s="42"/>
      <c r="Z10" s="42"/>
    </row>
    <row r="11" spans="1:26" ht="15.75" customHeight="1" x14ac:dyDescent="0.15">
      <c r="A11" s="3" t="s">
        <v>138</v>
      </c>
      <c r="B11" s="20">
        <f t="shared" ref="B11:D11" si="3">B9/76</f>
        <v>111.84210526315789</v>
      </c>
      <c r="C11" s="20">
        <f t="shared" si="3"/>
        <v>111.84210526315789</v>
      </c>
      <c r="D11" s="20">
        <f t="shared" si="3"/>
        <v>111.84210526315789</v>
      </c>
      <c r="J11" s="40"/>
      <c r="K11" s="40"/>
      <c r="L11" s="40"/>
      <c r="O11" s="42"/>
      <c r="P11" s="42"/>
      <c r="Q11" s="42"/>
      <c r="T11" s="42"/>
      <c r="U11" s="42"/>
      <c r="V11" s="42"/>
      <c r="X11" s="42"/>
      <c r="Y11" s="42"/>
      <c r="Z11" s="42"/>
    </row>
    <row r="12" spans="1:26" ht="15.75" customHeight="1" x14ac:dyDescent="0.15">
      <c r="B12" s="40"/>
      <c r="C12" s="40"/>
      <c r="D12" s="40"/>
    </row>
    <row r="13" spans="1:26" ht="15.75" customHeight="1" x14ac:dyDescent="0.15">
      <c r="A13" s="3" t="s">
        <v>139</v>
      </c>
      <c r="B13" s="5">
        <f>365/112</f>
        <v>3.2589285714285716</v>
      </c>
      <c r="C13" s="5" t="s">
        <v>140</v>
      </c>
      <c r="D13" s="40"/>
      <c r="J13" s="54"/>
      <c r="K13" s="54"/>
      <c r="L13" s="54"/>
    </row>
    <row r="14" spans="1:26" ht="15.75" customHeight="1" x14ac:dyDescent="0.15">
      <c r="A14" s="3" t="s">
        <v>141</v>
      </c>
      <c r="B14" s="4">
        <v>3</v>
      </c>
      <c r="C14" s="4" t="s">
        <v>140</v>
      </c>
    </row>
    <row r="15" spans="1:26" ht="15.75" customHeight="1" x14ac:dyDescent="0.15">
      <c r="A15" s="3" t="s">
        <v>142</v>
      </c>
      <c r="B15" s="4">
        <f>ROUNDUP(365/B14,0)</f>
        <v>122</v>
      </c>
      <c r="C15" s="4"/>
    </row>
    <row r="17" spans="1:22" ht="15.75" customHeight="1" x14ac:dyDescent="0.15">
      <c r="A17" s="3" t="s">
        <v>143</v>
      </c>
      <c r="B17" s="10">
        <f>B15*'Storage Tartu'!D10</f>
        <v>30.5</v>
      </c>
    </row>
    <row r="18" spans="1:22" ht="15.75" customHeight="1" x14ac:dyDescent="0.15">
      <c r="A18" s="3" t="s">
        <v>144</v>
      </c>
      <c r="B18" s="10">
        <f>A25*B15</f>
        <v>105.49657534246575</v>
      </c>
    </row>
    <row r="19" spans="1:22" ht="15.75" customHeight="1" x14ac:dyDescent="0.15">
      <c r="A19" s="3" t="s">
        <v>145</v>
      </c>
      <c r="B19" s="10">
        <f>SUM(B17:B18)</f>
        <v>135.99657534246575</v>
      </c>
    </row>
    <row r="20" spans="1:22" ht="15.75" customHeight="1" x14ac:dyDescent="0.15">
      <c r="J20" s="54"/>
      <c r="K20" s="54"/>
      <c r="L20" s="54"/>
    </row>
    <row r="21" spans="1:22" ht="15.75" customHeight="1" x14ac:dyDescent="0.15">
      <c r="A21" s="3" t="s">
        <v>146</v>
      </c>
      <c r="B21" s="10">
        <f>B19/8500</f>
        <v>1.5999597099113617E-2</v>
      </c>
      <c r="J21" s="40"/>
      <c r="K21" s="40"/>
      <c r="L21" s="40"/>
    </row>
    <row r="22" spans="1:22" ht="15.75" customHeight="1" x14ac:dyDescent="0.15">
      <c r="J22" s="40"/>
      <c r="K22" s="40"/>
      <c r="L22" s="40"/>
      <c r="T22" s="1"/>
      <c r="U22" s="1"/>
      <c r="V22" s="1"/>
    </row>
    <row r="23" spans="1:22" ht="15.75" customHeight="1" x14ac:dyDescent="0.15">
      <c r="A23" s="55" t="s">
        <v>147</v>
      </c>
      <c r="B23" s="57"/>
      <c r="C23" s="57"/>
      <c r="D23" s="56"/>
      <c r="J23" s="40"/>
      <c r="K23" s="40"/>
      <c r="L23" s="40"/>
      <c r="O23" s="40"/>
      <c r="P23" s="40"/>
      <c r="Q23" s="40"/>
      <c r="T23" s="40"/>
      <c r="U23" s="40"/>
      <c r="V23" s="40"/>
    </row>
    <row r="24" spans="1:22" ht="15.75" customHeight="1" x14ac:dyDescent="0.15">
      <c r="A24" s="3" t="s">
        <v>148</v>
      </c>
      <c r="B24" s="3" t="s">
        <v>149</v>
      </c>
      <c r="C24" s="3" t="s">
        <v>150</v>
      </c>
      <c r="D24" s="3" t="s">
        <v>151</v>
      </c>
      <c r="J24" s="40"/>
      <c r="K24" s="40"/>
      <c r="L24" s="40"/>
      <c r="O24" s="40"/>
      <c r="P24" s="40"/>
      <c r="Q24" s="40"/>
      <c r="T24" s="40"/>
      <c r="U24" s="40"/>
      <c r="V24" s="40"/>
    </row>
    <row r="25" spans="1:22" ht="15.75" customHeight="1" x14ac:dyDescent="0.15">
      <c r="A25" s="10">
        <f>0.25*B25</f>
        <v>0.86472602739726023</v>
      </c>
      <c r="B25" s="10">
        <f>C25/8</f>
        <v>3.4589041095890409</v>
      </c>
      <c r="C25" s="10">
        <f>D25/365</f>
        <v>27.671232876712327</v>
      </c>
      <c r="D25" s="10">
        <v>10100</v>
      </c>
      <c r="O25" s="40"/>
      <c r="P25" s="40"/>
      <c r="Q25" s="40"/>
      <c r="T25" s="40"/>
      <c r="U25" s="40"/>
      <c r="V25" s="40"/>
    </row>
    <row r="26" spans="1:22" ht="15.75" customHeight="1" x14ac:dyDescent="0.15">
      <c r="J26" s="54"/>
      <c r="K26" s="54"/>
      <c r="L26" s="54"/>
      <c r="O26" s="40"/>
      <c r="P26" s="40"/>
      <c r="Q26" s="40"/>
      <c r="T26" s="40"/>
      <c r="U26" s="40"/>
      <c r="V26" s="40"/>
    </row>
  </sheetData>
  <mergeCells count="5">
    <mergeCell ref="J7:L7"/>
    <mergeCell ref="J13:L13"/>
    <mergeCell ref="J20:L20"/>
    <mergeCell ref="A23:D23"/>
    <mergeCell ref="J26:L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23"/>
  <sheetViews>
    <sheetView workbookViewId="0">
      <selection activeCell="H18" sqref="H18"/>
    </sheetView>
  </sheetViews>
  <sheetFormatPr baseColWidth="10" defaultColWidth="12.6640625" defaultRowHeight="15.75" customHeight="1" x14ac:dyDescent="0.15"/>
  <cols>
    <col min="1" max="1" width="34.33203125" bestFit="1" customWidth="1"/>
    <col min="2" max="2" width="9.6640625" bestFit="1" customWidth="1"/>
    <col min="3" max="4" width="8.6640625" bestFit="1" customWidth="1"/>
    <col min="5" max="5" width="11" bestFit="1" customWidth="1"/>
    <col min="6" max="6" width="12" customWidth="1"/>
    <col min="7" max="7" width="8.33203125" customWidth="1"/>
    <col min="8" max="8" width="26.33203125" customWidth="1"/>
    <col min="9" max="9" width="10" customWidth="1"/>
    <col min="10" max="10" width="8.33203125" customWidth="1"/>
    <col min="11" max="11" width="11.6640625" customWidth="1"/>
  </cols>
  <sheetData>
    <row r="1" spans="1:10" ht="15.75" customHeight="1" x14ac:dyDescent="0.15">
      <c r="A1" s="4"/>
      <c r="B1" s="3" t="s">
        <v>32</v>
      </c>
      <c r="C1" s="3" t="s">
        <v>33</v>
      </c>
      <c r="D1" s="3" t="s">
        <v>34</v>
      </c>
    </row>
    <row r="2" spans="1:10" ht="15.75" customHeight="1" x14ac:dyDescent="0.15">
      <c r="A2" s="3" t="s">
        <v>152</v>
      </c>
      <c r="B2" s="4">
        <v>29</v>
      </c>
      <c r="C2" s="4">
        <v>32</v>
      </c>
      <c r="D2" s="4">
        <v>35</v>
      </c>
    </row>
    <row r="3" spans="1:10" ht="15.75" customHeight="1" x14ac:dyDescent="0.15">
      <c r="A3" s="3" t="s">
        <v>122</v>
      </c>
      <c r="B3" s="4">
        <v>400</v>
      </c>
      <c r="C3" s="4">
        <v>400</v>
      </c>
      <c r="D3" s="4">
        <v>400</v>
      </c>
    </row>
    <row r="4" spans="1:10" ht="15.75" customHeight="1" x14ac:dyDescent="0.15">
      <c r="A4" s="3" t="s">
        <v>153</v>
      </c>
      <c r="B4" s="5">
        <f t="shared" ref="B4:D4" si="0">B3/B2</f>
        <v>13.793103448275861</v>
      </c>
      <c r="C4" s="5">
        <f t="shared" si="0"/>
        <v>12.5</v>
      </c>
      <c r="D4" s="5">
        <f t="shared" si="0"/>
        <v>11.428571428571429</v>
      </c>
    </row>
    <row r="6" spans="1:10" ht="15.75" customHeight="1" x14ac:dyDescent="0.15">
      <c r="A6" s="3" t="s">
        <v>154</v>
      </c>
      <c r="B6" s="5">
        <f t="shared" ref="B6:D6" si="1">B4*7549</f>
        <v>104124.13793103448</v>
      </c>
      <c r="C6" s="5">
        <f t="shared" si="1"/>
        <v>94362.5</v>
      </c>
      <c r="D6" s="5">
        <f t="shared" si="1"/>
        <v>86274.28571428571</v>
      </c>
      <c r="E6" s="3" t="s">
        <v>155</v>
      </c>
    </row>
    <row r="7" spans="1:10" ht="15.75" customHeight="1" x14ac:dyDescent="0.15">
      <c r="A7" s="4"/>
      <c r="B7" s="20">
        <f t="shared" ref="B7:D7" si="2">B6/365</f>
        <v>285.27161076995748</v>
      </c>
      <c r="C7" s="20">
        <f t="shared" si="2"/>
        <v>258.52739726027397</v>
      </c>
      <c r="D7" s="20">
        <f t="shared" si="2"/>
        <v>236.36790606653619</v>
      </c>
      <c r="E7" s="3" t="s">
        <v>156</v>
      </c>
    </row>
    <row r="9" spans="1:10" ht="15.75" customHeight="1" x14ac:dyDescent="0.15">
      <c r="A9" s="3" t="s">
        <v>138</v>
      </c>
      <c r="B9" s="20">
        <f>7549/76</f>
        <v>99.328947368421055</v>
      </c>
      <c r="C9" s="4"/>
    </row>
    <row r="10" spans="1:10" ht="15.75" customHeight="1" x14ac:dyDescent="0.15">
      <c r="A10" s="3" t="s">
        <v>157</v>
      </c>
      <c r="B10" s="5">
        <f>365/B9</f>
        <v>3.6746588952179096</v>
      </c>
      <c r="C10" s="4"/>
    </row>
    <row r="11" spans="1:10" ht="15.75" customHeight="1" x14ac:dyDescent="0.15">
      <c r="A11" s="3" t="s">
        <v>158</v>
      </c>
      <c r="B11" s="4">
        <v>3.5</v>
      </c>
      <c r="C11" s="4" t="s">
        <v>140</v>
      </c>
    </row>
    <row r="12" spans="1:10" ht="15.75" customHeight="1" x14ac:dyDescent="0.15">
      <c r="A12" s="3" t="s">
        <v>159</v>
      </c>
      <c r="B12" s="4">
        <v>105</v>
      </c>
      <c r="C12" s="4"/>
      <c r="J12" s="13"/>
    </row>
    <row r="13" spans="1:10" ht="15.75" customHeight="1" x14ac:dyDescent="0.15">
      <c r="A13" s="3" t="s">
        <v>160</v>
      </c>
      <c r="B13" s="10">
        <f>B12*'Storage Tartu'!D11</f>
        <v>1050</v>
      </c>
      <c r="C13" s="4"/>
      <c r="J13" s="13"/>
    </row>
    <row r="14" spans="1:10" ht="15.75" customHeight="1" x14ac:dyDescent="0.15">
      <c r="A14" s="3" t="s">
        <v>161</v>
      </c>
      <c r="B14" s="4">
        <v>3</v>
      </c>
      <c r="C14" s="4"/>
    </row>
    <row r="15" spans="1:10" ht="15.75" customHeight="1" x14ac:dyDescent="0.15">
      <c r="A15" s="3" t="s">
        <v>162</v>
      </c>
      <c r="B15" s="4">
        <f>B12*3</f>
        <v>315</v>
      </c>
      <c r="C15" s="4"/>
    </row>
    <row r="16" spans="1:10" ht="15.75" customHeight="1" x14ac:dyDescent="0.15">
      <c r="A16" s="3" t="s">
        <v>163</v>
      </c>
      <c r="B16" s="10">
        <f>B15*'Tartu Bus'!B25</f>
        <v>1089.5547945205478</v>
      </c>
      <c r="C16" s="4"/>
      <c r="E16" s="41"/>
    </row>
    <row r="17" spans="1:6" ht="15.75" customHeight="1" x14ac:dyDescent="0.15">
      <c r="A17" s="3" t="s">
        <v>164</v>
      </c>
      <c r="B17" s="10">
        <f>B16+B13</f>
        <v>2139.5547945205481</v>
      </c>
      <c r="C17" s="4"/>
    </row>
    <row r="19" spans="1:6" ht="15.75" customHeight="1" x14ac:dyDescent="0.15">
      <c r="A19" s="3" t="s">
        <v>165</v>
      </c>
      <c r="B19" s="3" t="s">
        <v>154</v>
      </c>
      <c r="C19" s="3" t="s">
        <v>123</v>
      </c>
      <c r="F19" s="13"/>
    </row>
    <row r="20" spans="1:6" ht="15.75" customHeight="1" x14ac:dyDescent="0.15">
      <c r="A20" s="3" t="s">
        <v>166</v>
      </c>
      <c r="B20" s="4">
        <v>8500</v>
      </c>
      <c r="C20" s="10">
        <f>'Tartu Bus'!B19</f>
        <v>135.99657534246575</v>
      </c>
      <c r="F20" s="13"/>
    </row>
    <row r="21" spans="1:6" ht="15.75" customHeight="1" x14ac:dyDescent="0.15">
      <c r="A21" s="3" t="s">
        <v>126</v>
      </c>
      <c r="B21" s="4">
        <v>7549</v>
      </c>
      <c r="C21" s="10">
        <f>B17</f>
        <v>2139.5547945205481</v>
      </c>
      <c r="F21" s="13"/>
    </row>
    <row r="22" spans="1:6" ht="15.75" customHeight="1" x14ac:dyDescent="0.15">
      <c r="A22" s="3" t="s">
        <v>25</v>
      </c>
      <c r="B22" s="4">
        <f t="shared" ref="B22:C22" si="3">SUM(B20:B21)</f>
        <v>16049</v>
      </c>
      <c r="C22" s="10">
        <f t="shared" si="3"/>
        <v>2275.5513698630139</v>
      </c>
    </row>
    <row r="23" spans="1:6" ht="15.75" customHeight="1" x14ac:dyDescent="0.15">
      <c r="A23" s="3" t="s">
        <v>167</v>
      </c>
      <c r="B23" s="10">
        <f>C22/B22</f>
        <v>0.14178773567593084</v>
      </c>
      <c r="C2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25"/>
  <sheetViews>
    <sheetView topLeftCell="A3" workbookViewId="0">
      <selection activeCell="A3" sqref="A1:XFD1048576"/>
    </sheetView>
  </sheetViews>
  <sheetFormatPr baseColWidth="10" defaultColWidth="12.6640625" defaultRowHeight="15.75" customHeight="1" x14ac:dyDescent="0.15"/>
  <cols>
    <col min="1" max="1" width="42.83203125" bestFit="1" customWidth="1"/>
    <col min="2" max="2" width="10" bestFit="1" customWidth="1"/>
    <col min="3" max="3" width="6.33203125" bestFit="1" customWidth="1"/>
    <col min="4" max="4" width="7.6640625" bestFit="1" customWidth="1"/>
    <col min="5" max="5" width="7.1640625" bestFit="1" customWidth="1"/>
    <col min="6" max="6" width="40.1640625" customWidth="1"/>
  </cols>
  <sheetData>
    <row r="1" spans="1:5" ht="15.75" customHeight="1" x14ac:dyDescent="0.15">
      <c r="A1" s="3" t="s">
        <v>168</v>
      </c>
      <c r="B1" s="3" t="s">
        <v>169</v>
      </c>
      <c r="C1" s="4"/>
    </row>
    <row r="2" spans="1:5" ht="15.75" customHeight="1" x14ac:dyDescent="0.15">
      <c r="A2" s="4" t="s">
        <v>152</v>
      </c>
      <c r="B2" s="4" t="s">
        <v>170</v>
      </c>
      <c r="C2" s="45">
        <v>850</v>
      </c>
    </row>
    <row r="3" spans="1:5" ht="15.75" customHeight="1" x14ac:dyDescent="0.15">
      <c r="A3" s="4" t="s">
        <v>171</v>
      </c>
      <c r="B3" s="4" t="s">
        <v>172</v>
      </c>
      <c r="C3" s="46">
        <v>16049</v>
      </c>
    </row>
    <row r="4" spans="1:5" ht="15.75" customHeight="1" x14ac:dyDescent="0.15">
      <c r="A4" s="4"/>
      <c r="B4" s="4"/>
      <c r="C4" s="3" t="s">
        <v>20</v>
      </c>
      <c r="D4" s="3" t="s">
        <v>21</v>
      </c>
      <c r="E4" s="3" t="s">
        <v>22</v>
      </c>
    </row>
    <row r="5" spans="1:5" ht="15.75" customHeight="1" x14ac:dyDescent="0.15">
      <c r="A5" s="4" t="s">
        <v>26</v>
      </c>
      <c r="B5" s="4" t="s">
        <v>173</v>
      </c>
      <c r="C5" s="47">
        <v>1.26</v>
      </c>
      <c r="D5" s="47">
        <v>1.36</v>
      </c>
      <c r="E5" s="47">
        <v>1.46</v>
      </c>
    </row>
    <row r="6" spans="1:5" ht="15.75" customHeight="1" x14ac:dyDescent="0.15">
      <c r="A6" s="4" t="s">
        <v>174</v>
      </c>
      <c r="B6" s="4" t="s">
        <v>173</v>
      </c>
      <c r="C6" s="45">
        <v>0.17299999999999999</v>
      </c>
      <c r="D6" s="4"/>
      <c r="E6" s="4"/>
    </row>
    <row r="8" spans="1:5" ht="15.75" customHeight="1" x14ac:dyDescent="0.15">
      <c r="A8" s="3" t="s">
        <v>175</v>
      </c>
      <c r="B8" s="4"/>
      <c r="C8" s="4"/>
    </row>
    <row r="9" spans="1:5" ht="15.75" customHeight="1" x14ac:dyDescent="0.15">
      <c r="A9" s="4" t="s">
        <v>57</v>
      </c>
      <c r="B9" s="4" t="s">
        <v>176</v>
      </c>
      <c r="C9" s="48">
        <v>0.55000000000000004</v>
      </c>
    </row>
    <row r="10" spans="1:5" ht="15.75" customHeight="1" x14ac:dyDescent="0.15">
      <c r="A10" s="4" t="s">
        <v>177</v>
      </c>
      <c r="B10" s="4" t="s">
        <v>178</v>
      </c>
      <c r="C10" s="46">
        <v>2</v>
      </c>
    </row>
    <row r="12" spans="1:5" ht="15.75" customHeight="1" x14ac:dyDescent="0.15">
      <c r="A12" s="3" t="s">
        <v>45</v>
      </c>
      <c r="B12" s="3"/>
      <c r="C12" s="3" t="s">
        <v>32</v>
      </c>
      <c r="D12" s="3" t="s">
        <v>33</v>
      </c>
      <c r="E12" s="3" t="s">
        <v>34</v>
      </c>
    </row>
    <row r="13" spans="1:5" ht="15.75" customHeight="1" x14ac:dyDescent="0.15">
      <c r="A13" s="4" t="s">
        <v>48</v>
      </c>
      <c r="B13" s="4" t="s">
        <v>173</v>
      </c>
      <c r="C13" s="46">
        <v>600</v>
      </c>
      <c r="D13" s="46">
        <v>950</v>
      </c>
      <c r="E13" s="46">
        <v>1300</v>
      </c>
    </row>
    <row r="14" spans="1:5" ht="15.75" customHeight="1" x14ac:dyDescent="0.15">
      <c r="A14" s="3"/>
      <c r="B14" s="3"/>
      <c r="C14" s="3"/>
      <c r="D14" s="3"/>
      <c r="E14" s="3"/>
    </row>
    <row r="15" spans="1:5" ht="15.75" customHeight="1" x14ac:dyDescent="0.15">
      <c r="A15" s="3" t="s">
        <v>46</v>
      </c>
      <c r="B15" s="3"/>
      <c r="C15" s="3" t="s">
        <v>32</v>
      </c>
      <c r="D15" s="3" t="s">
        <v>33</v>
      </c>
      <c r="E15" s="3" t="s">
        <v>34</v>
      </c>
    </row>
    <row r="16" spans="1:5" ht="15.75" customHeight="1" x14ac:dyDescent="0.15">
      <c r="A16" s="4" t="s">
        <v>48</v>
      </c>
      <c r="B16" s="4" t="s">
        <v>173</v>
      </c>
      <c r="C16" s="46">
        <v>2000</v>
      </c>
      <c r="D16" s="46">
        <v>3800</v>
      </c>
      <c r="E16" s="46">
        <v>5600</v>
      </c>
    </row>
    <row r="20" spans="1:5" ht="15.75" customHeight="1" x14ac:dyDescent="0.15">
      <c r="A20" s="49" t="s">
        <v>179</v>
      </c>
      <c r="B20" s="49"/>
      <c r="C20" s="49" t="s">
        <v>32</v>
      </c>
      <c r="D20" s="49" t="s">
        <v>33</v>
      </c>
      <c r="E20" s="49" t="s">
        <v>34</v>
      </c>
    </row>
    <row r="21" spans="1:5" ht="15.75" customHeight="1" x14ac:dyDescent="0.15">
      <c r="A21" s="49" t="s">
        <v>180</v>
      </c>
      <c r="B21" s="50" t="s">
        <v>181</v>
      </c>
      <c r="C21" s="51">
        <f>Electrolyzer!C61+'Latvia Waste truck'!$B$23+Compressor!C12+'Storage Tartu'!B7</f>
        <v>47.739885259787812</v>
      </c>
      <c r="D21" s="51">
        <f>Electrolyzer!D61+'Latvia Waste truck'!$B$23+Compressor!D12+'Storage Tartu'!C7</f>
        <v>72.325417236061952</v>
      </c>
      <c r="E21" s="51">
        <f>Electrolyzer!E61+'Latvia Waste truck'!$B$23+Compressor!E12+'Storage Tartu'!D7</f>
        <v>99.087115997732596</v>
      </c>
    </row>
    <row r="22" spans="1:5" ht="15.75" customHeight="1" x14ac:dyDescent="0.15">
      <c r="A22" s="49" t="s">
        <v>182</v>
      </c>
      <c r="B22" s="50" t="s">
        <v>181</v>
      </c>
      <c r="C22" s="52">
        <f>Electrolyzer!I61+Compressor!C12+'Storage Tartu'!B7+'Latvia Waste truck'!$B$23</f>
        <v>72.037249516976146</v>
      </c>
      <c r="D22" s="52">
        <f>Electrolyzer!J61+Compressor!D12+'Storage Tartu'!C7+'Latvia Waste truck'!$B$23</f>
        <v>129.25349333522416</v>
      </c>
      <c r="E22" s="52">
        <f>Electrolyzer!K61+Compressor!E12+'Storage Tartu'!D7+'Latvia Waste truck'!$B$23</f>
        <v>187.92328482583042</v>
      </c>
    </row>
    <row r="24" spans="1:5" ht="15.75" customHeight="1" x14ac:dyDescent="0.15">
      <c r="A24" s="3" t="s">
        <v>183</v>
      </c>
      <c r="B24" s="4" t="s">
        <v>172</v>
      </c>
      <c r="C24" s="53">
        <f>Electrolyzer!C14*$C$10</f>
        <v>28094.592982403014</v>
      </c>
      <c r="D24" s="53">
        <f>Electrolyzer!D14*$C$10</f>
        <v>25974.246342221653</v>
      </c>
      <c r="E24" s="53">
        <f>Electrolyzer!E14*$C$10</f>
        <v>24151.492212942943</v>
      </c>
    </row>
    <row r="25" spans="1:5" ht="15.75" customHeight="1" x14ac:dyDescent="0.15">
      <c r="A25" s="3" t="s">
        <v>184</v>
      </c>
      <c r="B25" s="4" t="s">
        <v>172</v>
      </c>
      <c r="C25" s="53">
        <f>Electrolyzer!I14*$C$10</f>
        <v>40489.266356992579</v>
      </c>
      <c r="D25" s="53">
        <f>Electrolyzer!J14*$C$10</f>
        <v>39902.465395297026</v>
      </c>
      <c r="E25" s="53">
        <f>Electrolyzer!K14*$C$10</f>
        <v>39332.430175364221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Solar + Grid</vt:lpstr>
      <vt:lpstr>Electrolyzer</vt:lpstr>
      <vt:lpstr>Compressor</vt:lpstr>
      <vt:lpstr>Storage Tartu</vt:lpstr>
      <vt:lpstr>Tartu Bus</vt:lpstr>
      <vt:lpstr>Latvia Waste truck</vt:lpstr>
      <vt:lpstr>Final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Teun Wegdam</cp:lastModifiedBy>
  <dcterms:created xsi:type="dcterms:W3CDTF">2023-03-09T16:39:41Z</dcterms:created>
  <dcterms:modified xsi:type="dcterms:W3CDTF">2023-03-09T16:39:41Z</dcterms:modified>
</cp:coreProperties>
</file>