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_Teleworx\Facebook\USCx\Tribal Playbook\Business Plan\Phase 1 Deliverable\MoE\"/>
    </mc:Choice>
  </mc:AlternateContent>
  <xr:revisionPtr revIDLastSave="0" documentId="13_ncr:1_{6DD12883-933B-43FD-BF2A-47AADD15D4DC}" xr6:coauthVersionLast="45" xr6:coauthVersionMax="45" xr10:uidLastSave="{00000000-0000-0000-0000-000000000000}"/>
  <bookViews>
    <workbookView xWindow="-120" yWindow="-120" windowWidth="20730" windowHeight="11310" xr2:uid="{57510628-085C-4FF3-8596-3F3D77E92321}"/>
  </bookViews>
  <sheets>
    <sheet name="Cover" sheetId="12" r:id="rId1"/>
    <sheet name="Instructions" sheetId="13" r:id="rId2"/>
    <sheet name="Dashboard" sheetId="2" r:id="rId3"/>
    <sheet name="HLD" sheetId="4" r:id="rId4"/>
    <sheet name="CAPEX" sheetId="5" r:id="rId5"/>
    <sheet name="OPEX" sheetId="9" r:id="rId6"/>
    <sheet name="Site Configurations" sheetId="11" r:id="rId7"/>
    <sheet name="HLD Dictionary" sheetId="8" r:id="rId8"/>
  </sheets>
  <externalReferences>
    <externalReference r:id="rId9"/>
    <externalReference r:id="rId10"/>
  </externalReferences>
  <definedNames>
    <definedName name="_xlnm._FilterDatabase" localSheetId="4" hidden="1">CAPEX!$B$3:$S$83</definedName>
    <definedName name="_xlnm._FilterDatabase" localSheetId="5" hidden="1">OPEX!$B$3:$R$31</definedName>
    <definedName name="Analysis_Site" localSheetId="6">'Site Configurations'!#REF!</definedName>
    <definedName name="Analysis_Site">Dashboard!$C$7</definedName>
    <definedName name="Asset_Life" localSheetId="6">'Site Configurations'!#REF!</definedName>
    <definedName name="Asset_Life">Dashboard!$C$33</definedName>
    <definedName name="BH_Config_1_CAPEX">'Site Configurations'!$G$68</definedName>
    <definedName name="BH_Config_1_Eq_Count">'Site Configurations'!$F$58</definedName>
    <definedName name="BH_Config_2_CAPEX">'Site Configurations'!$G$86</definedName>
    <definedName name="BH_Config_2_Eq_Count">'Site Configurations'!$F$76</definedName>
    <definedName name="BH_Config_3_CAPEX">'Site Configurations'!$G$101</definedName>
    <definedName name="BH_Config_3_Eq_Count">'Site Configurations'!$F$94</definedName>
    <definedName name="BH_Config_4_CAPEX">'Site Configurations'!$G$117</definedName>
    <definedName name="BH_Config_4_Eq_Count">'Site Configurations'!$F$109</definedName>
    <definedName name="Covered_Homes" localSheetId="6">'Site Configurations'!#REF!</definedName>
    <definedName name="Covered_Homes">Dashboard!$H$4</definedName>
    <definedName name="CPE_Subsidy" localSheetId="6">'Site Configurations'!#REF!</definedName>
    <definedName name="CPE_Subsidy">Dashboard!$C$34</definedName>
    <definedName name="CPE_Type" localSheetId="6">'Site Configurations'!#REF!</definedName>
    <definedName name="CPE_Type">Dashboard!#REF!</definedName>
    <definedName name="EPC_Arch" localSheetId="6">'Site Configurations'!#REF!</definedName>
    <definedName name="EPC_Arch">Dashboard!$C$9</definedName>
    <definedName name="EPC_Deployment" localSheetId="6">'Site Configurations'!#REF!</definedName>
    <definedName name="EPC_Deployment">Dashboard!$C$10</definedName>
    <definedName name="FM_Sourcing" localSheetId="6">'Site Configurations'!#REF!</definedName>
    <definedName name="FM_Sourcing">Dashboard!#REF!</definedName>
    <definedName name="Hurdle_Rate" localSheetId="6">'Site Configurations'!#REF!</definedName>
    <definedName name="Hurdle_Rate">Dashboard!$C$32</definedName>
    <definedName name="loc">#REF!</definedName>
    <definedName name="N_Servers" localSheetId="6">'Site Configurations'!#REF!</definedName>
    <definedName name="N_Servers">Dashboard!$C$12</definedName>
    <definedName name="RAN_Config_1_CAPEX">'Site Configurations'!$G$17</definedName>
    <definedName name="RAN_Config_1_Sectors">'Site Configurations'!$C$8</definedName>
    <definedName name="RAN_Config_2_CAPEX">'Site Configurations'!$G$32</definedName>
    <definedName name="RAN_Config_2_Sectors">'Site Configurations'!$C$23</definedName>
    <definedName name="RAN_Config_3_CAPEX">'Site Configurations'!$G$47</definedName>
    <definedName name="RAN_Config_3_Sectors">'Site Configurations'!$C$38</definedName>
    <definedName name="RAN_Solution" localSheetId="6">'Site Configurations'!#REF!</definedName>
    <definedName name="RAN_Solution">Dashboard!$C$8</definedName>
    <definedName name="Scope" localSheetId="6">'Site Configurations'!#REF!</definedName>
    <definedName name="Scope">Dashboard!$C$4</definedName>
    <definedName name="Service_Categories">[1]ATM!#REF!</definedName>
    <definedName name="Sys_Deployment" localSheetId="6">'Site Configurations'!#REF!</definedName>
    <definedName name="Sys_Deployment">Dashboard!$C$11</definedName>
    <definedName name="table_1">#REF!</definedName>
    <definedName name="table_2">#REF!</definedName>
    <definedName name="table_3">#REF!</definedName>
    <definedName name="table_4">#REF!</definedName>
    <definedName name="Table_5__Definition_of_Sccp_Variant">#REF!</definedName>
    <definedName name="Targets_Covered" localSheetId="6">'Site Configurations'!#REF!</definedName>
    <definedName name="Targets_Covered">Dashboard!$H$5</definedName>
    <definedName name="Tax_Rate" localSheetId="6">'Site Configurations'!#REF!</definedName>
    <definedName name="Tax_Rate">Dashboard!$C$31</definedName>
    <definedName name="Tcap1__Ip_Address">'[2]IDs-IP@'!#REF!</definedName>
    <definedName name="Tcap1_Ip_Address">'[2]IDs-IP@'!#REF!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1" i="5" l="1"/>
  <c r="L82" i="5"/>
  <c r="L83" i="5"/>
  <c r="E49" i="5"/>
  <c r="N44" i="5" l="1"/>
  <c r="O44" i="5"/>
  <c r="P44" i="5"/>
  <c r="Q44" i="5"/>
  <c r="R44" i="5"/>
  <c r="N11" i="5"/>
  <c r="O11" i="5"/>
  <c r="P11" i="5"/>
  <c r="Q11" i="5"/>
  <c r="R11" i="5"/>
  <c r="G115" i="11"/>
  <c r="G84" i="11"/>
  <c r="G66" i="11"/>
  <c r="N65" i="5" l="1"/>
  <c r="O65" i="5"/>
  <c r="P65" i="5"/>
  <c r="Q65" i="5"/>
  <c r="R65" i="5"/>
  <c r="N66" i="5"/>
  <c r="O66" i="5"/>
  <c r="P66" i="5"/>
  <c r="Q66" i="5"/>
  <c r="R66" i="5"/>
  <c r="N67" i="5"/>
  <c r="O67" i="5"/>
  <c r="P67" i="5"/>
  <c r="Q67" i="5"/>
  <c r="R67" i="5"/>
  <c r="N72" i="5"/>
  <c r="O72" i="5"/>
  <c r="P72" i="5"/>
  <c r="Q72" i="5"/>
  <c r="R72" i="5"/>
  <c r="N73" i="5"/>
  <c r="O73" i="5"/>
  <c r="P73" i="5"/>
  <c r="Q73" i="5"/>
  <c r="R73" i="5"/>
  <c r="N74" i="5"/>
  <c r="O74" i="5"/>
  <c r="P74" i="5"/>
  <c r="Q74" i="5"/>
  <c r="R74" i="5"/>
  <c r="N32" i="5"/>
  <c r="O32" i="5"/>
  <c r="P32" i="5"/>
  <c r="Q32" i="5"/>
  <c r="R32" i="5"/>
  <c r="N33" i="5"/>
  <c r="O33" i="5"/>
  <c r="P33" i="5"/>
  <c r="Q33" i="5"/>
  <c r="R33" i="5"/>
  <c r="N34" i="5"/>
  <c r="O34" i="5"/>
  <c r="P34" i="5"/>
  <c r="Q34" i="5"/>
  <c r="R34" i="5"/>
  <c r="N35" i="5"/>
  <c r="O35" i="5"/>
  <c r="P35" i="5"/>
  <c r="Q35" i="5"/>
  <c r="R35" i="5"/>
  <c r="N36" i="5"/>
  <c r="O36" i="5"/>
  <c r="P36" i="5"/>
  <c r="Q36" i="5"/>
  <c r="R36" i="5"/>
  <c r="N37" i="5"/>
  <c r="O37" i="5"/>
  <c r="P37" i="5"/>
  <c r="Q37" i="5"/>
  <c r="R37" i="5"/>
  <c r="N38" i="5"/>
  <c r="O38" i="5"/>
  <c r="P38" i="5"/>
  <c r="Q38" i="5"/>
  <c r="R38" i="5"/>
  <c r="N39" i="5"/>
  <c r="O39" i="5"/>
  <c r="P39" i="5"/>
  <c r="Q39" i="5"/>
  <c r="R39" i="5"/>
  <c r="N40" i="5"/>
  <c r="O40" i="5"/>
  <c r="P40" i="5"/>
  <c r="Q40" i="5"/>
  <c r="R40" i="5"/>
  <c r="N41" i="5"/>
  <c r="O41" i="5"/>
  <c r="P41" i="5"/>
  <c r="Q41" i="5"/>
  <c r="R41" i="5"/>
  <c r="G116" i="11" l="1"/>
  <c r="G114" i="11"/>
  <c r="G113" i="11"/>
  <c r="G100" i="11"/>
  <c r="G99" i="11"/>
  <c r="G98" i="11"/>
  <c r="G85" i="11"/>
  <c r="G83" i="11"/>
  <c r="G82" i="11"/>
  <c r="G81" i="11"/>
  <c r="G80" i="11"/>
  <c r="G101" i="11" l="1"/>
  <c r="G117" i="11"/>
  <c r="G86" i="11"/>
  <c r="E21" i="5" l="1"/>
  <c r="E54" i="5"/>
  <c r="E20" i="5"/>
  <c r="E53" i="5"/>
  <c r="E22" i="5"/>
  <c r="E55" i="5"/>
  <c r="O54" i="5" l="1"/>
  <c r="R54" i="5"/>
  <c r="P54" i="5"/>
  <c r="N54" i="5"/>
  <c r="Q54" i="5"/>
  <c r="N53" i="5"/>
  <c r="R53" i="5"/>
  <c r="O53" i="5"/>
  <c r="P53" i="5"/>
  <c r="Q53" i="5"/>
  <c r="G64" i="11" l="1"/>
  <c r="G65" i="11"/>
  <c r="G67" i="11"/>
  <c r="G63" i="11"/>
  <c r="G62" i="11"/>
  <c r="G46" i="11"/>
  <c r="G45" i="11"/>
  <c r="G44" i="11"/>
  <c r="G43" i="11"/>
  <c r="G42" i="11"/>
  <c r="G31" i="11"/>
  <c r="G30" i="11"/>
  <c r="G29" i="11"/>
  <c r="G28" i="11"/>
  <c r="G27" i="11"/>
  <c r="G13" i="11"/>
  <c r="G14" i="11"/>
  <c r="G15" i="11"/>
  <c r="G16" i="11"/>
  <c r="G12" i="11"/>
  <c r="G17" i="11" l="1"/>
  <c r="G68" i="11"/>
  <c r="G47" i="11"/>
  <c r="G32" i="11"/>
  <c r="C4" i="4"/>
  <c r="C5" i="4"/>
  <c r="C6" i="4"/>
  <c r="C7" i="4"/>
  <c r="C8" i="4"/>
  <c r="C9" i="4"/>
  <c r="C10" i="4"/>
  <c r="C11" i="4"/>
  <c r="C3" i="4"/>
  <c r="F22" i="9"/>
  <c r="F25" i="9"/>
  <c r="F24" i="9"/>
  <c r="F23" i="9"/>
  <c r="F19" i="9"/>
  <c r="F18" i="9"/>
  <c r="F17" i="9"/>
  <c r="F16" i="9"/>
  <c r="F15" i="9"/>
  <c r="D89" i="2"/>
  <c r="E89" i="2"/>
  <c r="F89" i="2"/>
  <c r="G89" i="2"/>
  <c r="H89" i="2"/>
  <c r="C89" i="2"/>
  <c r="F14" i="9"/>
  <c r="F13" i="9"/>
  <c r="F44" i="5" l="1"/>
  <c r="F10" i="5"/>
  <c r="F43" i="5"/>
  <c r="F11" i="5"/>
  <c r="F55" i="5" a="1"/>
  <c r="F55" i="5" s="1"/>
  <c r="F54" i="5" a="1"/>
  <c r="F54" i="5" s="1"/>
  <c r="F53" i="5" a="1"/>
  <c r="F53" i="5" s="1"/>
  <c r="F52" i="5" a="1"/>
  <c r="F52" i="5" s="1"/>
  <c r="F22" i="5" a="1"/>
  <c r="F22" i="5" s="1"/>
  <c r="F34" i="5" s="1"/>
  <c r="F20" i="5" a="1"/>
  <c r="F20" i="5" s="1"/>
  <c r="F32" i="5" s="1"/>
  <c r="F19" i="5" a="1"/>
  <c r="F19" i="5" s="1"/>
  <c r="F31" i="5" s="1"/>
  <c r="F38" i="5" s="1"/>
  <c r="F16" i="5"/>
  <c r="F21" i="5" a="1"/>
  <c r="F21" i="5" s="1"/>
  <c r="F33" i="5" s="1"/>
  <c r="E16" i="5"/>
  <c r="E17" i="5"/>
  <c r="E50" i="5"/>
  <c r="E18" i="5"/>
  <c r="E51" i="5"/>
  <c r="E19" i="5"/>
  <c r="E52" i="5"/>
  <c r="H15" i="2" a="1"/>
  <c r="H15" i="2" s="1"/>
  <c r="G13" i="9"/>
  <c r="G22" i="9"/>
  <c r="H22" i="9" s="1"/>
  <c r="H6" i="2"/>
  <c r="H5" i="2"/>
  <c r="H10" i="2"/>
  <c r="H9" i="2"/>
  <c r="H11" i="2"/>
  <c r="H14" i="2" a="1"/>
  <c r="H14" i="2" s="1"/>
  <c r="H19" i="2"/>
  <c r="H20" i="2"/>
  <c r="H21" i="2"/>
  <c r="H16" i="2" a="1"/>
  <c r="H16" i="2" s="1"/>
  <c r="M11" i="5" l="1"/>
  <c r="S11" i="5" s="1"/>
  <c r="L11" i="5"/>
  <c r="M44" i="5"/>
  <c r="S44" i="5" s="1"/>
  <c r="L44" i="5"/>
  <c r="M38" i="5"/>
  <c r="S38" i="5" s="1"/>
  <c r="L38" i="5"/>
  <c r="M32" i="5"/>
  <c r="S32" i="5" s="1"/>
  <c r="L32" i="5"/>
  <c r="F39" i="5"/>
  <c r="L34" i="5"/>
  <c r="F41" i="5"/>
  <c r="M41" i="5" s="1"/>
  <c r="S41" i="5" s="1"/>
  <c r="M34" i="5"/>
  <c r="S34" i="5" s="1"/>
  <c r="L52" i="5"/>
  <c r="F72" i="5"/>
  <c r="F65" i="5"/>
  <c r="F66" i="5"/>
  <c r="L53" i="5"/>
  <c r="F73" i="5"/>
  <c r="M53" i="5"/>
  <c r="S53" i="5" s="1"/>
  <c r="L54" i="5"/>
  <c r="F67" i="5"/>
  <c r="F74" i="5"/>
  <c r="M54" i="5"/>
  <c r="S54" i="5" s="1"/>
  <c r="F40" i="5"/>
  <c r="M33" i="5"/>
  <c r="S33" i="5" s="1"/>
  <c r="L33" i="5"/>
  <c r="F75" i="5"/>
  <c r="F68" i="5"/>
  <c r="N52" i="5"/>
  <c r="R52" i="5"/>
  <c r="O52" i="5"/>
  <c r="Q52" i="5"/>
  <c r="P52" i="5"/>
  <c r="M52" i="5"/>
  <c r="M22" i="9"/>
  <c r="I22" i="9"/>
  <c r="N22" i="9"/>
  <c r="L39" i="5" l="1"/>
  <c r="M39" i="5"/>
  <c r="S39" i="5" s="1"/>
  <c r="L73" i="5"/>
  <c r="M73" i="5"/>
  <c r="S73" i="5" s="1"/>
  <c r="M40" i="5"/>
  <c r="S40" i="5" s="1"/>
  <c r="L40" i="5"/>
  <c r="M66" i="5"/>
  <c r="S66" i="5" s="1"/>
  <c r="L66" i="5"/>
  <c r="L65" i="5"/>
  <c r="M65" i="5"/>
  <c r="S65" i="5" s="1"/>
  <c r="L74" i="5"/>
  <c r="M74" i="5"/>
  <c r="S74" i="5" s="1"/>
  <c r="L72" i="5"/>
  <c r="M72" i="5"/>
  <c r="S72" i="5" s="1"/>
  <c r="L67" i="5"/>
  <c r="M67" i="5"/>
  <c r="S67" i="5" s="1"/>
  <c r="S52" i="5"/>
  <c r="J22" i="9"/>
  <c r="O22" i="9"/>
  <c r="K22" i="9" l="1"/>
  <c r="P22" i="9"/>
  <c r="L22" i="9" l="1"/>
  <c r="Q22" i="9"/>
  <c r="R22" i="9" l="1"/>
  <c r="S22" i="9" s="1"/>
  <c r="F9" i="9" l="1"/>
  <c r="F6" i="9"/>
  <c r="F7" i="9"/>
  <c r="F8" i="9"/>
  <c r="F5" i="9"/>
  <c r="L25" i="9" l="1"/>
  <c r="K25" i="9"/>
  <c r="J25" i="9"/>
  <c r="I25" i="9"/>
  <c r="H25" i="9"/>
  <c r="G25" i="9"/>
  <c r="L20" i="9"/>
  <c r="K20" i="9"/>
  <c r="J20" i="9"/>
  <c r="I20" i="9"/>
  <c r="H20" i="9"/>
  <c r="G20" i="9"/>
  <c r="G18" i="9"/>
  <c r="H18" i="9" s="1"/>
  <c r="I18" i="9" s="1"/>
  <c r="J18" i="9" s="1"/>
  <c r="K18" i="9" s="1"/>
  <c r="L18" i="9" s="1"/>
  <c r="G16" i="9"/>
  <c r="H16" i="9" s="1"/>
  <c r="I16" i="9" s="1"/>
  <c r="J16" i="9" s="1"/>
  <c r="K16" i="9" s="1"/>
  <c r="L16" i="9" s="1"/>
  <c r="G17" i="9" a="1"/>
  <c r="G17" i="9" s="1"/>
  <c r="H17" i="9" s="1"/>
  <c r="I17" i="9" s="1"/>
  <c r="J17" i="9" s="1"/>
  <c r="K17" i="9" s="1"/>
  <c r="L17" i="9" s="1"/>
  <c r="F57" i="5"/>
  <c r="G15" i="9"/>
  <c r="H15" i="9" s="1"/>
  <c r="I15" i="9" s="1"/>
  <c r="J15" i="9" s="1"/>
  <c r="K15" i="9" s="1"/>
  <c r="L15" i="9" s="1"/>
  <c r="G14" i="9"/>
  <c r="H14" i="9" s="1"/>
  <c r="I14" i="9" s="1"/>
  <c r="J14" i="9" s="1"/>
  <c r="K14" i="9" s="1"/>
  <c r="L14" i="9" s="1"/>
  <c r="H13" i="9"/>
  <c r="I13" i="9" s="1"/>
  <c r="J13" i="9" s="1"/>
  <c r="K13" i="9" s="1"/>
  <c r="L13" i="9" s="1"/>
  <c r="G10" i="9"/>
  <c r="H10" i="9" s="1"/>
  <c r="I10" i="9" s="1"/>
  <c r="J10" i="9" s="1"/>
  <c r="K10" i="9" s="1"/>
  <c r="L10" i="9" s="1"/>
  <c r="G9" i="9" a="1"/>
  <c r="G9" i="9" s="1"/>
  <c r="H9" i="9" s="1"/>
  <c r="I9" i="9" s="1"/>
  <c r="J9" i="9" s="1"/>
  <c r="K9" i="9" s="1"/>
  <c r="L9" i="9" s="1"/>
  <c r="R9" i="9" l="1"/>
  <c r="G7" i="9"/>
  <c r="M7" i="9" s="1"/>
  <c r="G6" i="9"/>
  <c r="M6" i="9" s="1"/>
  <c r="M26" i="9"/>
  <c r="N26" i="9"/>
  <c r="O26" i="9"/>
  <c r="P26" i="9"/>
  <c r="Q26" i="9"/>
  <c r="R26" i="9"/>
  <c r="M27" i="9"/>
  <c r="N27" i="9"/>
  <c r="O27" i="9"/>
  <c r="P27" i="9"/>
  <c r="Q27" i="9"/>
  <c r="R27" i="9"/>
  <c r="M28" i="9"/>
  <c r="N28" i="9"/>
  <c r="O28" i="9"/>
  <c r="P28" i="9"/>
  <c r="Q28" i="9"/>
  <c r="R28" i="9"/>
  <c r="M29" i="9"/>
  <c r="N29" i="9"/>
  <c r="O29" i="9"/>
  <c r="P29" i="9"/>
  <c r="Q29" i="9"/>
  <c r="R29" i="9"/>
  <c r="M30" i="9"/>
  <c r="N30" i="9"/>
  <c r="O30" i="9"/>
  <c r="P30" i="9"/>
  <c r="Q30" i="9"/>
  <c r="R30" i="9"/>
  <c r="M31" i="9"/>
  <c r="N31" i="9"/>
  <c r="O31" i="9"/>
  <c r="P31" i="9"/>
  <c r="Q31" i="9"/>
  <c r="R31" i="9"/>
  <c r="M9" i="9"/>
  <c r="N9" i="9"/>
  <c r="O9" i="9"/>
  <c r="P9" i="9"/>
  <c r="M10" i="9"/>
  <c r="N10" i="9"/>
  <c r="O10" i="9"/>
  <c r="P10" i="9"/>
  <c r="Q10" i="9"/>
  <c r="R10" i="9"/>
  <c r="M13" i="9"/>
  <c r="N13" i="9"/>
  <c r="O13" i="9"/>
  <c r="P13" i="9"/>
  <c r="Q13" i="9"/>
  <c r="R13" i="9"/>
  <c r="M14" i="9"/>
  <c r="N14" i="9"/>
  <c r="O14" i="9"/>
  <c r="P14" i="9"/>
  <c r="Q14" i="9"/>
  <c r="R14" i="9"/>
  <c r="M15" i="9"/>
  <c r="N15" i="9"/>
  <c r="O15" i="9"/>
  <c r="P15" i="9"/>
  <c r="Q15" i="9"/>
  <c r="R15" i="9"/>
  <c r="M16" i="9"/>
  <c r="N16" i="9"/>
  <c r="O16" i="9"/>
  <c r="P16" i="9"/>
  <c r="Q16" i="9"/>
  <c r="R16" i="9"/>
  <c r="M17" i="9"/>
  <c r="N17" i="9"/>
  <c r="O17" i="9"/>
  <c r="P17" i="9"/>
  <c r="Q17" i="9"/>
  <c r="R17" i="9"/>
  <c r="M18" i="9"/>
  <c r="N18" i="9"/>
  <c r="O18" i="9"/>
  <c r="P18" i="9"/>
  <c r="Q18" i="9"/>
  <c r="R18" i="9"/>
  <c r="M20" i="9"/>
  <c r="N20" i="9"/>
  <c r="O20" i="9"/>
  <c r="P20" i="9"/>
  <c r="Q20" i="9"/>
  <c r="R20" i="9"/>
  <c r="R25" i="9"/>
  <c r="Q25" i="9"/>
  <c r="P25" i="9"/>
  <c r="O25" i="9"/>
  <c r="N25" i="9"/>
  <c r="M25" i="9"/>
  <c r="F79" i="5"/>
  <c r="L79" i="5" s="1"/>
  <c r="F80" i="5"/>
  <c r="M80" i="5" s="1"/>
  <c r="F78" i="5"/>
  <c r="L78" i="5" s="1"/>
  <c r="F77" i="5"/>
  <c r="N9" i="5"/>
  <c r="O9" i="5"/>
  <c r="P9" i="5"/>
  <c r="Q9" i="5"/>
  <c r="R9" i="5"/>
  <c r="N10" i="5"/>
  <c r="O10" i="5"/>
  <c r="P10" i="5"/>
  <c r="Q10" i="5"/>
  <c r="R10" i="5"/>
  <c r="N12" i="5"/>
  <c r="O12" i="5"/>
  <c r="P12" i="5"/>
  <c r="Q12" i="5"/>
  <c r="R12" i="5"/>
  <c r="N13" i="5"/>
  <c r="O13" i="5"/>
  <c r="P13" i="5"/>
  <c r="Q13" i="5"/>
  <c r="R13" i="5"/>
  <c r="N14" i="5"/>
  <c r="O14" i="5"/>
  <c r="P14" i="5"/>
  <c r="Q14" i="5"/>
  <c r="R14" i="5"/>
  <c r="N15" i="5"/>
  <c r="O15" i="5"/>
  <c r="P15" i="5"/>
  <c r="Q15" i="5"/>
  <c r="R15" i="5"/>
  <c r="N16" i="5"/>
  <c r="O16" i="5"/>
  <c r="P16" i="5"/>
  <c r="Q16" i="5"/>
  <c r="R16" i="5"/>
  <c r="N17" i="5"/>
  <c r="O17" i="5"/>
  <c r="P17" i="5"/>
  <c r="Q17" i="5"/>
  <c r="R17" i="5"/>
  <c r="N18" i="5"/>
  <c r="O18" i="5"/>
  <c r="P18" i="5"/>
  <c r="Q18" i="5"/>
  <c r="R18" i="5"/>
  <c r="N19" i="5"/>
  <c r="O19" i="5"/>
  <c r="P19" i="5"/>
  <c r="Q19" i="5"/>
  <c r="R19" i="5"/>
  <c r="N20" i="5"/>
  <c r="O20" i="5"/>
  <c r="P20" i="5"/>
  <c r="Q20" i="5"/>
  <c r="R20" i="5"/>
  <c r="N21" i="5"/>
  <c r="O21" i="5"/>
  <c r="P21" i="5"/>
  <c r="Q21" i="5"/>
  <c r="R21" i="5"/>
  <c r="N22" i="5"/>
  <c r="O22" i="5"/>
  <c r="P22" i="5"/>
  <c r="Q22" i="5"/>
  <c r="R22" i="5"/>
  <c r="N23" i="5"/>
  <c r="O23" i="5"/>
  <c r="P23" i="5"/>
  <c r="Q23" i="5"/>
  <c r="R23" i="5"/>
  <c r="N24" i="5"/>
  <c r="O24" i="5"/>
  <c r="P24" i="5"/>
  <c r="Q24" i="5"/>
  <c r="R24" i="5"/>
  <c r="N25" i="5"/>
  <c r="O25" i="5"/>
  <c r="P25" i="5"/>
  <c r="Q25" i="5"/>
  <c r="R25" i="5"/>
  <c r="N26" i="5"/>
  <c r="O26" i="5"/>
  <c r="P26" i="5"/>
  <c r="Q26" i="5"/>
  <c r="R26" i="5"/>
  <c r="N27" i="5"/>
  <c r="O27" i="5"/>
  <c r="P27" i="5"/>
  <c r="Q27" i="5"/>
  <c r="R27" i="5"/>
  <c r="N28" i="5"/>
  <c r="O28" i="5"/>
  <c r="P28" i="5"/>
  <c r="Q28" i="5"/>
  <c r="R28" i="5"/>
  <c r="N29" i="5"/>
  <c r="O29" i="5"/>
  <c r="P29" i="5"/>
  <c r="Q29" i="5"/>
  <c r="R29" i="5"/>
  <c r="N30" i="5"/>
  <c r="O30" i="5"/>
  <c r="P30" i="5"/>
  <c r="Q30" i="5"/>
  <c r="R30" i="5"/>
  <c r="N31" i="5"/>
  <c r="O31" i="5"/>
  <c r="P31" i="5"/>
  <c r="Q31" i="5"/>
  <c r="R31" i="5"/>
  <c r="N42" i="5"/>
  <c r="O42" i="5"/>
  <c r="P42" i="5"/>
  <c r="Q42" i="5"/>
  <c r="R42" i="5"/>
  <c r="N43" i="5"/>
  <c r="O43" i="5"/>
  <c r="P43" i="5"/>
  <c r="Q43" i="5"/>
  <c r="R43" i="5"/>
  <c r="N45" i="5"/>
  <c r="O45" i="5"/>
  <c r="P45" i="5"/>
  <c r="Q45" i="5"/>
  <c r="R45" i="5"/>
  <c r="N46" i="5"/>
  <c r="O46" i="5"/>
  <c r="P46" i="5"/>
  <c r="Q46" i="5"/>
  <c r="R46" i="5"/>
  <c r="N47" i="5"/>
  <c r="O47" i="5"/>
  <c r="P47" i="5"/>
  <c r="Q47" i="5"/>
  <c r="R47" i="5"/>
  <c r="N48" i="5"/>
  <c r="O48" i="5"/>
  <c r="P48" i="5"/>
  <c r="Q48" i="5"/>
  <c r="R48" i="5"/>
  <c r="N49" i="5"/>
  <c r="O49" i="5"/>
  <c r="P49" i="5"/>
  <c r="Q49" i="5"/>
  <c r="R49" i="5"/>
  <c r="N50" i="5"/>
  <c r="O50" i="5"/>
  <c r="P50" i="5"/>
  <c r="Q50" i="5"/>
  <c r="R50" i="5"/>
  <c r="N51" i="5"/>
  <c r="O51" i="5"/>
  <c r="P51" i="5"/>
  <c r="Q51" i="5"/>
  <c r="R51" i="5"/>
  <c r="N55" i="5"/>
  <c r="O55" i="5"/>
  <c r="P55" i="5"/>
  <c r="Q55" i="5"/>
  <c r="R55" i="5"/>
  <c r="N56" i="5"/>
  <c r="O56" i="5"/>
  <c r="P56" i="5"/>
  <c r="Q56" i="5"/>
  <c r="R56" i="5"/>
  <c r="N57" i="5"/>
  <c r="O57" i="5"/>
  <c r="P57" i="5"/>
  <c r="Q57" i="5"/>
  <c r="R57" i="5"/>
  <c r="N58" i="5"/>
  <c r="O58" i="5"/>
  <c r="P58" i="5"/>
  <c r="Q58" i="5"/>
  <c r="R58" i="5"/>
  <c r="N59" i="5"/>
  <c r="O59" i="5"/>
  <c r="P59" i="5"/>
  <c r="Q59" i="5"/>
  <c r="R59" i="5"/>
  <c r="N60" i="5"/>
  <c r="O60" i="5"/>
  <c r="P60" i="5"/>
  <c r="Q60" i="5"/>
  <c r="R60" i="5"/>
  <c r="N61" i="5"/>
  <c r="O61" i="5"/>
  <c r="P61" i="5"/>
  <c r="Q61" i="5"/>
  <c r="R61" i="5"/>
  <c r="N62" i="5"/>
  <c r="O62" i="5"/>
  <c r="P62" i="5"/>
  <c r="Q62" i="5"/>
  <c r="R62" i="5"/>
  <c r="N63" i="5"/>
  <c r="O63" i="5"/>
  <c r="P63" i="5"/>
  <c r="Q63" i="5"/>
  <c r="R63" i="5"/>
  <c r="N64" i="5"/>
  <c r="O64" i="5"/>
  <c r="P64" i="5"/>
  <c r="Q64" i="5"/>
  <c r="R64" i="5"/>
  <c r="N68" i="5"/>
  <c r="O68" i="5"/>
  <c r="P68" i="5"/>
  <c r="Q68" i="5"/>
  <c r="R68" i="5"/>
  <c r="N69" i="5"/>
  <c r="O69" i="5"/>
  <c r="P69" i="5"/>
  <c r="Q69" i="5"/>
  <c r="R69" i="5"/>
  <c r="N70" i="5"/>
  <c r="O70" i="5"/>
  <c r="P70" i="5"/>
  <c r="Q70" i="5"/>
  <c r="R70" i="5"/>
  <c r="N71" i="5"/>
  <c r="O71" i="5"/>
  <c r="P71" i="5"/>
  <c r="Q71" i="5"/>
  <c r="R71" i="5"/>
  <c r="N75" i="5"/>
  <c r="O75" i="5"/>
  <c r="P75" i="5"/>
  <c r="Q75" i="5"/>
  <c r="R75" i="5"/>
  <c r="N76" i="5"/>
  <c r="D121" i="2" s="1"/>
  <c r="O76" i="5"/>
  <c r="E121" i="2" s="1"/>
  <c r="P76" i="5"/>
  <c r="F121" i="2" s="1"/>
  <c r="Q76" i="5"/>
  <c r="G121" i="2" s="1"/>
  <c r="R76" i="5"/>
  <c r="H121" i="2" s="1"/>
  <c r="N77" i="5"/>
  <c r="O77" i="5"/>
  <c r="P77" i="5"/>
  <c r="Q77" i="5"/>
  <c r="R77" i="5"/>
  <c r="N78" i="5"/>
  <c r="O78" i="5"/>
  <c r="P78" i="5"/>
  <c r="Q78" i="5"/>
  <c r="R78" i="5"/>
  <c r="N79" i="5"/>
  <c r="O79" i="5"/>
  <c r="P79" i="5"/>
  <c r="Q79" i="5"/>
  <c r="R79" i="5"/>
  <c r="N80" i="5"/>
  <c r="O80" i="5"/>
  <c r="P80" i="5"/>
  <c r="Q80" i="5"/>
  <c r="R80" i="5"/>
  <c r="M81" i="5"/>
  <c r="C124" i="2" s="1"/>
  <c r="N81" i="5"/>
  <c r="O81" i="5"/>
  <c r="P81" i="5"/>
  <c r="Q81" i="5"/>
  <c r="R81" i="5"/>
  <c r="M82" i="5"/>
  <c r="N82" i="5"/>
  <c r="O82" i="5"/>
  <c r="P82" i="5"/>
  <c r="Q82" i="5"/>
  <c r="R82" i="5"/>
  <c r="M83" i="5"/>
  <c r="N83" i="5"/>
  <c r="O83" i="5"/>
  <c r="P83" i="5"/>
  <c r="Q83" i="5"/>
  <c r="R83" i="5"/>
  <c r="F61" i="5"/>
  <c r="L61" i="5" s="1"/>
  <c r="F60" i="5"/>
  <c r="L60" i="5" s="1"/>
  <c r="F59" i="5"/>
  <c r="L59" i="5" s="1"/>
  <c r="F58" i="5"/>
  <c r="L58" i="5" s="1"/>
  <c r="L57" i="5"/>
  <c r="F56" i="5"/>
  <c r="L56" i="5" s="1"/>
  <c r="L55" i="5"/>
  <c r="F51" i="5"/>
  <c r="L51" i="5" s="1"/>
  <c r="F50" i="5"/>
  <c r="F63" i="5" s="1"/>
  <c r="L63" i="5" s="1"/>
  <c r="F49" i="5"/>
  <c r="L49" i="5" s="1"/>
  <c r="F48" i="5"/>
  <c r="L48" i="5" s="1"/>
  <c r="F47" i="5"/>
  <c r="L47" i="5" s="1"/>
  <c r="F46" i="5"/>
  <c r="L46" i="5" s="1"/>
  <c r="F14" i="5"/>
  <c r="L14" i="5" s="1"/>
  <c r="F13" i="5"/>
  <c r="L13" i="5" s="1"/>
  <c r="F45" i="5"/>
  <c r="L45" i="5" s="1"/>
  <c r="L43" i="5"/>
  <c r="F42" i="5"/>
  <c r="L42" i="5" s="1"/>
  <c r="F27" i="5"/>
  <c r="L27" i="5" s="1"/>
  <c r="F26" i="5"/>
  <c r="L26" i="5" s="1"/>
  <c r="F25" i="5"/>
  <c r="L25" i="5" s="1"/>
  <c r="F24" i="5"/>
  <c r="L24" i="5" s="1"/>
  <c r="F23" i="5" a="1"/>
  <c r="F23" i="5" s="1"/>
  <c r="L23" i="5" s="1"/>
  <c r="L20" i="5"/>
  <c r="L19" i="5"/>
  <c r="L22" i="5"/>
  <c r="F18" i="5"/>
  <c r="L18" i="5" s="1"/>
  <c r="F17" i="5"/>
  <c r="L17" i="5" s="1"/>
  <c r="L16" i="5"/>
  <c r="F15" i="5"/>
  <c r="L15" i="5" s="1"/>
  <c r="F12" i="5"/>
  <c r="L12" i="5" s="1"/>
  <c r="L10" i="5"/>
  <c r="F9" i="5"/>
  <c r="L9" i="5" s="1"/>
  <c r="D68" i="2"/>
  <c r="E68" i="2"/>
  <c r="F68" i="2"/>
  <c r="G68" i="2"/>
  <c r="K4" i="9" s="1" a="1"/>
  <c r="K4" i="9" s="1"/>
  <c r="H68" i="2"/>
  <c r="L4" i="9" s="1" a="1"/>
  <c r="L4" i="9" s="1"/>
  <c r="C68" i="2"/>
  <c r="G4" i="9" s="1" a="1"/>
  <c r="G4" i="9" s="1"/>
  <c r="H4" i="2"/>
  <c r="F123" i="2" l="1"/>
  <c r="G119" i="2"/>
  <c r="D122" i="2"/>
  <c r="D123" i="2"/>
  <c r="E122" i="2"/>
  <c r="E123" i="2"/>
  <c r="H123" i="2"/>
  <c r="G123" i="2"/>
  <c r="F118" i="2"/>
  <c r="H4" i="9" a="1"/>
  <c r="H4" i="9" s="1"/>
  <c r="N4" i="9" s="1"/>
  <c r="J4" i="9" a="1"/>
  <c r="J4" i="9" s="1"/>
  <c r="P4" i="9" s="1"/>
  <c r="I4" i="9" a="1"/>
  <c r="I4" i="9" s="1"/>
  <c r="O4" i="9" s="1"/>
  <c r="G97" i="2"/>
  <c r="E97" i="2"/>
  <c r="F97" i="2"/>
  <c r="D97" i="2"/>
  <c r="C97" i="2"/>
  <c r="H97" i="2"/>
  <c r="L80" i="5"/>
  <c r="M4" i="9"/>
  <c r="F4" i="5" a="1"/>
  <c r="F4" i="5" s="1"/>
  <c r="F8" i="5" s="1"/>
  <c r="M8" i="5" s="1"/>
  <c r="F96" i="2"/>
  <c r="E96" i="2"/>
  <c r="D96" i="2"/>
  <c r="H96" i="2"/>
  <c r="C96" i="2"/>
  <c r="F6" i="5" a="1"/>
  <c r="F6" i="5" s="1"/>
  <c r="M6" i="5" s="1"/>
  <c r="I5" i="9" a="1"/>
  <c r="I5" i="9" s="1"/>
  <c r="O5" i="9" s="1"/>
  <c r="J5" i="9" a="1"/>
  <c r="J5" i="9" s="1"/>
  <c r="P5" i="9" s="1"/>
  <c r="G5" i="9" a="1"/>
  <c r="G5" i="9" s="1"/>
  <c r="M5" i="9" s="1"/>
  <c r="H5" i="9" a="1"/>
  <c r="H5" i="9" s="1"/>
  <c r="N5" i="9" s="1"/>
  <c r="L8" i="9" a="1"/>
  <c r="L8" i="9" s="1"/>
  <c r="R8" i="9" s="1"/>
  <c r="J8" i="9" a="1"/>
  <c r="J8" i="9" s="1"/>
  <c r="P8" i="9" s="1"/>
  <c r="L19" i="9" a="1"/>
  <c r="L19" i="9" s="1"/>
  <c r="R19" i="9" s="1"/>
  <c r="I8" i="9" a="1"/>
  <c r="I8" i="9" s="1"/>
  <c r="O8" i="9" s="1"/>
  <c r="J19" i="9" a="1"/>
  <c r="J19" i="9" s="1"/>
  <c r="P19" i="9" s="1"/>
  <c r="I19" i="9" a="1"/>
  <c r="I19" i="9" s="1"/>
  <c r="O19" i="9" s="1"/>
  <c r="G8" i="9" a="1"/>
  <c r="G8" i="9" s="1"/>
  <c r="M8" i="9" s="1"/>
  <c r="H19" i="9" a="1"/>
  <c r="H19" i="9" s="1"/>
  <c r="N19" i="9" s="1"/>
  <c r="R4" i="9"/>
  <c r="G19" i="9" a="1"/>
  <c r="G19" i="9" s="1"/>
  <c r="M19" i="9" s="1"/>
  <c r="H8" i="9" a="1"/>
  <c r="H8" i="9" s="1"/>
  <c r="N8" i="9" s="1"/>
  <c r="L5" i="9" a="1"/>
  <c r="L5" i="9" s="1"/>
  <c r="R5" i="9" s="1"/>
  <c r="K8" i="9" a="1"/>
  <c r="K8" i="9" s="1"/>
  <c r="Q8" i="9" s="1"/>
  <c r="K19" i="9" a="1"/>
  <c r="K19" i="9" s="1"/>
  <c r="Q4" i="9"/>
  <c r="K5" i="9" a="1"/>
  <c r="K5" i="9" s="1"/>
  <c r="Q5" i="9" s="1"/>
  <c r="C94" i="2"/>
  <c r="H124" i="2"/>
  <c r="H119" i="2"/>
  <c r="H118" i="2"/>
  <c r="G117" i="2"/>
  <c r="E116" i="2"/>
  <c r="F119" i="2"/>
  <c r="G118" i="2"/>
  <c r="F117" i="2"/>
  <c r="D116" i="2"/>
  <c r="G124" i="2"/>
  <c r="H122" i="2"/>
  <c r="G120" i="2"/>
  <c r="D119" i="2"/>
  <c r="E118" i="2"/>
  <c r="D117" i="2"/>
  <c r="H117" i="2"/>
  <c r="H120" i="2"/>
  <c r="E117" i="2"/>
  <c r="F124" i="2"/>
  <c r="G122" i="2"/>
  <c r="F120" i="2"/>
  <c r="D118" i="2"/>
  <c r="E124" i="2"/>
  <c r="F122" i="2"/>
  <c r="E120" i="2"/>
  <c r="H116" i="2"/>
  <c r="F116" i="2"/>
  <c r="E119" i="2"/>
  <c r="D124" i="2"/>
  <c r="D120" i="2"/>
  <c r="G116" i="2"/>
  <c r="S30" i="9"/>
  <c r="S26" i="9"/>
  <c r="Q9" i="9"/>
  <c r="S25" i="9"/>
  <c r="S28" i="9"/>
  <c r="S31" i="9"/>
  <c r="S29" i="9"/>
  <c r="S27" i="9"/>
  <c r="S14" i="9"/>
  <c r="H6" i="9"/>
  <c r="N6" i="9" s="1"/>
  <c r="S20" i="9"/>
  <c r="H7" i="9"/>
  <c r="N7" i="9" s="1"/>
  <c r="S13" i="9"/>
  <c r="S18" i="9"/>
  <c r="S15" i="9"/>
  <c r="M59" i="5"/>
  <c r="S59" i="5" s="1"/>
  <c r="S16" i="9"/>
  <c r="S10" i="9"/>
  <c r="S17" i="9"/>
  <c r="S81" i="5"/>
  <c r="F76" i="5"/>
  <c r="L76" i="5" s="1"/>
  <c r="M46" i="5"/>
  <c r="S46" i="5" s="1"/>
  <c r="M25" i="5"/>
  <c r="M57" i="5"/>
  <c r="S57" i="5" s="1"/>
  <c r="M50" i="5"/>
  <c r="S50" i="5" s="1"/>
  <c r="M19" i="5"/>
  <c r="M15" i="5"/>
  <c r="S15" i="5" s="1"/>
  <c r="M10" i="5"/>
  <c r="S10" i="5" s="1"/>
  <c r="S82" i="5"/>
  <c r="M60" i="5"/>
  <c r="S60" i="5" s="1"/>
  <c r="M58" i="5"/>
  <c r="S58" i="5" s="1"/>
  <c r="M51" i="5"/>
  <c r="S51" i="5" s="1"/>
  <c r="M47" i="5"/>
  <c r="S47" i="5" s="1"/>
  <c r="M42" i="5"/>
  <c r="S42" i="5" s="1"/>
  <c r="M26" i="5"/>
  <c r="S26" i="5" s="1"/>
  <c r="M24" i="5"/>
  <c r="M20" i="5"/>
  <c r="S20" i="5" s="1"/>
  <c r="M63" i="5"/>
  <c r="S63" i="5" s="1"/>
  <c r="M23" i="5"/>
  <c r="M16" i="5"/>
  <c r="M12" i="5"/>
  <c r="S12" i="5" s="1"/>
  <c r="M61" i="5"/>
  <c r="S61" i="5" s="1"/>
  <c r="M55" i="5"/>
  <c r="S55" i="5" s="1"/>
  <c r="M48" i="5"/>
  <c r="S48" i="5" s="1"/>
  <c r="M43" i="5"/>
  <c r="S43" i="5" s="1"/>
  <c r="M27" i="5"/>
  <c r="S27" i="5" s="1"/>
  <c r="M17" i="5"/>
  <c r="S17" i="5" s="1"/>
  <c r="M13" i="5"/>
  <c r="S13" i="5" s="1"/>
  <c r="S83" i="5"/>
  <c r="M56" i="5"/>
  <c r="M49" i="5"/>
  <c r="S49" i="5" s="1"/>
  <c r="M45" i="5"/>
  <c r="S45" i="5" s="1"/>
  <c r="M22" i="5"/>
  <c r="S22" i="5" s="1"/>
  <c r="M18" i="5"/>
  <c r="S18" i="5" s="1"/>
  <c r="M14" i="5"/>
  <c r="S14" i="5" s="1"/>
  <c r="M9" i="5"/>
  <c r="M78" i="5"/>
  <c r="S80" i="5"/>
  <c r="M79" i="5"/>
  <c r="S79" i="5" s="1"/>
  <c r="M77" i="5"/>
  <c r="L77" i="5"/>
  <c r="F69" i="5"/>
  <c r="F70" i="5"/>
  <c r="F71" i="5"/>
  <c r="L50" i="5"/>
  <c r="F62" i="5"/>
  <c r="F64" i="5"/>
  <c r="F30" i="5"/>
  <c r="F29" i="5"/>
  <c r="F35" i="5"/>
  <c r="F37" i="5"/>
  <c r="F36" i="5"/>
  <c r="F28" i="5"/>
  <c r="G72" i="2"/>
  <c r="G87" i="2" s="1"/>
  <c r="G4" i="5" l="1" a="1"/>
  <c r="G4" i="5" s="1"/>
  <c r="N4" i="5" s="1"/>
  <c r="F5" i="5"/>
  <c r="M5" i="5" s="1"/>
  <c r="M4" i="5"/>
  <c r="F7" i="5"/>
  <c r="M7" i="5" s="1"/>
  <c r="M36" i="5"/>
  <c r="S36" i="5" s="1"/>
  <c r="L36" i="5"/>
  <c r="L37" i="5"/>
  <c r="M37" i="5"/>
  <c r="S37" i="5" s="1"/>
  <c r="L35" i="5"/>
  <c r="M35" i="5"/>
  <c r="S35" i="5" s="1"/>
  <c r="C93" i="2"/>
  <c r="D93" i="2"/>
  <c r="F93" i="2"/>
  <c r="G93" i="2"/>
  <c r="E93" i="2"/>
  <c r="S77" i="5"/>
  <c r="G96" i="2"/>
  <c r="H93" i="2"/>
  <c r="S25" i="5"/>
  <c r="C123" i="2"/>
  <c r="G6" i="5" a="1"/>
  <c r="G6" i="5" s="1"/>
  <c r="N6" i="5" s="1"/>
  <c r="D94" i="2"/>
  <c r="D95" i="2"/>
  <c r="C95" i="2"/>
  <c r="S23" i="5"/>
  <c r="F12" i="9"/>
  <c r="M76" i="5"/>
  <c r="S76" i="5" s="1"/>
  <c r="S4" i="9"/>
  <c r="H99" i="2"/>
  <c r="H95" i="2"/>
  <c r="E99" i="2"/>
  <c r="E95" i="2"/>
  <c r="F99" i="2"/>
  <c r="F95" i="2"/>
  <c r="S56" i="5"/>
  <c r="F21" i="9" a="1"/>
  <c r="F21" i="9" s="1"/>
  <c r="C99" i="2"/>
  <c r="S8" i="9"/>
  <c r="D99" i="2"/>
  <c r="S5" i="9"/>
  <c r="Q19" i="9"/>
  <c r="S19" i="9" s="1"/>
  <c r="G99" i="2"/>
  <c r="S9" i="9"/>
  <c r="S24" i="5"/>
  <c r="C119" i="2"/>
  <c r="S9" i="5"/>
  <c r="C116" i="2"/>
  <c r="S78" i="5"/>
  <c r="C122" i="2"/>
  <c r="S19" i="5"/>
  <c r="C120" i="2"/>
  <c r="S16" i="5"/>
  <c r="C117" i="2"/>
  <c r="I7" i="9"/>
  <c r="J7" i="9" s="1"/>
  <c r="K7" i="9" s="1"/>
  <c r="L7" i="9" s="1"/>
  <c r="R7" i="9" s="1"/>
  <c r="I6" i="9"/>
  <c r="J6" i="9" s="1"/>
  <c r="L70" i="5"/>
  <c r="M70" i="5"/>
  <c r="S70" i="5" s="1"/>
  <c r="L41" i="5"/>
  <c r="L69" i="5"/>
  <c r="M69" i="5"/>
  <c r="S69" i="5" s="1"/>
  <c r="L29" i="5"/>
  <c r="M29" i="5"/>
  <c r="S29" i="5" s="1"/>
  <c r="L21" i="5"/>
  <c r="M21" i="5"/>
  <c r="S21" i="5" s="1"/>
  <c r="L71" i="5"/>
  <c r="M71" i="5"/>
  <c r="S71" i="5" s="1"/>
  <c r="L30" i="5"/>
  <c r="M30" i="5"/>
  <c r="S30" i="5" s="1"/>
  <c r="L28" i="5"/>
  <c r="M28" i="5"/>
  <c r="S28" i="5" s="1"/>
  <c r="L64" i="5"/>
  <c r="M64" i="5"/>
  <c r="S64" i="5" s="1"/>
  <c r="L75" i="5"/>
  <c r="M75" i="5"/>
  <c r="S75" i="5" s="1"/>
  <c r="L62" i="5"/>
  <c r="M62" i="5"/>
  <c r="S62" i="5" s="1"/>
  <c r="L68" i="5"/>
  <c r="M68" i="5"/>
  <c r="S68" i="5" s="1"/>
  <c r="G8" i="5"/>
  <c r="N8" i="5" s="1"/>
  <c r="G73" i="2"/>
  <c r="G88" i="2" s="1"/>
  <c r="H73" i="2"/>
  <c r="H88" i="2" s="1"/>
  <c r="C73" i="2"/>
  <c r="C88" i="2" s="1"/>
  <c r="D73" i="2"/>
  <c r="D88" i="2" s="1"/>
  <c r="E73" i="2"/>
  <c r="E88" i="2" s="1"/>
  <c r="F73" i="2"/>
  <c r="F88" i="2" s="1"/>
  <c r="F72" i="2"/>
  <c r="F87" i="2" s="1"/>
  <c r="E72" i="2"/>
  <c r="E87" i="2" s="1"/>
  <c r="G71" i="2"/>
  <c r="D72" i="2"/>
  <c r="D87" i="2" s="1"/>
  <c r="C72" i="2"/>
  <c r="C87" i="2" s="1"/>
  <c r="C71" i="2"/>
  <c r="C86" i="2" s="1"/>
  <c r="H71" i="2"/>
  <c r="F71" i="2"/>
  <c r="E71" i="2"/>
  <c r="D71" i="2"/>
  <c r="D86" i="2" s="1"/>
  <c r="H72" i="2"/>
  <c r="H87" i="2" s="1"/>
  <c r="H4" i="5" l="1" a="1"/>
  <c r="H4" i="5" s="1"/>
  <c r="O4" i="5" s="1"/>
  <c r="C114" i="2"/>
  <c r="G7" i="5"/>
  <c r="N7" i="5" s="1"/>
  <c r="G5" i="5"/>
  <c r="N5" i="5" s="1"/>
  <c r="D114" i="2" s="1"/>
  <c r="H6" i="5" a="1"/>
  <c r="H6" i="5" s="1"/>
  <c r="O6" i="5" s="1"/>
  <c r="C121" i="2"/>
  <c r="F11" i="9" a="1"/>
  <c r="F11" i="9" s="1"/>
  <c r="M12" i="9"/>
  <c r="N12" i="9"/>
  <c r="O12" i="9"/>
  <c r="P12" i="9"/>
  <c r="Q12" i="9"/>
  <c r="R12" i="9"/>
  <c r="G95" i="2"/>
  <c r="N85" i="5"/>
  <c r="R21" i="9"/>
  <c r="Q21" i="9"/>
  <c r="P21" i="9"/>
  <c r="O21" i="9"/>
  <c r="N21" i="9"/>
  <c r="M21" i="9"/>
  <c r="D115" i="2"/>
  <c r="C118" i="2"/>
  <c r="O6" i="9"/>
  <c r="P7" i="9"/>
  <c r="O7" i="9"/>
  <c r="Q7" i="9"/>
  <c r="K6" i="9"/>
  <c r="P6" i="9"/>
  <c r="L31" i="5"/>
  <c r="M31" i="5"/>
  <c r="S31" i="5" s="1"/>
  <c r="H8" i="5"/>
  <c r="O8" i="5" s="1"/>
  <c r="C85" i="2"/>
  <c r="D85" i="2"/>
  <c r="F74" i="2"/>
  <c r="J24" i="9" s="1"/>
  <c r="F86" i="2"/>
  <c r="F85" i="2" s="1"/>
  <c r="G74" i="2"/>
  <c r="K24" i="9" s="1"/>
  <c r="G86" i="2"/>
  <c r="G85" i="2" s="1"/>
  <c r="H74" i="2"/>
  <c r="L24" i="9" s="1"/>
  <c r="H86" i="2"/>
  <c r="H85" i="2" s="1"/>
  <c r="E74" i="2"/>
  <c r="I24" i="9" s="1"/>
  <c r="E86" i="2"/>
  <c r="E85" i="2" s="1"/>
  <c r="C74" i="2"/>
  <c r="G24" i="9" s="1"/>
  <c r="D74" i="2"/>
  <c r="H24" i="9" s="1"/>
  <c r="H7" i="5" l="1"/>
  <c r="O7" i="5" s="1"/>
  <c r="I4" i="5" a="1"/>
  <c r="I4" i="5" s="1"/>
  <c r="P4" i="5" s="1"/>
  <c r="H5" i="5"/>
  <c r="O5" i="5" s="1"/>
  <c r="O85" i="5" s="1"/>
  <c r="E78" i="2"/>
  <c r="O24" i="9"/>
  <c r="H78" i="2"/>
  <c r="R24" i="9"/>
  <c r="G78" i="2"/>
  <c r="Q24" i="9"/>
  <c r="D78" i="2"/>
  <c r="N24" i="9"/>
  <c r="C78" i="2"/>
  <c r="F78" i="2"/>
  <c r="P24" i="9"/>
  <c r="D113" i="2"/>
  <c r="I6" i="5" a="1"/>
  <c r="I6" i="5" s="1"/>
  <c r="P6" i="5" s="1"/>
  <c r="C115" i="2"/>
  <c r="C113" i="2" s="1"/>
  <c r="G101" i="2" s="1"/>
  <c r="E94" i="2"/>
  <c r="S12" i="9"/>
  <c r="F94" i="2"/>
  <c r="M85" i="5"/>
  <c r="Q11" i="9"/>
  <c r="R11" i="9"/>
  <c r="M11" i="9"/>
  <c r="O11" i="9"/>
  <c r="N11" i="9"/>
  <c r="P11" i="9"/>
  <c r="K23" i="9"/>
  <c r="Q23" i="9" s="1"/>
  <c r="H23" i="9"/>
  <c r="N23" i="9" s="1"/>
  <c r="S21" i="9"/>
  <c r="G23" i="9"/>
  <c r="J23" i="9"/>
  <c r="P23" i="9" s="1"/>
  <c r="I23" i="9"/>
  <c r="O23" i="9" s="1"/>
  <c r="L23" i="9"/>
  <c r="R23" i="9" s="1"/>
  <c r="E115" i="2"/>
  <c r="S7" i="9"/>
  <c r="L6" i="9"/>
  <c r="Q6" i="9"/>
  <c r="I8" i="5" l="1"/>
  <c r="P8" i="5" s="1"/>
  <c r="J4" i="5" a="1"/>
  <c r="J4" i="5" s="1"/>
  <c r="Q4" i="5" s="1"/>
  <c r="E114" i="2"/>
  <c r="E113" i="2" s="1"/>
  <c r="F111" i="2" s="1"/>
  <c r="I7" i="5"/>
  <c r="P7" i="5" s="1"/>
  <c r="I5" i="5"/>
  <c r="P5" i="5" s="1"/>
  <c r="J6" i="5" a="1"/>
  <c r="J6" i="5" s="1"/>
  <c r="Q6" i="5" s="1"/>
  <c r="F114" i="2"/>
  <c r="F92" i="2"/>
  <c r="E92" i="2"/>
  <c r="C92" i="2"/>
  <c r="H92" i="2"/>
  <c r="G92" i="2"/>
  <c r="E98" i="2"/>
  <c r="D98" i="2"/>
  <c r="N33" i="9"/>
  <c r="D92" i="2"/>
  <c r="H98" i="2"/>
  <c r="S11" i="9"/>
  <c r="O33" i="9"/>
  <c r="G94" i="2"/>
  <c r="Q33" i="9"/>
  <c r="P33" i="9"/>
  <c r="G98" i="2"/>
  <c r="F98" i="2"/>
  <c r="M23" i="9"/>
  <c r="M24" i="9"/>
  <c r="F115" i="2"/>
  <c r="F101" i="2"/>
  <c r="D101" i="2"/>
  <c r="E111" i="2"/>
  <c r="H101" i="2"/>
  <c r="E101" i="2"/>
  <c r="D111" i="2"/>
  <c r="R6" i="9"/>
  <c r="P85" i="5" l="1"/>
  <c r="J8" i="5"/>
  <c r="Q8" i="5" s="1"/>
  <c r="K4" i="5" a="1"/>
  <c r="K4" i="5" s="1"/>
  <c r="R4" i="5" s="1"/>
  <c r="S4" i="5" s="1"/>
  <c r="J5" i="5"/>
  <c r="Q5" i="5" s="1"/>
  <c r="J7" i="5"/>
  <c r="Q7" i="5" s="1"/>
  <c r="F113" i="2"/>
  <c r="G111" i="2" s="1"/>
  <c r="K6" i="5" a="1"/>
  <c r="K6" i="5" s="1"/>
  <c r="R6" i="5" s="1"/>
  <c r="S6" i="5" s="1"/>
  <c r="G114" i="2"/>
  <c r="F91" i="2"/>
  <c r="F103" i="2" s="1"/>
  <c r="F105" i="2" s="1"/>
  <c r="F107" i="2" s="1"/>
  <c r="E91" i="2"/>
  <c r="E103" i="2" s="1"/>
  <c r="E105" i="2" s="1"/>
  <c r="E107" i="2" s="1"/>
  <c r="E126" i="2" s="1"/>
  <c r="E130" i="2" s="1"/>
  <c r="R33" i="9"/>
  <c r="D91" i="2"/>
  <c r="D103" i="2" s="1"/>
  <c r="D105" i="2" s="1"/>
  <c r="D107" i="2" s="1"/>
  <c r="D126" i="2" s="1"/>
  <c r="D130" i="2" s="1"/>
  <c r="M33" i="9"/>
  <c r="G91" i="2"/>
  <c r="G103" i="2" s="1"/>
  <c r="G105" i="2" s="1"/>
  <c r="G107" i="2" s="1"/>
  <c r="S23" i="9"/>
  <c r="C98" i="2"/>
  <c r="C91" i="2" s="1"/>
  <c r="C103" i="2" s="1"/>
  <c r="C105" i="2" s="1"/>
  <c r="C107" i="2" s="1"/>
  <c r="C126" i="2" s="1"/>
  <c r="C130" i="2" s="1"/>
  <c r="S24" i="9"/>
  <c r="S6" i="9"/>
  <c r="H94" i="2"/>
  <c r="H91" i="2" s="1"/>
  <c r="H103" i="2" s="1"/>
  <c r="H105" i="2" s="1"/>
  <c r="H107" i="2" s="1"/>
  <c r="G115" i="2"/>
  <c r="Q85" i="5" l="1"/>
  <c r="L4" i="5"/>
  <c r="K8" i="5"/>
  <c r="R8" i="5" s="1"/>
  <c r="K7" i="5"/>
  <c r="R7" i="5" s="1"/>
  <c r="S7" i="5" s="1"/>
  <c r="K5" i="5"/>
  <c r="R5" i="5" s="1"/>
  <c r="R85" i="5" s="1"/>
  <c r="F126" i="2"/>
  <c r="F130" i="2" s="1"/>
  <c r="G113" i="2"/>
  <c r="G126" i="2" s="1"/>
  <c r="H114" i="2"/>
  <c r="L6" i="5"/>
  <c r="H115" i="2"/>
  <c r="S33" i="9"/>
  <c r="S8" i="5"/>
  <c r="L8" i="5"/>
  <c r="L7" i="5"/>
  <c r="L5" i="5"/>
  <c r="S5" i="5" l="1"/>
  <c r="H111" i="2"/>
  <c r="H113" i="2"/>
  <c r="S85" i="5"/>
  <c r="G130" i="2"/>
  <c r="H126" i="2" l="1"/>
  <c r="H130" i="2" s="1"/>
  <c r="C131" i="2" l="1"/>
  <c r="C13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tc={83DCE3D2-894E-49B8-A656-B2D10413E469}</author>
    <author>tc={545D4105-A712-4877-83A0-3E53CB9E6127}</author>
    <author>tc={5B1A2BA1-B2D0-4B92-8B4C-9CD30E089545}</author>
    <author>tc={187119D2-FAF7-4BC9-AF30-3A335300E1F6}</author>
    <author>tc={684CF4B1-FCDC-49F3-9B72-A850210DA53D}</author>
    <author>tc={1B29C257-B42C-4DEE-9269-1CAC504E8521}</author>
    <author>tc={314DFD6F-99FC-4B32-B31C-8C4D8EB14D3B}</author>
    <author>tc={BD08DCEE-A818-4761-BFF2-B3E15B6C91ED}</author>
    <author>tc={7185BC7F-D696-4D44-A77E-BA0232FDB820}</author>
    <author>tc={EA653C54-279E-4DB5-85CF-435B8A293655}</author>
    <author>tc={E99E55CC-7513-42F3-8268-E03D7AB440EE}</author>
    <author>tc={FB855019-BC2F-485B-B067-BBDD90B0B3E5}</author>
    <author>tc={8A47187B-DBB7-43AE-B7AB-5E982F1EB50F}</author>
  </authors>
  <commentList>
    <comment ref="B4" authorId="0" shapeId="0" xr:uid="{83DCE3D2-894E-49B8-A656-B2D10413E469}">
      <text>
        <t>[Threaded comment]
Your version of Excel allows you to read this threaded comment; however, any edits to it will get removed if the file is opened in a newer version of Excel. Learn more: https://go.microsoft.com/fwlink/?linkid=870924
Comment:
    This option allows to analize all the sites in the HLD sheet or just the ones with 
Selected Site = "Y"</t>
      </text>
    </comment>
    <comment ref="B8" authorId="1" shapeId="0" xr:uid="{545D4105-A712-4877-83A0-3E53CB9E6127}">
      <text>
        <t>[Threaded comment]
Your version of Excel allows you to read this threaded comment; however, any edits to it will get removed if the file is opened in a newer version of Excel. Learn more: https://go.microsoft.com/fwlink/?linkid=870924
Comment:
    Fill this data based on your Network Architecture defined in Module 2 of the Playbook</t>
      </text>
    </comment>
    <comment ref="F9" authorId="2" shapeId="0" xr:uid="{5B1A2BA1-B2D0-4B92-8B4C-9CD30E089545}">
      <text>
        <t>[Threaded comment]
Your version of Excel allows you to read this threaded comment; however, any edits to it will get removed if the file is opened in a newer version of Excel. Learn more: https://go.microsoft.com/fwlink/?linkid=870924
Comment:
    RAN Configurations are defined in "Site Configurations" sheet</t>
      </text>
    </comment>
    <comment ref="B12" authorId="3" shapeId="0" xr:uid="{187119D2-FAF7-4BC9-AF30-3A335300E1F6}">
      <text>
        <t>[Threaded comment]
Your version of Excel allows you to read this threaded comment; however, any edits to it will get removed if the file is opened in a newer version of Excel. Learn more: https://go.microsoft.com/fwlink/?linkid=870924
Comment:
    Only applies in the case that systems are implemented on-premise</t>
      </text>
    </comment>
    <comment ref="B32" authorId="4" shapeId="0" xr:uid="{684CF4B1-FCDC-49F3-9B72-A850210DA53D}">
      <text>
        <t>[Threaded comment]
Your version of Excel allows you to read this threaded comment; however, any edits to it will get removed if the file is opened in a newer version of Excel. Learn more: https://go.microsoft.com/fwlink/?linkid=870924
Comment:
    Minimum acceptable rate of return used to calculated discounted cash flows</t>
      </text>
    </comment>
    <comment ref="B33" authorId="5" shapeId="0" xr:uid="{1B29C257-B42C-4DEE-9269-1CAC504E8521}">
      <text>
        <t>[Threaded comment]
Your version of Excel allows you to read this threaded comment; however, any edits to it will get removed if the file is opened in a newer version of Excel. Learn more: https://go.microsoft.com/fwlink/?linkid=870924
Comment:
    Expected lifetime of the assets. Used to calculate depreciation</t>
      </text>
    </comment>
    <comment ref="B34" authorId="6" shapeId="0" xr:uid="{314DFD6F-99FC-4B32-B31C-8C4D8EB14D3B}">
      <text>
        <t>[Threaded comment]
Your version of Excel allows you to read this threaded comment; however, any edits to it will get removed if the file is opened in a newer version of Excel. Learn more: https://go.microsoft.com/fwlink/?linkid=870924
Comment:
    % of the cost of the CPEs that is being paid by the network owner on behalf of the subscribers</t>
      </text>
    </comment>
    <comment ref="B59" authorId="7" shapeId="0" xr:uid="{BD08DCEE-A818-4761-BFF2-B3E15B6C91ED}">
      <text>
        <t>[Threaded comment]
Your version of Excel allows you to read this threaded comment; however, any edits to it will get removed if the file is opened in a newer version of Excel. Learn more: https://go.microsoft.com/fwlink/?linkid=870924
Comment:
    Update with the values of your services</t>
      </text>
    </comment>
    <comment ref="B62" authorId="8" shapeId="0" xr:uid="{7185BC7F-D696-4D44-A77E-BA0232FDB820}">
      <text>
        <t>[Threaded comment]
Your version of Excel allows you to read this threaded comment; however, any edits to it will get removed if the file is opened in a newer version of Excel. Learn more: https://go.microsoft.com/fwlink/?linkid=870924
Comment:
    Institutional Service refers to service provided to anchor institutions such as schools, libraries, hospitals, public safety agencies, etc.</t>
      </text>
    </comment>
    <comment ref="B63" authorId="9" shapeId="0" xr:uid="{EA653C54-279E-4DB5-85CF-435B8A293655}">
      <text>
        <t>[Threaded comment]
Your version of Excel allows you to read this threaded comment; however, any edits to it will get removed if the file is opened in a newer version of Excel. Learn more: https://go.microsoft.com/fwlink/?linkid=870924
Comment:
    Consider this value only if a public Wi-Fi service is provided with a pricing model different than free access</t>
      </text>
    </comment>
    <comment ref="B65" authorId="10" shapeId="0" xr:uid="{E99E55CC-7513-42F3-8268-E03D7AB440EE}">
      <text>
        <t>[Threaded comment]
Your version of Excel allows you to read this threaded comment; however, any edits to it will get removed if the file is opened in a newer version of Excel. Learn more: https://go.microsoft.com/fwlink/?linkid=870924
Comment:
    Provide your estimates on adoption rates for non-institutional services</t>
      </text>
    </comment>
    <comment ref="B76" authorId="11" shapeId="0" xr:uid="{FB855019-BC2F-485B-B067-BBDD90B0B3E5}">
      <text>
        <t>[Threaded comment]
Your version of Excel allows you to read this threaded comment; however, any edits to it will get removed if the file is opened in a newer version of Excel. Learn more: https://go.microsoft.com/fwlink/?linkid=870924
Comment:
    Provide the expected number of users per month of the Public Wi-Fi service. Consider this only if there are payments involved as part of the Public Wi-Fi service</t>
      </text>
    </comment>
    <comment ref="B111" authorId="12" shapeId="0" xr:uid="{8A47187B-DBB7-43AE-B7AB-5E982F1EB50F}">
      <text>
        <t>[Threaded comment]
Your version of Excel allows you to read this threaded comment; however, any edits to it will get removed if the file is opened in a newer version of Excel. Learn more: https://go.microsoft.com/fwlink/?linkid=870924
Comment:
    Is it Ok to depreciate CPEs?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tc={28CD3582-07DF-4ADE-A55A-E2659615CDE4}</author>
    <author>tc={EE27DD47-3C31-4DE2-A974-F9437FD38611}</author>
    <author>tc={F5485F23-3BFE-4D71-A7AF-9574D24A7006}</author>
    <author>tc={7D651319-206C-40D8-9008-DA87CEB739A7}</author>
    <author>tc={A47B51E2-7DF8-4787-8D64-6E7A40BB8745}</author>
    <author>tc={B1421451-0476-42DD-A7FE-86AF591D6A4D}</author>
    <author>tc={1E5B0835-9B43-4496-A234-73C79579A2DE}</author>
    <author>tc={1EFAB14B-9462-4107-8BB9-1652D4B56314}</author>
    <author>tc={46BA7EA1-4F65-42E1-ABAF-BEE5240C2598}</author>
    <author>tc={2C2FA473-B4E1-4E3B-A037-E9FC9D717D93}</author>
    <author>tc={5B1B961E-8672-41D7-8C18-887E6C0BAB45}</author>
    <author>tc={242D5812-52F4-4FD3-B1A2-CD8EAA798485}</author>
    <author>tc={F9BB6E38-EC74-4463-8397-04E52C0D9678}</author>
    <author>tc={9647355B-C894-4BCD-BFA9-8FD730408986}</author>
    <author>tc={6E10B099-690D-4002-816E-7CB0E15CC419}</author>
    <author>tc={557E8E2D-B467-4035-BAC5-5F539CA40112}</author>
    <author>tc={D5C188B9-382D-4146-8D49-EEC9F2F1D075}</author>
    <author>tc={95C2C6AA-E82A-4265-B270-24C2B62AFD0E}</author>
  </authors>
  <commentList>
    <comment ref="F2" authorId="0" shapeId="0" xr:uid="{28CD3582-07DF-4ADE-A55A-E2659615CDE4}">
      <text>
        <t>[Threaded comment]
Your version of Excel allows you to read this threaded comment; however, any edits to it will get removed if the file is opened in a newer version of Excel. Learn more: https://go.microsoft.com/fwlink/?linkid=870924
Comment:
    Default: Rooftop</t>
      </text>
    </comment>
    <comment ref="G2" authorId="1" shapeId="0" xr:uid="{EE27DD47-3C31-4DE2-A974-F9437FD38611}">
      <text>
        <t>[Threaded comment]
Your version of Excel allows you to read this threaded comment; however, any edits to it will get removed if the file is opened in a newer version of Excel. Learn more: https://go.microsoft.com/fwlink/?linkid=870924
Comment:
    Default: 10</t>
      </text>
    </comment>
    <comment ref="H2" authorId="2" shapeId="0" xr:uid="{F5485F23-3BFE-4D71-A7AF-9574D24A7006}">
      <text>
        <t>[Threaded comment]
Your version of Excel allows you to read this threaded comment; however, any edits to it will get removed if the file is opened in a newer version of Excel. Learn more: https://go.microsoft.com/fwlink/?linkid=870924
Comment:
    Default: 9</t>
      </text>
    </comment>
    <comment ref="I2" authorId="3" shapeId="0" xr:uid="{7D651319-206C-40D8-9008-DA87CEB739A7}">
      <text>
        <t>[Threaded comment]
Your version of Excel allows you to read this threaded comment; however, any edits to it will get removed if the file is opened in a newer version of Excel. Learn more: https://go.microsoft.com/fwlink/?linkid=870924
Comment:
    Default: 8</t>
      </text>
    </comment>
    <comment ref="J2" authorId="4" shapeId="0" xr:uid="{A47B51E2-7DF8-4787-8D64-6E7A40BB8745}">
      <text>
        <t>[Threaded comment]
Your version of Excel allows you to read this threaded comment; however, any edits to it will get removed if the file is opened in a newer version of Excel. Learn more: https://go.microsoft.com/fwlink/?linkid=870924
Comment:
    Default: No</t>
      </text>
    </comment>
    <comment ref="K2" authorId="5" shapeId="0" xr:uid="{B1421451-0476-42DD-A7FE-86AF591D6A4D}">
      <text>
        <t>[Threaded comment]
Your version of Excel allows you to read this threaded comment; however, any edits to it will get removed if the file is opened in a newer version of Excel. Learn more: https://go.microsoft.com/fwlink/?linkid=870924
Comment:
    Default: No</t>
      </text>
    </comment>
    <comment ref="L2" authorId="6" shapeId="0" xr:uid="{1E5B0835-9B43-4496-A234-73C79579A2DE}">
      <text>
        <t>[Threaded comment]
Your version of Excel allows you to read this threaded comment; however, any edits to it will get removed if the file is opened in a newer version of Excel. Learn more: https://go.microsoft.com/fwlink/?linkid=870924
Comment:
    Default: RAN Config 1</t>
      </text>
    </comment>
    <comment ref="M2" authorId="7" shapeId="0" xr:uid="{1EFAB14B-9462-4107-8BB9-1652D4B56314}">
      <text>
        <t>[Threaded comment]
Your version of Excel allows you to read this threaded comment; however, any edits to it will get removed if the file is opened in a newer version of Excel. Learn more: https://go.microsoft.com/fwlink/?linkid=870924
Comment:
    Default: 2.5</t>
      </text>
    </comment>
    <comment ref="P2" authorId="8" shapeId="0" xr:uid="{46BA7EA1-4F65-42E1-ABAF-BEE5240C2598}">
      <text>
        <t>[Threaded comment]
Your version of Excel allows you to read this threaded comment; however, any edits to it will get removed if the file is opened in a newer version of Excel. Learn more: https://go.microsoft.com/fwlink/?linkid=870924
Comment:
    Default: 100%</t>
      </text>
    </comment>
    <comment ref="Q2" authorId="9" shapeId="0" xr:uid="{2C2FA473-B4E1-4E3B-A037-E9FC9D717D93}">
      <text>
        <t>[Threaded comment]
Your version of Excel allows you to read this threaded comment; however, any edits to it will get removed if the file is opened in a newer version of Excel. Learn more: https://go.microsoft.com/fwlink/?linkid=870924
Comment:
    RAN Site Default: MW
Core Site Default: Fiber</t>
      </text>
    </comment>
    <comment ref="R2" authorId="10" shapeId="0" xr:uid="{5B1B961E-8672-41D7-8C18-887E6C0BAB45}">
      <text>
        <t>[Threaded comment]
Your version of Excel allows you to read this threaded comment; however, any edits to it will get removed if the file is opened in a newer version of Excel. Learn more: https://go.microsoft.com/fwlink/?linkid=870924
Comment:
    RAN Site Default: Backhaul Config 2
Core Site Default: Backhaul Config 3</t>
      </text>
    </comment>
    <comment ref="S2" authorId="11" shapeId="0" xr:uid="{242D5812-52F4-4FD3-B1A2-CD8EAA798485}">
      <text>
        <t>[Threaded comment]
Your version of Excel allows you to read this threaded comment; however, any edits to it will get removed if the file is opened in a newer version of Excel. Learn more: https://go.microsoft.com/fwlink/?linkid=870924
Comment:
    Default: 1</t>
      </text>
    </comment>
    <comment ref="T2" authorId="12" shapeId="0" xr:uid="{F9BB6E38-EC74-4463-8397-04E52C0D9678}">
      <text>
        <t>[Threaded comment]
Your version of Excel allows you to read this threaded comment; however, any edits to it will get removed if the file is opened in a newer version of Excel. Learn more: https://go.microsoft.com/fwlink/?linkid=870924
Comment:
    Default: 0</t>
      </text>
    </comment>
    <comment ref="U2" authorId="13" shapeId="0" xr:uid="{9647355B-C894-4BCD-BFA9-8FD730408986}">
      <text>
        <t>[Threaded comment]
Your version of Excel allows you to read this threaded comment; however, any edits to it will get removed if the file is opened in a newer version of Excel. Learn more: https://go.microsoft.com/fwlink/?linkid=870924
Comment:
    Default: Aerial</t>
      </text>
    </comment>
    <comment ref="V2" authorId="14" shapeId="0" xr:uid="{6E10B099-690D-4002-816E-7CB0E15CC419}">
      <text>
        <t>[Threaded comment]
Your version of Excel allows you to read this threaded comment; however, any edits to it will get removed if the file is opened in a newer version of Excel. Learn more: https://go.microsoft.com/fwlink/?linkid=870924
Comment:
    Default: 100</t>
      </text>
    </comment>
    <comment ref="W2" authorId="15" shapeId="0" xr:uid="{557E8E2D-B467-4035-BAC5-5F539CA40112}">
      <text>
        <t>[Threaded comment]
Your version of Excel allows you to read this threaded comment; however, any edits to it will get removed if the file is opened in a newer version of Excel. Learn more: https://go.microsoft.com/fwlink/?linkid=870924
Comment:
    RAN Site Default: 100
Core Site Default: 100 x total number of sites</t>
      </text>
    </comment>
    <comment ref="X2" authorId="16" shapeId="0" xr:uid="{D5C188B9-382D-4146-8D49-EEC9F2F1D075}">
      <text>
        <t>[Threaded comment]
Your version of Excel allows you to read this threaded comment; however, any edits to it will get removed if the file is opened in a newer version of Excel. Learn more: https://go.microsoft.com/fwlink/?linkid=870924
Comment:
    Default: PoE Switch</t>
      </text>
    </comment>
    <comment ref="Y2" authorId="17" shapeId="0" xr:uid="{95C2C6AA-E82A-4265-B270-24C2B62AFD0E}">
      <text>
        <t>[Threaded comment]
Your version of Excel allows you to read this threaded comment; however, any edits to it will get removed if the file is opened in a newer version of Excel. Learn more: https://go.microsoft.com/fwlink/?linkid=870924
Comment:
    Default: 100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tc={7DB36EE8-8C87-4DB8-BAB2-1202136615D1}</author>
    <author>tc={53BF6F32-8920-482F-B62A-2721234BF4E2}</author>
    <author>tc={9CC6452C-D9B7-4667-8A02-97C3F2F7BD25}</author>
    <author>tc={B380EFEC-5DD2-43E9-841D-E7775091F960}</author>
  </authors>
  <commentList>
    <comment ref="F3" authorId="0" shapeId="0" xr:uid="{7DB36EE8-8C87-4DB8-BAB2-1202136615D1}">
      <text>
        <t>[Threaded comment]
Your version of Excel allows you to read this threaded comment; however, any edits to it will get removed if the file is opened in a newer version of Excel. Learn more: https://go.microsoft.com/fwlink/?linkid=870924
Comment:
    CPEs are procured year by year, while network infrastructured is assummed to be deployed in the "Year 0"</t>
      </text>
    </comment>
    <comment ref="E16" authorId="1" shapeId="0" xr:uid="{53BF6F32-8920-482F-B62A-2721234BF4E2}">
      <text>
        <t>[Threaded comment]
Your version of Excel allows you to read this threaded comment; however, any edits to it will get removed if the file is opened in a newer version of Excel. Learn more: https://go.microsoft.com/fwlink/?linkid=870924
Comment:
    To edit values in gray cells go to "Site Configurations" sheet</t>
      </text>
    </comment>
    <comment ref="B42" authorId="2" shapeId="0" xr:uid="{9CC6452C-D9B7-4667-8A02-97C3F2F7BD25}">
      <text>
        <t>[Threaded comment]
Your version of Excel allows you to read this threaded comment; however, any edits to it will get removed if the file is opened in a newer version of Excel. Learn more: https://go.microsoft.com/fwlink/?linkid=870924
Comment:
    Concepts under this category apply only to centralized core/aggregation sites. If RAN equipment is installed on these sites it is also considered under this category</t>
      </text>
    </comment>
    <comment ref="E49" authorId="3" shapeId="0" xr:uid="{B380EFEC-5DD2-43E9-841D-E7775091F960}">
      <text>
        <t>[Threaded comment]
Your version of Excel allows you to read this threaded comment; however, any edits to it will get removed if the file is opened in a newer version of Excel. Learn more: https://go.microsoft.com/fwlink/?linkid=870924
Comment:
    To edit values in gray cells go to "Site Configurations" sheet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tc={96342C16-5FFC-4C12-807F-38143435D17F}</author>
    <author>tc={BA0FA0A9-0BE8-4A40-8E32-8374F9FAE5A6}</author>
    <author>tc={49456179-8EB6-4B9F-9BAB-F404C60EE5E4}</author>
    <author>tc={EACBDD67-5E39-4CCC-955F-9156ED4867D5}</author>
  </authors>
  <commentList>
    <comment ref="D16" authorId="0" shapeId="0" xr:uid="{96342C16-5FFC-4C12-807F-38143435D17F}">
      <text>
        <t>[Threaded comment]
Your version of Excel allows you to read this threaded comment; however, any edits to it will get removed if the file is opened in a newer version of Excel. Learn more: https://go.microsoft.com/fwlink/?linkid=870924
Comment:
    Need to align pricing scheme of the cloud EPC</t>
      </text>
    </comment>
    <comment ref="D23" authorId="1" shapeId="0" xr:uid="{BA0FA0A9-0BE8-4A40-8E32-8374F9FAE5A6}">
      <text>
        <t>[Threaded comment]
Your version of Excel allows you to read this threaded comment; however, any edits to it will get removed if the file is opened in a newer version of Excel. Learn more: https://go.microsoft.com/fwlink/?linkid=870924
Comment:
    Need to reconcile pricing type</t>
      </text>
    </comment>
    <comment ref="G25" authorId="2" shapeId="0" xr:uid="{49456179-8EB6-4B9F-9BAB-F404C60EE5E4}">
      <text>
        <t>[Threaded comment]
Your version of Excel allows you to read this threaded comment; however, any edits to it will get removed if the file is opened in a newer version of Excel. Learn more: https://go.microsoft.com/fwlink/?linkid=870924
Comment:
    Provide your own estimates based on the number of users of the ticketing system</t>
      </text>
    </comment>
    <comment ref="C26" authorId="3" shapeId="0" xr:uid="{EACBDD67-5E39-4CCC-955F-9156ED4867D5}">
      <text>
        <t>[Threaded comment]
Your version of Excel allows you to read this threaded comment; however, any edits to it will get removed if the file is opened in a newer version of Excel. Learn more: https://go.microsoft.com/fwlink/?linkid=870924
Comment:
    For all the staff category provide your own estimates based on the number of resources for each area</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tc={BA6A8429-A337-4B97-9B6C-3F904AB2E43A}</author>
    <author>tc={23DA7D30-6F9B-4384-B3AC-DAD530C06C72}</author>
    <author>tc={354207C4-A8D3-4D3A-B332-1DCD18FEA009}</author>
  </authors>
  <commentList>
    <comment ref="B2" authorId="0" shapeId="0" xr:uid="{BA6A8429-A337-4B97-9B6C-3F904AB2E43A}">
      <text>
        <t>[Threaded comment]
Your version of Excel allows you to read this threaded comment; however, any edits to it will get removed if the file is opened in a newer version of Excel. Learn more: https://go.microsoft.com/fwlink/?linkid=870924
Comment:
    For each RAN Configuration that is considered as part of the HLD, provide technical specifications and cost data, considering all the RAN-related equipment that is installed at the site.</t>
      </text>
    </comment>
    <comment ref="B50" authorId="1" shapeId="0" xr:uid="{23DA7D30-6F9B-4384-B3AC-DAD530C06C72}">
      <text>
        <t>[Threaded comment]
Your version of Excel allows you to read this threaded comment; however, any edits to it will get removed if the file is opened in a newer version of Excel. Learn more: https://go.microsoft.com/fwlink/?linkid=870924
Comment:
    For each Backhaul Configuration that is considered in the HLD, provide technical specifications and cost data, considering all the backhaul equipment on both sides of the link, and the switching equipment at the site</t>
      </text>
    </comment>
    <comment ref="E58" authorId="2" shapeId="0" xr:uid="{354207C4-A8D3-4D3A-B332-1DCD18FEA009}">
      <text>
        <t>[Threaded comment]
Your version of Excel allows you to read this threaded comment; however, any edits to it will get removed if the file is opened in a newer version of Excel. Learn more: https://go.microsoft.com/fwlink/?linkid=870924
Comment:
    Count of active equipment for this backhaul configuration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<sst xmlns="http://schemas.openxmlformats.org/spreadsheetml/2006/main" count="948" uniqueCount="367">
  <si>
    <t>Category</t>
  </si>
  <si>
    <t>Customer Premises</t>
  </si>
  <si>
    <t>RAN Site</t>
  </si>
  <si>
    <t>Core/Aggregation Site</t>
  </si>
  <si>
    <t>Tools &amp; Systems</t>
  </si>
  <si>
    <t>Subcategory</t>
  </si>
  <si>
    <t>Item</t>
  </si>
  <si>
    <t>CPE</t>
  </si>
  <si>
    <t>I&amp;C</t>
  </si>
  <si>
    <t>Outdoor CPE</t>
  </si>
  <si>
    <t>Indoor CPE</t>
  </si>
  <si>
    <t>Home Router</t>
  </si>
  <si>
    <t>RAN</t>
  </si>
  <si>
    <t>Backhaul</t>
  </si>
  <si>
    <t>Power</t>
  </si>
  <si>
    <t>Staff</t>
  </si>
  <si>
    <t>Core/Aggregation</t>
  </si>
  <si>
    <t>Engineering</t>
  </si>
  <si>
    <t>Field Technicians</t>
  </si>
  <si>
    <t>Management</t>
  </si>
  <si>
    <t>Network Operations</t>
  </si>
  <si>
    <t>Sales &amp; Commercial</t>
  </si>
  <si>
    <t>Legal &amp; Financial</t>
  </si>
  <si>
    <t>Internet Connection</t>
  </si>
  <si>
    <t>Roof Mounting Equipment</t>
  </si>
  <si>
    <t>New Tower 10 m</t>
  </si>
  <si>
    <t>New Tower 20 m</t>
  </si>
  <si>
    <t>New Tower 30 m</t>
  </si>
  <si>
    <t>Passive Infra</t>
  </si>
  <si>
    <t>PoE Switch</t>
  </si>
  <si>
    <t>PoE Injector</t>
  </si>
  <si>
    <t>PSU</t>
  </si>
  <si>
    <t>Battery Backup</t>
  </si>
  <si>
    <t>CPE I&amp;C Services</t>
  </si>
  <si>
    <t>Equipment Enclosure</t>
  </si>
  <si>
    <t>Aggregation Router</t>
  </si>
  <si>
    <t>Distributed EPC</t>
  </si>
  <si>
    <t>DIA Upfront Fee</t>
  </si>
  <si>
    <t>Software</t>
  </si>
  <si>
    <t>Tools</t>
  </si>
  <si>
    <t>Power Tool Kit</t>
  </si>
  <si>
    <t>Hand Tool Kit</t>
  </si>
  <si>
    <t>Utility Vehicle</t>
  </si>
  <si>
    <t>CAPEX</t>
  </si>
  <si>
    <t>RAN Solution</t>
  </si>
  <si>
    <t>Financial</t>
  </si>
  <si>
    <t>ARPU</t>
  </si>
  <si>
    <t>Scope</t>
  </si>
  <si>
    <t>Network Architecture &amp; High Level Design</t>
  </si>
  <si>
    <t>Tax Rate</t>
  </si>
  <si>
    <t>Hurdle Rate</t>
  </si>
  <si>
    <t>Covered Homes</t>
  </si>
  <si>
    <t>EPC Architecture</t>
  </si>
  <si>
    <t>Revenue</t>
  </si>
  <si>
    <t>Basic Service</t>
  </si>
  <si>
    <t>Premium Service</t>
  </si>
  <si>
    <t>Community Wi-Fi</t>
  </si>
  <si>
    <t>Institutional Service</t>
  </si>
  <si>
    <t>OPEX</t>
  </si>
  <si>
    <t>Asset Life</t>
  </si>
  <si>
    <t>Profit before taxes</t>
  </si>
  <si>
    <t>Taxes</t>
  </si>
  <si>
    <t>Profit after Taxes</t>
  </si>
  <si>
    <t>Depreciation (Add-back)</t>
  </si>
  <si>
    <t>Net Cash Flow</t>
  </si>
  <si>
    <t>Present Value</t>
  </si>
  <si>
    <t>Cash Flow</t>
  </si>
  <si>
    <t>Metrics</t>
  </si>
  <si>
    <t>NPV</t>
  </si>
  <si>
    <t>IRR</t>
  </si>
  <si>
    <t>Project P&amp;L</t>
  </si>
  <si>
    <t>Adoption Rate</t>
  </si>
  <si>
    <t>Financial Analysis</t>
  </si>
  <si>
    <t>Priority Targets Covered</t>
  </si>
  <si>
    <t>Sites per RAN Configuration</t>
  </si>
  <si>
    <t>Sites per Backhaul Type</t>
  </si>
  <si>
    <t>VSAT</t>
  </si>
  <si>
    <t>Fiber</t>
  </si>
  <si>
    <t>Site ID</t>
  </si>
  <si>
    <t>Customer Installation Repair</t>
  </si>
  <si>
    <t>Maintenance</t>
  </si>
  <si>
    <t>Tower Lease</t>
  </si>
  <si>
    <t>Roof Lease</t>
  </si>
  <si>
    <t>Power Consumption</t>
  </si>
  <si>
    <t>RAN Site Maintenance</t>
  </si>
  <si>
    <t>Satellite Bandwidth</t>
  </si>
  <si>
    <t>Rooftop Lease</t>
  </si>
  <si>
    <t>Cloud EPC</t>
  </si>
  <si>
    <t>DIA Monthly Fee</t>
  </si>
  <si>
    <t>Core Site Maintenance</t>
  </si>
  <si>
    <t>IT Server</t>
  </si>
  <si>
    <t>Billing System License</t>
  </si>
  <si>
    <t>NMS License</t>
  </si>
  <si>
    <t>Ticketing System License</t>
  </si>
  <si>
    <t>Billing System Cloud Service</t>
  </si>
  <si>
    <t>NMS System Cloud Service</t>
  </si>
  <si>
    <t>Ticketing System Cloud Service</t>
  </si>
  <si>
    <t>Comments</t>
  </si>
  <si>
    <t>Cost per Unit</t>
  </si>
  <si>
    <t>TOTAL</t>
  </si>
  <si>
    <t>Subscriber Forecast</t>
  </si>
  <si>
    <t>Outdoor CPE I&amp;C Kit</t>
  </si>
  <si>
    <t>Roof Mounting Infra</t>
  </si>
  <si>
    <t>Outdoor Subscriber Ratio</t>
  </si>
  <si>
    <t>CPE Subsidy %</t>
  </si>
  <si>
    <t>Site Type</t>
  </si>
  <si>
    <t>Tower Mods Required</t>
  </si>
  <si>
    <t>Core Site</t>
  </si>
  <si>
    <t>Site Leasing</t>
  </si>
  <si>
    <t>RAN Config 1</t>
  </si>
  <si>
    <t>RAN Config 2</t>
  </si>
  <si>
    <t>RAN Config 3</t>
  </si>
  <si>
    <t>Backhaul Type</t>
  </si>
  <si>
    <t># of Backhaul Links</t>
  </si>
  <si>
    <t>Power Supply</t>
  </si>
  <si>
    <t>RAN Config 1 I&amp;C Kit</t>
  </si>
  <si>
    <t>RAN Config 2 I&amp;C Kit</t>
  </si>
  <si>
    <t>RAN Config 3 I&amp;C Kit</t>
  </si>
  <si>
    <t>RAN Config 1 I&amp;C Services</t>
  </si>
  <si>
    <t>RAN Config 2 I&amp;C Services</t>
  </si>
  <si>
    <t>RAN Config 3 I&amp;C Services</t>
  </si>
  <si>
    <t>Equipment Cabinet/Rack</t>
  </si>
  <si>
    <t>EPC Implementation</t>
  </si>
  <si>
    <t>Total Power Load</t>
  </si>
  <si>
    <t>Systems Implementation</t>
  </si>
  <si>
    <t>User must provide the cost based on the size of the network</t>
  </si>
  <si>
    <t>RAN Configuration</t>
  </si>
  <si>
    <t>Tower Height</t>
  </si>
  <si>
    <t>Fiber Length</t>
  </si>
  <si>
    <t>Last Mile Fiber</t>
  </si>
  <si>
    <t>Parameter</t>
  </si>
  <si>
    <t>Units</t>
  </si>
  <si>
    <t>Value Range</t>
  </si>
  <si>
    <t>Description</t>
  </si>
  <si>
    <t>[Rooftop, Existing Tower, New Tower]</t>
  </si>
  <si>
    <t>m</t>
  </si>
  <si>
    <t>[Yes, No]</t>
  </si>
  <si>
    <t>#</t>
  </si>
  <si>
    <t>&gt;= 0</t>
  </si>
  <si>
    <t>%</t>
  </si>
  <si>
    <t>0 to 100%</t>
  </si>
  <si>
    <t>&gt;= 1</t>
  </si>
  <si>
    <t>km</t>
  </si>
  <si>
    <t>&gt;=0</t>
  </si>
  <si>
    <t>Mbit/s</t>
  </si>
  <si>
    <t>[PoE Switch, PoE Injector, PSU]</t>
  </si>
  <si>
    <t>W</t>
  </si>
  <si>
    <t>&gt; 0</t>
  </si>
  <si>
    <t>New Tower</t>
  </si>
  <si>
    <t>Unit Counts</t>
  </si>
  <si>
    <t>Concept</t>
  </si>
  <si>
    <t>Cost</t>
  </si>
  <si>
    <t>Sites per Structure Type</t>
  </si>
  <si>
    <t>Rooftop</t>
  </si>
  <si>
    <t>Existing Tower</t>
  </si>
  <si>
    <t>Spectrum</t>
  </si>
  <si>
    <t>SAS – Base Station</t>
  </si>
  <si>
    <t>SAS – CPE</t>
  </si>
  <si>
    <t>Frequency Band</t>
  </si>
  <si>
    <t># of Servers for On-prem Systems</t>
  </si>
  <si>
    <t>OST_001</t>
  </si>
  <si>
    <t>OST_002</t>
  </si>
  <si>
    <t>OST_003</t>
  </si>
  <si>
    <t>OST_004</t>
  </si>
  <si>
    <t>OST_006</t>
  </si>
  <si>
    <t>OST_007</t>
  </si>
  <si>
    <t>OST_008</t>
  </si>
  <si>
    <t>OST_009</t>
  </si>
  <si>
    <t>Yes</t>
  </si>
  <si>
    <t>No</t>
  </si>
  <si>
    <t>[2.5, 3.5, 5.8]</t>
  </si>
  <si>
    <t>P2P MW Licensed</t>
  </si>
  <si>
    <t>P2P MW Unlicensed</t>
  </si>
  <si>
    <t>OST_POP</t>
  </si>
  <si>
    <t>Analysis Flag</t>
  </si>
  <si>
    <t>Y</t>
  </si>
  <si>
    <t>N</t>
  </si>
  <si>
    <t>LTE</t>
  </si>
  <si>
    <t>Centralized</t>
  </si>
  <si>
    <t>Cloud</t>
  </si>
  <si>
    <t>RAN Antenna AGL</t>
  </si>
  <si>
    <t>MW Antenna AGL</t>
  </si>
  <si>
    <t>[No, Minor, Major]</t>
  </si>
  <si>
    <t>Fiber Installation Type</t>
  </si>
  <si>
    <t>[Buried, Aerial]</t>
  </si>
  <si>
    <t>Backhaul Configuration</t>
  </si>
  <si>
    <t>Site Bandwidth Demand</t>
  </si>
  <si>
    <t>Total</t>
  </si>
  <si>
    <t>Centralized EPC</t>
  </si>
  <si>
    <t>Total Subscribers</t>
  </si>
  <si>
    <t>Aggregated Bandwidth Demand</t>
  </si>
  <si>
    <t>Annual Cost per Unit</t>
  </si>
  <si>
    <t>Monthly Cost per Unit</t>
  </si>
  <si>
    <t>N/A</t>
  </si>
  <si>
    <t>Number of Sectors</t>
  </si>
  <si>
    <t>Depreciation</t>
  </si>
  <si>
    <t>RAN Site Equipment Maintenance</t>
  </si>
  <si>
    <t>Core Site Equipment Maintenance</t>
  </si>
  <si>
    <t>IT Hardware</t>
  </si>
  <si>
    <t>Selected Site</t>
  </si>
  <si>
    <t>Community Wi-Fi Users</t>
  </si>
  <si>
    <t>Fixed Subscribers</t>
  </si>
  <si>
    <t>RAN Configurations</t>
  </si>
  <si>
    <t>Model</t>
  </si>
  <si>
    <t>Vendor</t>
  </si>
  <si>
    <t>Qty</t>
  </si>
  <si>
    <t>Total Cost</t>
  </si>
  <si>
    <t>Base Station – BBU</t>
  </si>
  <si>
    <t>Base Station – RRU</t>
  </si>
  <si>
    <t>Base Station – Integrated</t>
  </si>
  <si>
    <t>Base Station Antenna</t>
  </si>
  <si>
    <t>GPS Antenna</t>
  </si>
  <si>
    <t>Operating Frequency</t>
  </si>
  <si>
    <t>Cell Bandwidth</t>
  </si>
  <si>
    <t>Transmit Power</t>
  </si>
  <si>
    <t>MHz</t>
  </si>
  <si>
    <t>Watts</t>
  </si>
  <si>
    <t>Backhaul Configurations</t>
  </si>
  <si>
    <t>Backhaul Config 1</t>
  </si>
  <si>
    <t>Channel Bandwidth</t>
  </si>
  <si>
    <t>Antenna Size</t>
  </si>
  <si>
    <t>Max Throughput</t>
  </si>
  <si>
    <t>Redundancy</t>
  </si>
  <si>
    <t>1+0</t>
  </si>
  <si>
    <t>Transport Solution</t>
  </si>
  <si>
    <t>MW Antenna</t>
  </si>
  <si>
    <t>&lt;Release Date&gt;</t>
  </si>
  <si>
    <t>Instructions</t>
  </si>
  <si>
    <t>&lt;Tribal Land&gt; Fixed Wireless Network – Financial Model</t>
  </si>
  <si>
    <t>Throughout the model, inputs from the user are captured in blue cells (and for certain sheets in white cells):</t>
  </si>
  <si>
    <t>while calculated values are shown in grey cells:</t>
  </si>
  <si>
    <t>Typical use of the model includes the following steps</t>
  </si>
  <si>
    <t>Module Structure</t>
  </si>
  <si>
    <t>Step-by-Step Instructions</t>
  </si>
  <si>
    <t>Graphic Elements</t>
  </si>
  <si>
    <t>Total Number of Sites</t>
  </si>
  <si>
    <t>MW Radio IDU</t>
  </si>
  <si>
    <t>MW Radio ODU</t>
  </si>
  <si>
    <t>MW</t>
  </si>
  <si>
    <t>MW Radio Full Outdoor</t>
  </si>
  <si>
    <t>[MW, Fiber, VSAT]</t>
  </si>
  <si>
    <t>Backhaul Config X</t>
  </si>
  <si>
    <t>Frequency</t>
  </si>
  <si>
    <t>11 GHz</t>
  </si>
  <si>
    <t>Backhaul Config 2</t>
  </si>
  <si>
    <t>5.8 GHz</t>
  </si>
  <si>
    <t>Backhaul Config 3</t>
  </si>
  <si>
    <t>Cell Site Router</t>
  </si>
  <si>
    <t>Optical Transceiver</t>
  </si>
  <si>
    <t>Backhaul Config 4</t>
  </si>
  <si>
    <t>Ka band</t>
  </si>
  <si>
    <t>VSAT Modem</t>
  </si>
  <si>
    <t>VSAT Antenna</t>
  </si>
  <si>
    <t>Subscribers &amp; Revenue Inputs</t>
  </si>
  <si>
    <t>Financial Inputs &amp; Summary</t>
  </si>
  <si>
    <t>Backhaul Config 1 I&amp;C Kit</t>
  </si>
  <si>
    <t>Backhaul Config 2 I&amp;C Kit</t>
  </si>
  <si>
    <t>Backhaul Config 3 I&amp;C Kit</t>
  </si>
  <si>
    <t>Backhaul Config 4 I&amp;C Kit</t>
  </si>
  <si>
    <t>Backhaul Config 1 Services</t>
  </si>
  <si>
    <t>Backhaul Config 2 I&amp;C Services</t>
  </si>
  <si>
    <t>Backhaul Config 3 I&amp;C Services</t>
  </si>
  <si>
    <t>Backhaul Config 4 I&amp;C Services</t>
  </si>
  <si>
    <t>Equipment Count</t>
  </si>
  <si>
    <t>Some cells have hints and additional information. These cells have an upper right indicator:</t>
  </si>
  <si>
    <t>To see the information, just hover the mouse over that cell:</t>
  </si>
  <si>
    <t>2. Adjust the size of the table to include all the rows in your HLD, by dragging the lower right corner as shown below:</t>
  </si>
  <si>
    <t>3. Go to "Site Configurations" sheet and complete the information related to RAN and Backhaul configurations for your sites</t>
  </si>
  <si>
    <t>4. Set architectural inputs in the "Dashboard" sheet, starting at cell B8</t>
  </si>
  <si>
    <t>5. Set service ARPU and penetration data in the "Dashboard" sheet under the Financial Inputs &amp; Summary section</t>
  </si>
  <si>
    <t>6. Update the cost of the applicable items for your network in "CAPEX" and "OPEX" sheets, based on the Tech Solutions Matrix, or based on prices obtained from vendors through the RFx process</t>
  </si>
  <si>
    <t>7. If you want to analyze the full network select "Full Network" under the Scope input in the "Dashboard" sheet (Cell C4)</t>
  </si>
  <si>
    <t>8. Alternatively, if you want to analyze a specific subset of sites, select "Selected Sites" under the Scope input in the "Dashboard" sheet, and also modify the values in column B of the HLD table. Write a "Y" for those sites to be analyzed and an "N" for the rest</t>
  </si>
  <si>
    <t>9. Analyze the output and apply changes to the assumptions/inputs as required to fine tune the financial model</t>
  </si>
  <si>
    <t>GHz</t>
  </si>
  <si>
    <t>Type of structure that serves to mount network equipment</t>
  </si>
  <si>
    <t>Height from ground to the top of the tower or pole</t>
  </si>
  <si>
    <t>Height from ground at which the RAN antennas are installed</t>
  </si>
  <si>
    <t>Height from ground at which the Microwave antennas are installed</t>
  </si>
  <si>
    <t>3 to 60</t>
  </si>
  <si>
    <t>Tower Modifications – Minor</t>
  </si>
  <si>
    <t>Tower Modifications – Major</t>
  </si>
  <si>
    <t>Indication of wheter the site requires reinforcement or structure modifications. Divided in two categories: Minor and Major modifications</t>
  </si>
  <si>
    <t>Flag that indicates if the site corresponds to a centralized EPC site, or the fiber PoP</t>
  </si>
  <si>
    <t>Flag to indicate if the site is being leased from a third party</t>
  </si>
  <si>
    <t xml:space="preserve">[RAN Configuration Names in "Site Configurations" sheet </t>
  </si>
  <si>
    <t>RAN Configuration, based on configurations established in "Site Configurations" sheet. Names of configurations must also match with names in the "Dashboard" sheet and CAPEX and OPEX sheets</t>
  </si>
  <si>
    <t>Frequency band for radio access at the site</t>
  </si>
  <si>
    <t>Estimated number of homes covered by the site</t>
  </si>
  <si>
    <t>Estimated number of priority targets covered by the site</t>
  </si>
  <si>
    <t>Percentage of subscribers for which an outdoor CPE installation will be required</t>
  </si>
  <si>
    <t>Type of backhual solution, based on the transmission medium utilized</t>
  </si>
  <si>
    <t>Backhaul equipment configuration based on configurations established in "Site Configurations" sheet. Names of configurations must also match with names in the CAPEX and OPEX sheets</t>
  </si>
  <si>
    <t>Number of backhaul links required for upstream connectivity of the site</t>
  </si>
  <si>
    <t>Length of the fiber path required to connect a site with Backhaul Type = "Fiber"</t>
  </si>
  <si>
    <t>Type of fiber deployment</t>
  </si>
  <si>
    <t>Bandwidth demand based on the subscribers served by the site</t>
  </si>
  <si>
    <t>Bandwidth demand from the site plus the traffic aggregated from other downstream sites</t>
  </si>
  <si>
    <t>Type of power supply</t>
  </si>
  <si>
    <t>Sum of the power load considering all the equipment to be installed at the site</t>
  </si>
  <si>
    <t>This model allows the user to perform the financial analysis for a fixed wireless network deployment based on the high level design of the network, cost data and commercial inputs. The structure of the model is shown below:</t>
  </si>
  <si>
    <t>Includes Radio + Antenna</t>
  </si>
  <si>
    <t>If the router is not provided by the Tribal Land, make cost = 0</t>
  </si>
  <si>
    <t>Ignore if only outdoor CPEs are considered</t>
  </si>
  <si>
    <t>Miscellaneous materials required to perform customer installation</t>
  </si>
  <si>
    <t>Cost of the installation labor at customer premises. It is assummed that this only applies for Outdoor CPEs</t>
  </si>
  <si>
    <t>Structure to mount equipment on a rooftop</t>
  </si>
  <si>
    <t>Average costs of of minor structural modifications to existing towers</t>
  </si>
  <si>
    <t>Average costs of of major structural modifications to existing towers</t>
  </si>
  <si>
    <t>Cost of deploying a new tower. This should include site acquisition, foundations, materials, and labor</t>
  </si>
  <si>
    <t>Small enclosure to store equipment. Applies only when no telco rooms are available</t>
  </si>
  <si>
    <t>Includes BBU, RRUs and antennas. Three configurations are considered. If more than three are required, structure of this model should be modified</t>
  </si>
  <si>
    <t>See RAN Config 1</t>
  </si>
  <si>
    <t>Includes all the equipment to deploy a backhaul link (near-end and far-end) plus the switching equipment at the site</t>
  </si>
  <si>
    <t>See Backhaul Config 1</t>
  </si>
  <si>
    <t>Cost per km of fiber deployed</t>
  </si>
  <si>
    <t>Only applies for LTE and for a distributed EPC architecture</t>
  </si>
  <si>
    <t>PoE injector to be considered if not included as part of the equipment</t>
  </si>
  <si>
    <t>Power Supply Unit in case PoE is not used</t>
  </si>
  <si>
    <t>Consider battery backup for every site</t>
  </si>
  <si>
    <t>Miscellaneous materials required to install equipment included as part of RAN Config 1</t>
  </si>
  <si>
    <t>Miscellaneous materials required to install equipment included as part of RAN Config 2</t>
  </si>
  <si>
    <t>Miscellaneous materials required to install equipment included as part of RAN Config 3</t>
  </si>
  <si>
    <t>Miscellaneous materials required to install equipment included as part of Backhual Config 1 (both sides of the link)</t>
  </si>
  <si>
    <t>Miscellaneous materials required to install equipment included as part of Backhual Config 2 (both sides of the link)</t>
  </si>
  <si>
    <t>Miscellaneous materials required to install equipment included as part of Backhual Config 3 (both sides of the link)</t>
  </si>
  <si>
    <t>Miscellaneous materials required to install equipment included as part of Backhual Config 4 (both sides of the link)</t>
  </si>
  <si>
    <t>Cost of the labor to perform I&amp;C for equipment included as part of RAN Config 1</t>
  </si>
  <si>
    <t>Cost of the labor to perform I&amp;C for equipment included as part of RAN Config 2</t>
  </si>
  <si>
    <t>Cost of the labor to perform I&amp;C for equipment included as part of RAN Config 3</t>
  </si>
  <si>
    <t>Backhaul Config 1 I&amp;C Services</t>
  </si>
  <si>
    <t>Cost of the labor to perform I&amp;C for equipment included as part of Backhaul Config 1</t>
  </si>
  <si>
    <t>Cost of the labor to perform I&amp;C for equipment included as part of Backhaul Config 4</t>
  </si>
  <si>
    <t>Cost of the labor to perform I&amp;C for equipment included as part of Backhaul Config 2</t>
  </si>
  <si>
    <t>Cost of the labor to perform I&amp;C for equipment included as part of Backhaul Config 3</t>
  </si>
  <si>
    <t>Equipment rack or cabinet to store equipment. Applies only when no telco rooms with pre-installed racks are utilized</t>
  </si>
  <si>
    <t>Only applies for LTE and for a centralized EPC architecture</t>
  </si>
  <si>
    <t>Main router at the core site which aggregates all the traffic in the network. Large networks may require two for redundancy</t>
  </si>
  <si>
    <t>Upfront payment that the ISP requires to provision the Internet connection to the core/aggregation site. This may not be required, depending on the ISP</t>
  </si>
  <si>
    <t>Only applies for on-premise deployment of systems. Count takes the value directly from Dashboard</t>
  </si>
  <si>
    <t>Set of power tools that are given to a field technician to perform their work. Provide your own count estimates based on the number of field technicians that will be part of the staff and the previously existing tools</t>
  </si>
  <si>
    <t>Set of hand tools that are given to a field technician to perform their work. Provide your own count estimates based on the number of field technicians that will be part of the staff and the previously existing tools</t>
  </si>
  <si>
    <t>Vehicle that is assigned to a field technician to perform their work. Provide your own count estimates based on the number of field technicians that will be part of the staff and existing vehicles that can be used with this purpose</t>
  </si>
  <si>
    <t>Aerial</t>
  </si>
  <si>
    <t>Unit cost corresponds to single site visit. Assumption is that 10% of outdoor customer installations will require a maintenance visit per year</t>
  </si>
  <si>
    <t>Spectrum management fee to the Spectrum Access System. Only applies for devices using CBRS (3.65 GHz) spectrum</t>
  </si>
  <si>
    <t>Rent of Tower from a third-party</t>
  </si>
  <si>
    <t>Rent of rootop space from a third-party</t>
  </si>
  <si>
    <t>Unit cost corresponds to cost per Mbit/s per month. Only applies for sites with Backhaul Type = VSAT</t>
  </si>
  <si>
    <t>Unit cost corresponds to the US average cost per KWh (https://www.eia.gov/electricity/monthly/epm_table_grapher.php?t=epmt_5_6_a)</t>
  </si>
  <si>
    <t>Unit cost corresponds to single site visit. Assumption is that each RAN site will require 1.25 visits/year</t>
  </si>
  <si>
    <t>Annual Cost is derived as 7% of Equipment CapEx</t>
  </si>
  <si>
    <t>Annual Cost is derived as 3% of Fiber CapEx</t>
  </si>
  <si>
    <t>Count is always 1. Cost structure may vary.</t>
  </si>
  <si>
    <t>Cost of the Direct Internet Access Service. Value should correspond to the Service Provider plan that meets the needs of the network</t>
  </si>
  <si>
    <t>Unit cost corresponds to single site visit. Assumption is that Core sites will require 2 visits/year</t>
  </si>
  <si>
    <t>Assumption is that this is priced based on number of subscribers. Other pricing schemes will require changes to the formulas</t>
  </si>
  <si>
    <t>Assumption is that this is priced based on the number of devices in the network. Other pricing schemes will require changes to the formulas</t>
  </si>
  <si>
    <t>Assumption is that this is priced based on the number of users of the system. Other pricing schemes will require changes to the formulas</t>
  </si>
  <si>
    <t>OpEx associated to the salary of management resources</t>
  </si>
  <si>
    <t>OpEx associated to the salary of engineering resources</t>
  </si>
  <si>
    <t>OpEx associated to the salary of network operations resources</t>
  </si>
  <si>
    <t>OpEx associated to the salary of field technicians</t>
  </si>
  <si>
    <t>OpEx associated to the salary of sales and commercial resources</t>
  </si>
  <si>
    <t>OpEx associated to the salary of legal and financial resources</t>
  </si>
  <si>
    <t>1. Take HLD from module 3 and paste it on the HLD sheet, starting in column D ("Site ID"), If doing a high-level analysis before HLD finalization, you can manually add a row for each site and use default values indicated in the column headers</t>
  </si>
  <si>
    <t>Full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</si>
</sst>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quot;$&quot;* #,##0.00_-;_-&quot;$&quot;* &quot;-&quot;??_-;_-@_-"/>
    <numFmt numFmtId="165" formatCode="_-&quot;$&quot;* #,##0_-;\-&quot;$&quot;* #,##0_-;_-&quot;$&quot;* &quot;-&quot;??_-;_-@_-"/>
    <numFmt numFmtId="166" formatCode="_-&quot;$&quot;* #,##0.0000_-;\-&quot;$&quot;* #,##0.0000_-;_-&quot;$&quot;* &quot;-&quot;??_-;_-@_-"/>
  </numFmts>
  <fonts count="34" x14ac:knownFonts="1">
    <font>
      <sz val="11"/>
      <color theme="1"/>
      <name val="Calibri"/>
      <family val="2"/>
      <scheme val="minor"/>
    </font>
    <font>
      <sz val="11"/>
      <color theme="1"/>
      <name val="Calibri"/>
      <family val="2"/>
      <scheme val="minor"/>
    </font>
    <font>
      <sz val="10"/>
      <color theme="1"/>
      <name val="Segoe UI"/>
      <family val="2"/>
    </font>
    <font>
      <sz val="10"/>
      <color theme="1" tint="0.249977111117893"/>
      <name val="Segoe UI"/>
      <family val="2"/>
    </font>
    <font>
      <i/>
      <sz val="10"/>
      <color theme="1" tint="0.249977111117893"/>
      <name val="Segoe UI"/>
      <family val="2"/>
    </font>
    <font>
      <i/>
      <sz val="10"/>
      <color theme="0"/>
      <name val="Segoe UI"/>
      <family val="2"/>
    </font>
    <font>
      <b/>
      <sz val="10"/>
      <color rgb="FF002060"/>
      <name val="Segoe UI"/>
      <family val="2"/>
    </font>
    <font>
      <sz val="10"/>
      <color rgb="FF002060"/>
      <name val="Segoe UI"/>
      <family val="2"/>
    </font>
    <font>
      <b/>
      <i/>
      <sz val="10"/>
      <color rgb="FF002060"/>
      <name val="Segoe UI"/>
      <family val="2"/>
    </font>
    <font>
      <b/>
      <sz val="10"/>
      <color theme="0"/>
      <name val="Segoe UI"/>
      <family val="2"/>
    </font>
    <font>
      <sz val="10"/>
      <color theme="0"/>
      <name val="Segoe UI"/>
      <family val="2"/>
    </font>
    <font>
      <b/>
      <i/>
      <sz val="10"/>
      <color theme="4" tint="-0.499984740745262"/>
      <name val="Segoe UI"/>
      <family val="2"/>
    </font>
    <font>
      <b/>
      <i/>
      <u/>
      <sz val="10"/>
      <color rgb="FF002060"/>
      <name val="Segoe UI"/>
      <family val="2"/>
    </font>
    <font>
      <b/>
      <i/>
      <sz val="10"/>
      <color theme="1" tint="0.249977111117893"/>
      <name val="Segoe UI"/>
      <family val="2"/>
    </font>
    <font>
      <b/>
      <sz val="11"/>
      <color theme="0"/>
      <name val="Calibri"/>
      <family val="2"/>
      <scheme val="minor"/>
    </font>
    <font>
      <sz val="8"/>
      <name val="Calibri"/>
      <family val="2"/>
      <scheme val="minor"/>
    </font>
    <font>
      <sz val="11"/>
      <name val="Calibri"/>
      <family val="2"/>
      <scheme val="minor"/>
    </font>
    <font>
      <sz val="10"/>
      <color theme="1"/>
      <name val="Calibri"/>
      <family val="2"/>
      <scheme val="minor"/>
    </font>
    <font>
      <sz val="10"/>
      <name val="Segoe UI"/>
      <family val="2"/>
    </font>
    <font>
      <i/>
      <sz val="10"/>
      <color rgb="FF002060"/>
      <name val="Segoe UI"/>
      <family val="2"/>
    </font>
    <font>
      <sz val="11"/>
      <color theme="0"/>
      <name val="Calibri"/>
      <family val="2"/>
      <scheme val="minor"/>
    </font>
    <font>
      <b/>
      <i/>
      <sz val="10"/>
      <color theme="0"/>
      <name val="Segoe UI"/>
      <family val="2"/>
    </font>
    <font>
      <i/>
      <sz val="9"/>
      <color theme="1" tint="0.34998626667073579"/>
      <name val="Segoe UI"/>
      <family val="2"/>
    </font>
    <font>
      <b/>
      <sz val="10"/>
      <color theme="1"/>
      <name val="Segoe UI"/>
      <family val="2"/>
    </font>
    <font>
      <b/>
      <i/>
      <sz val="20"/>
      <color theme="0"/>
      <name val="Calibri"/>
      <family val="2"/>
      <scheme val="minor"/>
    </font>
    <font>
      <b/>
      <sz val="20"/>
      <color theme="0"/>
      <name val="Calibri"/>
      <family val="2"/>
      <scheme val="minor"/>
    </font>
    <font>
      <sz val="12"/>
      <color theme="1"/>
      <name val="Calibri"/>
      <family val="2"/>
      <scheme val="minor"/>
    </font>
    <font>
      <b/>
      <sz val="16"/>
      <color theme="4"/>
      <name val="Calibri"/>
      <family val="2"/>
      <scheme val="minor"/>
    </font>
    <font>
      <b/>
      <i/>
      <sz val="16"/>
      <color theme="0"/>
      <name val="Calibri"/>
      <family val="2"/>
      <scheme val="minor"/>
    </font>
    <font>
      <sz val="10"/>
      <color theme="3"/>
      <name val="Segoe UI"/>
      <family val="2"/>
    </font>
    <font>
      <sz val="18"/>
      <color rgb="FF002060"/>
      <name val="Segoe UI"/>
      <family val="2"/>
    </font>
    <font>
      <sz val="11"/>
      <color theme="1"/>
      <name val="Segoe UI"/>
      <family val="2"/>
    </font>
    <font>
      <sz val="11"/>
      <color rgb="FF002060"/>
      <name val="Segoe UI"/>
      <family val="2"/>
    </font>
    <font>
      <sz val="9"/>
      <color rgb="FF002060"/>
      <name val="Segoe UI"/>
      <family val="2"/>
    </font>
  </fonts>
  <fills count="8">
    <fill>
      <patternFill patternType="none"/>
    </fill>
    <fill>
      <patternFill patternType="gray125"/>
    </fill>
    <fill>
      <patternFill patternType="solid">
        <fgColor rgb="FF002060"/>
        <bgColor indexed="64"/>
      </patternFill>
    </fill>
    <fill>
      <patternFill patternType="solid">
        <fgColor theme="8" tint="-0.49998474074526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B050"/>
        <bgColor indexed="64"/>
      </patternFill>
    </fill>
  </fills>
  <borders count="56">
    <border>
      <left/>
      <right/>
      <top/>
      <bottom/>
      <diagonal/>
    </border>
    <border>
      <left style="dotted">
        <color theme="4" tint="0.59999389629810485"/>
      </left>
      <right/>
      <top style="dotted">
        <color theme="4" tint="0.59999389629810485"/>
      </top>
      <bottom style="dotted">
        <color theme="4" tint="0.59999389629810485"/>
      </bottom>
      <diagonal/>
    </border>
    <border>
      <left/>
      <right/>
      <top style="dotted">
        <color theme="4" tint="0.59999389629810485"/>
      </top>
      <bottom style="dotted">
        <color theme="4" tint="0.59999389629810485"/>
      </bottom>
      <diagonal/>
    </border>
    <border>
      <left/>
      <right style="dotted">
        <color theme="4" tint="0.59999389629810485"/>
      </right>
      <top style="dotted">
        <color theme="4" tint="0.59999389629810485"/>
      </top>
      <bottom style="dotted">
        <color theme="4" tint="0.59999389629810485"/>
      </bottom>
      <diagonal/>
    </border>
    <border>
      <left style="dotted">
        <color theme="4" tint="0.59999389629810485"/>
      </left>
      <right style="dotted">
        <color theme="4" tint="0.59999389629810485"/>
      </right>
      <top style="dotted">
        <color theme="4" tint="0.59999389629810485"/>
      </top>
      <bottom style="dotted">
        <color theme="4" tint="0.59999389629810485"/>
      </bottom>
      <diagonal/>
    </border>
    <border>
      <left/>
      <right style="dotted">
        <color theme="4" tint="0.59999389629810485"/>
      </right>
      <top/>
      <bottom/>
      <diagonal/>
    </border>
    <border>
      <left style="dotted">
        <color theme="0" tint="-0.14999847407452621"/>
      </left>
      <right style="dotted">
        <color theme="0" tint="-0.14999847407452621"/>
      </right>
      <top style="dotted">
        <color theme="0" tint="-0.14999847407452621"/>
      </top>
      <bottom style="dotted">
        <color theme="0" tint="-0.14999847407452621"/>
      </bottom>
      <diagonal/>
    </border>
    <border>
      <left/>
      <right style="dotted">
        <color theme="0" tint="-0.14999847407452621"/>
      </right>
      <top/>
      <bottom/>
      <diagonal/>
    </border>
    <border>
      <left style="dotted">
        <color theme="0" tint="-0.14999847407452621"/>
      </left>
      <right style="dotted">
        <color theme="0" tint="-0.14999847407452621"/>
      </right>
      <top/>
      <bottom style="dotted">
        <color theme="0" tint="-0.14999847407452621"/>
      </bottom>
      <diagonal/>
    </border>
    <border>
      <left/>
      <right/>
      <top/>
      <bottom style="thin">
        <color rgb="FF002060"/>
      </bottom>
      <diagonal/>
    </border>
    <border>
      <left/>
      <right/>
      <top style="thin">
        <color rgb="FF002060"/>
      </top>
      <bottom style="thin">
        <color rgb="FF002060"/>
      </bottom>
      <diagonal/>
    </border>
    <border>
      <left/>
      <right/>
      <top/>
      <bottom style="medium">
        <color rgb="FF002060"/>
      </bottom>
      <diagonal/>
    </border>
    <border>
      <left style="dotted">
        <color theme="4" tint="0.59999389629810485"/>
      </left>
      <right style="dotted">
        <color theme="4" tint="0.59999389629810485"/>
      </right>
      <top/>
      <bottom style="dotted">
        <color theme="4" tint="0.59999389629810485"/>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style="dotted">
        <color theme="0" tint="-0.14999847407452621"/>
      </right>
      <top style="hair">
        <color auto="1"/>
      </top>
      <bottom style="hair">
        <color auto="1"/>
      </bottom>
      <diagonal/>
    </border>
    <border>
      <left style="dotted">
        <color theme="0" tint="-0.14999847407452621"/>
      </left>
      <right style="dotted">
        <color theme="0" tint="-0.14999847407452621"/>
      </right>
      <top style="hair">
        <color auto="1"/>
      </top>
      <bottom style="hair">
        <color auto="1"/>
      </bottom>
      <diagonal/>
    </border>
    <border>
      <left style="dotted">
        <color theme="0" tint="-0.14999847407452621"/>
      </left>
      <right style="thin">
        <color auto="1"/>
      </right>
      <top style="hair">
        <color auto="1"/>
      </top>
      <bottom style="hair">
        <color auto="1"/>
      </bottom>
      <diagonal/>
    </border>
    <border>
      <left style="dotted">
        <color theme="4" tint="0.59999389629810485"/>
      </left>
      <right style="dotted">
        <color theme="0" tint="-0.14999847407452621"/>
      </right>
      <top style="dotted">
        <color theme="0" tint="-0.14999847407452621"/>
      </top>
      <bottom style="double">
        <color indexed="64"/>
      </bottom>
      <diagonal/>
    </border>
    <border>
      <left/>
      <right/>
      <top style="hair">
        <color auto="1"/>
      </top>
      <bottom style="medium">
        <color indexed="64"/>
      </bottom>
      <diagonal/>
    </border>
    <border>
      <left style="thin">
        <color auto="1"/>
      </left>
      <right style="dotted">
        <color theme="0" tint="-0.14999847407452621"/>
      </right>
      <top/>
      <bottom style="hair">
        <color auto="1"/>
      </bottom>
      <diagonal/>
    </border>
    <border>
      <left style="dotted">
        <color theme="0" tint="-0.14999847407452621"/>
      </left>
      <right style="dotted">
        <color theme="0" tint="-0.14999847407452621"/>
      </right>
      <top/>
      <bottom style="hair">
        <color auto="1"/>
      </bottom>
      <diagonal/>
    </border>
    <border>
      <left style="dotted">
        <color theme="0" tint="-0.14999847407452621"/>
      </left>
      <right style="thin">
        <color auto="1"/>
      </right>
      <top/>
      <bottom style="hair">
        <color auto="1"/>
      </bottom>
      <diagonal/>
    </border>
    <border>
      <left style="thin">
        <color auto="1"/>
      </left>
      <right style="thin">
        <color auto="1"/>
      </right>
      <top style="hair">
        <color auto="1"/>
      </top>
      <bottom style="medium">
        <color indexed="64"/>
      </bottom>
      <diagonal/>
    </border>
    <border>
      <left style="thin">
        <color auto="1"/>
      </left>
      <right style="dotted">
        <color theme="0" tint="-0.14999847407452621"/>
      </right>
      <top style="hair">
        <color auto="1"/>
      </top>
      <bottom style="medium">
        <color indexed="64"/>
      </bottom>
      <diagonal/>
    </border>
    <border>
      <left style="dotted">
        <color theme="0" tint="-0.14999847407452621"/>
      </left>
      <right style="dotted">
        <color theme="0" tint="-0.14999847407452621"/>
      </right>
      <top style="hair">
        <color auto="1"/>
      </top>
      <bottom style="medium">
        <color indexed="64"/>
      </bottom>
      <diagonal/>
    </border>
    <border>
      <left style="dotted">
        <color theme="0" tint="-0.14999847407452621"/>
      </left>
      <right style="thin">
        <color auto="1"/>
      </right>
      <top style="hair">
        <color auto="1"/>
      </top>
      <bottom style="medium">
        <color indexed="64"/>
      </bottom>
      <diagonal/>
    </border>
    <border>
      <left style="thin">
        <color auto="1"/>
      </left>
      <right style="thin">
        <color auto="1"/>
      </right>
      <top style="hair">
        <color auto="1"/>
      </top>
      <bottom style="double">
        <color indexed="64"/>
      </bottom>
      <diagonal/>
    </border>
    <border>
      <left/>
      <right/>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auto="1"/>
      </right>
      <top style="hair">
        <color auto="1"/>
      </top>
      <bottom style="dotted">
        <color theme="0" tint="-0.14999847407452621"/>
      </bottom>
      <diagonal/>
    </border>
    <border>
      <left style="thin">
        <color indexed="64"/>
      </left>
      <right style="thin">
        <color auto="1"/>
      </right>
      <top/>
      <bottom style="dotted">
        <color theme="0" tint="-0.14999847407452621"/>
      </bottom>
      <diagonal/>
    </border>
    <border>
      <left/>
      <right/>
      <top style="hair">
        <color auto="1"/>
      </top>
      <bottom/>
      <diagonal/>
    </border>
    <border>
      <left style="thin">
        <color auto="1"/>
      </left>
      <right style="thin">
        <color auto="1"/>
      </right>
      <top style="hair">
        <color auto="1"/>
      </top>
      <bottom/>
      <diagonal/>
    </border>
    <border>
      <left style="dotted">
        <color theme="0" tint="-0.14999847407452621"/>
      </left>
      <right style="dotted">
        <color theme="0" tint="-0.14999847407452621"/>
      </right>
      <top style="hair">
        <color auto="1"/>
      </top>
      <bottom/>
      <diagonal/>
    </border>
    <border>
      <left style="dotted">
        <color theme="0" tint="-0.14999847407452621"/>
      </left>
      <right style="thin">
        <color auto="1"/>
      </right>
      <top style="hair">
        <color auto="1"/>
      </top>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0" fontId="26" fillId="0" borderId="0"/>
  </cellStyleXfs>
  <cellXfs count="193">
    <xf numFmtId="0" fontId="0" fillId="0" borderId="0" xfId="0"/>
    <xf numFmtId="165" fontId="3" fillId="4" borderId="4" xfId="1" applyNumberFormat="1" applyFont="1" applyFill="1" applyBorder="1" applyAlignment="1" applyProtection="1">
      <protection locked="0"/>
    </xf>
    <xf numFmtId="0" fontId="2" fillId="0" borderId="0" xfId="0" applyFont="1"/>
    <xf numFmtId="0" fontId="6" fillId="0" borderId="0" xfId="0" applyFont="1" applyAlignment="1">
      <alignment horizontal="right" vertical="center" wrapText="1"/>
    </xf>
    <xf numFmtId="0" fontId="2" fillId="0" borderId="9" xfId="0" applyFont="1" applyBorder="1"/>
    <xf numFmtId="0" fontId="7" fillId="0" borderId="0" xfId="0" applyFont="1" applyAlignment="1">
      <alignment vertical="center" wrapText="1"/>
    </xf>
    <xf numFmtId="0" fontId="7" fillId="0" borderId="0" xfId="0" applyFont="1" applyAlignment="1">
      <alignment horizontal="right" vertical="center" wrapText="1"/>
    </xf>
    <xf numFmtId="0" fontId="9" fillId="3" borderId="0" xfId="0" applyFont="1" applyFill="1"/>
    <xf numFmtId="0" fontId="10" fillId="3" borderId="0" xfId="0" applyFont="1" applyFill="1"/>
    <xf numFmtId="0" fontId="7" fillId="0" borderId="0" xfId="0" applyFont="1" applyAlignment="1">
      <alignment horizontal="left" vertical="center" wrapText="1"/>
    </xf>
    <xf numFmtId="0" fontId="11" fillId="0" borderId="0" xfId="0" applyFont="1" applyAlignment="1">
      <alignment horizontal="center"/>
    </xf>
    <xf numFmtId="0" fontId="12" fillId="0" borderId="0" xfId="0" applyFont="1"/>
    <xf numFmtId="0" fontId="7" fillId="0" borderId="0" xfId="0" applyFont="1"/>
    <xf numFmtId="0" fontId="7" fillId="0" borderId="0" xfId="0" applyFont="1" applyBorder="1" applyAlignment="1">
      <alignment horizontal="left" indent="2"/>
    </xf>
    <xf numFmtId="165" fontId="3" fillId="4" borderId="12" xfId="1" applyNumberFormat="1" applyFont="1" applyFill="1" applyBorder="1" applyAlignment="1" applyProtection="1">
      <protection locked="0"/>
    </xf>
    <xf numFmtId="0" fontId="2" fillId="0" borderId="11" xfId="0" applyFont="1" applyBorder="1"/>
    <xf numFmtId="0" fontId="8" fillId="0" borderId="11" xfId="0" applyFont="1" applyBorder="1"/>
    <xf numFmtId="0" fontId="7" fillId="0" borderId="5" xfId="0" applyFont="1" applyBorder="1" applyAlignment="1">
      <alignment horizontal="left" indent="2"/>
    </xf>
    <xf numFmtId="0" fontId="6" fillId="0" borderId="0" xfId="0" applyFont="1"/>
    <xf numFmtId="0" fontId="4" fillId="5" borderId="8" xfId="2" applyNumberFormat="1" applyFont="1" applyFill="1" applyBorder="1" applyAlignment="1">
      <alignment horizontal="center"/>
    </xf>
    <xf numFmtId="0" fontId="7" fillId="0" borderId="0" xfId="0" applyFont="1" applyAlignment="1">
      <alignment horizontal="left" indent="2"/>
    </xf>
    <xf numFmtId="0" fontId="8" fillId="0" borderId="0" xfId="0" applyFont="1" applyBorder="1"/>
    <xf numFmtId="0" fontId="6" fillId="0" borderId="11" xfId="0" applyFont="1" applyBorder="1"/>
    <xf numFmtId="0" fontId="11" fillId="0" borderId="11" xfId="0" applyFont="1" applyBorder="1" applyAlignment="1">
      <alignment horizontal="center"/>
    </xf>
    <xf numFmtId="0" fontId="14" fillId="2" borderId="13" xfId="0" applyFont="1" applyFill="1" applyBorder="1" applyAlignment="1">
      <alignment horizontal="center"/>
    </xf>
    <xf numFmtId="0" fontId="16" fillId="6" borderId="13" xfId="0" applyFont="1" applyFill="1" applyBorder="1" applyAlignment="1">
      <alignment vertical="top"/>
    </xf>
    <xf numFmtId="0" fontId="17" fillId="0" borderId="0" xfId="0" applyFont="1"/>
    <xf numFmtId="0" fontId="9" fillId="2" borderId="16" xfId="0" applyFont="1" applyFill="1" applyBorder="1" applyAlignment="1">
      <alignment horizontal="center" vertical="top" wrapText="1"/>
    </xf>
    <xf numFmtId="0" fontId="9" fillId="2" borderId="17" xfId="0" applyFont="1" applyFill="1" applyBorder="1" applyAlignment="1">
      <alignment horizontal="center" vertical="top" wrapText="1"/>
    </xf>
    <xf numFmtId="0" fontId="9" fillId="2" borderId="18" xfId="0" applyFont="1" applyFill="1" applyBorder="1" applyAlignment="1">
      <alignment horizontal="center" vertical="top" wrapText="1"/>
    </xf>
    <xf numFmtId="0" fontId="18" fillId="0" borderId="14" xfId="0" applyFont="1" applyFill="1" applyBorder="1" applyAlignment="1">
      <alignment vertical="top" wrapText="1"/>
    </xf>
    <xf numFmtId="0" fontId="2" fillId="0" borderId="13" xfId="0" applyFont="1" applyFill="1" applyBorder="1" applyAlignment="1">
      <alignment wrapText="1"/>
    </xf>
    <xf numFmtId="0" fontId="2" fillId="0" borderId="13" xfId="0" applyFont="1" applyBorder="1" applyAlignment="1">
      <alignment wrapText="1"/>
    </xf>
    <xf numFmtId="0" fontId="2" fillId="0" borderId="15" xfId="0" applyFont="1" applyBorder="1" applyAlignment="1">
      <alignment wrapText="1"/>
    </xf>
    <xf numFmtId="0" fontId="17" fillId="0" borderId="0" xfId="0" applyFont="1" applyAlignment="1">
      <alignment wrapText="1"/>
    </xf>
    <xf numFmtId="165" fontId="3" fillId="4" borderId="21" xfId="1" applyNumberFormat="1" applyFont="1" applyFill="1" applyBorder="1" applyAlignment="1" applyProtection="1">
      <protection locked="0"/>
    </xf>
    <xf numFmtId="1" fontId="3" fillId="5" borderId="25" xfId="2" applyNumberFormat="1" applyFont="1" applyFill="1" applyBorder="1" applyAlignment="1">
      <alignment horizontal="center" vertical="center"/>
    </xf>
    <xf numFmtId="1" fontId="3" fillId="5" borderId="26" xfId="2" applyNumberFormat="1" applyFont="1" applyFill="1" applyBorder="1" applyAlignment="1">
      <alignment horizontal="center" vertical="center"/>
    </xf>
    <xf numFmtId="1" fontId="3" fillId="5" borderId="27" xfId="2" applyNumberFormat="1" applyFont="1" applyFill="1" applyBorder="1" applyAlignment="1">
      <alignment horizontal="center" vertical="center"/>
    </xf>
    <xf numFmtId="0" fontId="9" fillId="7" borderId="0" xfId="0" applyFont="1" applyFill="1" applyAlignment="1">
      <alignment vertical="center"/>
    </xf>
    <xf numFmtId="0" fontId="2" fillId="3" borderId="0" xfId="0" applyFont="1" applyFill="1"/>
    <xf numFmtId="0" fontId="9" fillId="2" borderId="0" xfId="0" applyFont="1" applyFill="1" applyAlignment="1">
      <alignment horizontal="center"/>
    </xf>
    <xf numFmtId="0" fontId="9" fillId="7" borderId="0" xfId="0" applyFont="1" applyFill="1" applyAlignment="1"/>
    <xf numFmtId="0" fontId="9" fillId="2" borderId="19" xfId="0" applyFont="1" applyFill="1" applyBorder="1" applyAlignment="1">
      <alignment horizontal="center"/>
    </xf>
    <xf numFmtId="0" fontId="9" fillId="2" borderId="0" xfId="0" applyFont="1" applyFill="1" applyBorder="1" applyAlignment="1">
      <alignment horizontal="center"/>
    </xf>
    <xf numFmtId="0" fontId="9" fillId="2" borderId="24" xfId="0" applyFont="1" applyFill="1" applyBorder="1" applyAlignment="1">
      <alignment horizontal="center"/>
    </xf>
    <xf numFmtId="0" fontId="9" fillId="2" borderId="0" xfId="0" applyFont="1" applyFill="1" applyAlignment="1">
      <alignment horizontal="center" vertical="center"/>
    </xf>
    <xf numFmtId="0" fontId="7" fillId="0" borderId="20" xfId="0" applyFont="1" applyBorder="1" applyAlignment="1">
      <alignment horizontal="left" vertical="center"/>
    </xf>
    <xf numFmtId="0" fontId="19" fillId="0" borderId="20" xfId="0" applyFont="1" applyBorder="1" applyAlignment="1">
      <alignment horizontal="left" vertical="center"/>
    </xf>
    <xf numFmtId="0" fontId="2" fillId="0" borderId="20" xfId="0" applyFont="1" applyBorder="1"/>
    <xf numFmtId="1" fontId="4" fillId="5" borderId="8" xfId="2" applyNumberFormat="1" applyFont="1" applyFill="1" applyBorder="1" applyAlignment="1">
      <alignment horizontal="center"/>
    </xf>
    <xf numFmtId="1" fontId="4" fillId="5" borderId="6" xfId="2" applyNumberFormat="1" applyFont="1" applyFill="1" applyBorder="1" applyAlignment="1">
      <alignment horizontal="center"/>
    </xf>
    <xf numFmtId="0" fontId="3" fillId="4" borderId="4" xfId="2" applyNumberFormat="1" applyFont="1" applyFill="1" applyBorder="1" applyAlignment="1" applyProtection="1">
      <alignment horizontal="center"/>
      <protection locked="0"/>
    </xf>
    <xf numFmtId="0" fontId="18" fillId="0" borderId="14" xfId="0" applyFont="1" applyFill="1" applyBorder="1" applyAlignment="1">
      <alignment horizontal="center" vertical="top" wrapText="1"/>
    </xf>
    <xf numFmtId="0" fontId="13" fillId="5" borderId="8" xfId="2" applyNumberFormat="1" applyFont="1" applyFill="1" applyBorder="1" applyAlignment="1">
      <alignment horizontal="center"/>
    </xf>
    <xf numFmtId="0" fontId="6" fillId="0" borderId="0" xfId="0" applyFont="1" applyBorder="1" applyAlignment="1">
      <alignment horizontal="left" indent="2"/>
    </xf>
    <xf numFmtId="9" fontId="3" fillId="4" borderId="12" xfId="2" applyFont="1" applyFill="1" applyBorder="1" applyAlignment="1" applyProtection="1">
      <alignment horizontal="center"/>
      <protection locked="0"/>
    </xf>
    <xf numFmtId="165" fontId="4" fillId="5" borderId="6" xfId="1" applyNumberFormat="1" applyFont="1" applyFill="1" applyBorder="1" applyAlignment="1"/>
    <xf numFmtId="165" fontId="13" fillId="5" borderId="6" xfId="1" applyNumberFormat="1" applyFont="1" applyFill="1" applyBorder="1" applyAlignment="1"/>
    <xf numFmtId="0" fontId="4" fillId="5" borderId="28" xfId="2" applyNumberFormat="1" applyFont="1" applyFill="1" applyBorder="1" applyAlignment="1">
      <alignment horizontal="center"/>
    </xf>
    <xf numFmtId="0" fontId="6" fillId="0" borderId="5" xfId="0" applyFont="1" applyBorder="1" applyAlignment="1">
      <alignment horizontal="left" indent="2"/>
    </xf>
    <xf numFmtId="9" fontId="4" fillId="5" borderId="8" xfId="2" applyFont="1" applyFill="1" applyBorder="1" applyAlignment="1" applyProtection="1">
      <alignment horizontal="center"/>
    </xf>
    <xf numFmtId="165" fontId="3" fillId="4" borderId="21" xfId="1" applyNumberFormat="1" applyFont="1" applyFill="1" applyBorder="1" applyAlignment="1" applyProtection="1">
      <alignment vertical="center"/>
      <protection locked="0"/>
    </xf>
    <xf numFmtId="0" fontId="7" fillId="0" borderId="23" xfId="0" applyFont="1" applyBorder="1" applyAlignment="1">
      <alignment horizontal="left" vertical="center"/>
    </xf>
    <xf numFmtId="0" fontId="19" fillId="0" borderId="23" xfId="0" applyFont="1" applyBorder="1" applyAlignment="1">
      <alignment horizontal="left" vertical="center"/>
    </xf>
    <xf numFmtId="1" fontId="3" fillId="5" borderId="30" xfId="2" applyNumberFormat="1" applyFont="1" applyFill="1" applyBorder="1" applyAlignment="1">
      <alignment horizontal="center" vertical="center"/>
    </xf>
    <xf numFmtId="1" fontId="3" fillId="5" borderId="31" xfId="2" applyNumberFormat="1" applyFont="1" applyFill="1" applyBorder="1" applyAlignment="1">
      <alignment horizontal="center" vertical="center"/>
    </xf>
    <xf numFmtId="1" fontId="3" fillId="5" borderId="32" xfId="2" applyNumberFormat="1" applyFont="1" applyFill="1" applyBorder="1" applyAlignment="1">
      <alignment horizontal="center" vertical="center"/>
    </xf>
    <xf numFmtId="0" fontId="2" fillId="0" borderId="23" xfId="0" applyFont="1" applyBorder="1"/>
    <xf numFmtId="0" fontId="7" fillId="0" borderId="29" xfId="0" applyFont="1" applyBorder="1" applyAlignment="1">
      <alignment horizontal="left" vertical="center"/>
    </xf>
    <xf numFmtId="0" fontId="19" fillId="0" borderId="29" xfId="0" applyFont="1" applyBorder="1" applyAlignment="1">
      <alignment horizontal="left" vertical="center"/>
    </xf>
    <xf numFmtId="1" fontId="3" fillId="5" borderId="34" xfId="2" applyNumberFormat="1" applyFont="1" applyFill="1" applyBorder="1" applyAlignment="1">
      <alignment horizontal="center" vertical="center"/>
    </xf>
    <xf numFmtId="1" fontId="3" fillId="5" borderId="35" xfId="2" applyNumberFormat="1" applyFont="1" applyFill="1" applyBorder="1" applyAlignment="1">
      <alignment horizontal="center" vertical="center"/>
    </xf>
    <xf numFmtId="1" fontId="3" fillId="5" borderId="36" xfId="2" applyNumberFormat="1" applyFont="1" applyFill="1" applyBorder="1" applyAlignment="1">
      <alignment horizontal="center" vertical="center"/>
    </xf>
    <xf numFmtId="0" fontId="2" fillId="0" borderId="29" xfId="0" applyFont="1" applyBorder="1"/>
    <xf numFmtId="165" fontId="3" fillId="5" borderId="21" xfId="2" applyNumberFormat="1" applyFont="1" applyFill="1" applyBorder="1" applyAlignment="1">
      <alignment horizontal="center" vertical="center"/>
    </xf>
    <xf numFmtId="165" fontId="3" fillId="5" borderId="33" xfId="2" applyNumberFormat="1" applyFont="1" applyFill="1" applyBorder="1" applyAlignment="1">
      <alignment horizontal="center" vertical="center"/>
    </xf>
    <xf numFmtId="165" fontId="3" fillId="5" borderId="22" xfId="2" applyNumberFormat="1" applyFont="1" applyFill="1" applyBorder="1" applyAlignment="1">
      <alignment horizontal="center" vertical="center"/>
    </xf>
    <xf numFmtId="1" fontId="3" fillId="4" borderId="25" xfId="2" applyNumberFormat="1" applyFont="1" applyFill="1" applyBorder="1" applyAlignment="1">
      <alignment horizontal="center" vertical="center"/>
    </xf>
    <xf numFmtId="1" fontId="3" fillId="4" borderId="26" xfId="2" applyNumberFormat="1" applyFont="1" applyFill="1" applyBorder="1" applyAlignment="1">
      <alignment horizontal="center" vertical="center"/>
    </xf>
    <xf numFmtId="1" fontId="3" fillId="4" borderId="27" xfId="2" applyNumberFormat="1" applyFont="1" applyFill="1" applyBorder="1" applyAlignment="1">
      <alignment horizontal="center" vertical="center"/>
    </xf>
    <xf numFmtId="165" fontId="3" fillId="4" borderId="22" xfId="1" applyNumberFormat="1" applyFont="1" applyFill="1" applyBorder="1" applyAlignment="1" applyProtection="1">
      <alignment vertical="center"/>
      <protection locked="0"/>
    </xf>
    <xf numFmtId="165" fontId="3" fillId="4" borderId="33" xfId="1" applyNumberFormat="1" applyFont="1" applyFill="1" applyBorder="1" applyAlignment="1" applyProtection="1">
      <alignment vertical="center"/>
      <protection locked="0"/>
    </xf>
    <xf numFmtId="1" fontId="6" fillId="5" borderId="27" xfId="2" applyNumberFormat="1" applyFont="1" applyFill="1" applyBorder="1" applyAlignment="1">
      <alignment horizontal="center" vertical="center"/>
    </xf>
    <xf numFmtId="1" fontId="6" fillId="5" borderId="36" xfId="2" applyNumberFormat="1" applyFont="1" applyFill="1" applyBorder="1" applyAlignment="1">
      <alignment horizontal="center" vertical="center"/>
    </xf>
    <xf numFmtId="1" fontId="6" fillId="5" borderId="32" xfId="2" applyNumberFormat="1" applyFont="1" applyFill="1" applyBorder="1" applyAlignment="1">
      <alignment horizontal="center" vertical="center"/>
    </xf>
    <xf numFmtId="165" fontId="6" fillId="5" borderId="21" xfId="2" applyNumberFormat="1" applyFont="1" applyFill="1" applyBorder="1" applyAlignment="1">
      <alignment horizontal="center" vertical="center"/>
    </xf>
    <xf numFmtId="165" fontId="6" fillId="5" borderId="33" xfId="2" applyNumberFormat="1" applyFont="1" applyFill="1" applyBorder="1" applyAlignment="1">
      <alignment horizontal="center" vertical="center"/>
    </xf>
    <xf numFmtId="165" fontId="6" fillId="5" borderId="22" xfId="2" applyNumberFormat="1" applyFont="1" applyFill="1" applyBorder="1" applyAlignment="1">
      <alignment horizontal="center" vertical="center"/>
    </xf>
    <xf numFmtId="0" fontId="7" fillId="0" borderId="0" xfId="0" applyFont="1" applyFill="1" applyBorder="1"/>
    <xf numFmtId="9" fontId="4" fillId="5" borderId="6" xfId="2" applyFont="1" applyFill="1" applyBorder="1" applyAlignment="1">
      <alignment horizontal="center"/>
    </xf>
    <xf numFmtId="164" fontId="3" fillId="4" borderId="21" xfId="1" applyNumberFormat="1" applyFont="1" applyFill="1" applyBorder="1" applyAlignment="1" applyProtection="1">
      <protection locked="0"/>
    </xf>
    <xf numFmtId="165" fontId="3" fillId="4" borderId="21" xfId="1" applyNumberFormat="1" applyFont="1" applyFill="1" applyBorder="1" applyAlignment="1" applyProtection="1"/>
    <xf numFmtId="166" fontId="3" fillId="4" borderId="21" xfId="1" applyNumberFormat="1" applyFont="1" applyFill="1" applyBorder="1" applyAlignment="1" applyProtection="1">
      <protection locked="0"/>
    </xf>
    <xf numFmtId="166" fontId="3" fillId="4" borderId="21" xfId="1" applyNumberFormat="1" applyFont="1" applyFill="1" applyBorder="1" applyAlignment="1" applyProtection="1"/>
    <xf numFmtId="164" fontId="3" fillId="4" borderId="21" xfId="1" applyNumberFormat="1" applyFont="1" applyFill="1" applyBorder="1" applyAlignment="1" applyProtection="1"/>
    <xf numFmtId="1" fontId="6" fillId="5" borderId="37" xfId="2" applyNumberFormat="1" applyFont="1" applyFill="1" applyBorder="1" applyAlignment="1">
      <alignment horizontal="center" vertical="center"/>
    </xf>
    <xf numFmtId="165" fontId="3" fillId="5" borderId="37" xfId="2" applyNumberFormat="1" applyFont="1" applyFill="1" applyBorder="1" applyAlignment="1">
      <alignment horizontal="center" vertical="center"/>
    </xf>
    <xf numFmtId="165" fontId="6" fillId="5" borderId="37" xfId="2" applyNumberFormat="1" applyFont="1" applyFill="1" applyBorder="1" applyAlignment="1">
      <alignment horizontal="center" vertical="center"/>
    </xf>
    <xf numFmtId="0" fontId="6" fillId="0" borderId="0" xfId="0" applyFont="1" applyAlignment="1">
      <alignment horizontal="center"/>
    </xf>
    <xf numFmtId="0" fontId="6" fillId="0" borderId="0" xfId="0" applyFont="1" applyAlignment="1">
      <alignment horizontal="left"/>
    </xf>
    <xf numFmtId="0" fontId="3" fillId="4" borderId="1" xfId="2" applyNumberFormat="1" applyFont="1" applyFill="1" applyBorder="1" applyAlignment="1" applyProtection="1">
      <alignment horizontal="center"/>
      <protection locked="0"/>
    </xf>
    <xf numFmtId="0" fontId="7" fillId="0" borderId="0" xfId="0" applyFont="1"/>
    <xf numFmtId="0" fontId="2" fillId="0" borderId="0" xfId="0" applyFont="1" applyBorder="1"/>
    <xf numFmtId="0" fontId="10" fillId="2" borderId="13" xfId="0" applyFont="1" applyFill="1" applyBorder="1" applyAlignment="1">
      <alignment horizontal="center"/>
    </xf>
    <xf numFmtId="0" fontId="22" fillId="0" borderId="0" xfId="0" applyFont="1" applyBorder="1"/>
    <xf numFmtId="0" fontId="0" fillId="0" borderId="0" xfId="0" applyBorder="1"/>
    <xf numFmtId="0" fontId="2" fillId="0" borderId="42" xfId="0" applyFont="1" applyBorder="1"/>
    <xf numFmtId="0" fontId="2" fillId="0" borderId="43" xfId="0" applyFont="1" applyBorder="1"/>
    <xf numFmtId="0" fontId="7" fillId="0" borderId="42" xfId="0" applyFont="1" applyBorder="1" applyAlignment="1">
      <alignment horizontal="left" vertical="center" wrapText="1"/>
    </xf>
    <xf numFmtId="0" fontId="10" fillId="2" borderId="44" xfId="0" applyFont="1" applyFill="1" applyBorder="1" applyAlignment="1">
      <alignment horizontal="center"/>
    </xf>
    <xf numFmtId="0" fontId="10" fillId="2" borderId="45" xfId="0" applyFont="1" applyFill="1" applyBorder="1" applyAlignment="1">
      <alignment horizontal="center"/>
    </xf>
    <xf numFmtId="0" fontId="2" fillId="0" borderId="13" xfId="0" applyFont="1" applyBorder="1" applyAlignment="1">
      <alignment horizontal="left" vertical="top"/>
    </xf>
    <xf numFmtId="0" fontId="2" fillId="0" borderId="13" xfId="0" applyFont="1" applyBorder="1" applyAlignment="1">
      <alignment horizontal="center" vertical="top"/>
    </xf>
    <xf numFmtId="165" fontId="2" fillId="0" borderId="13" xfId="1" applyNumberFormat="1" applyFont="1" applyBorder="1"/>
    <xf numFmtId="165" fontId="2" fillId="0" borderId="45" xfId="1" applyNumberFormat="1" applyFont="1" applyBorder="1"/>
    <xf numFmtId="165" fontId="2" fillId="0" borderId="46" xfId="1" applyNumberFormat="1" applyFont="1" applyBorder="1"/>
    <xf numFmtId="0" fontId="7" fillId="0" borderId="44" xfId="0" applyFont="1" applyBorder="1"/>
    <xf numFmtId="0" fontId="3" fillId="4" borderId="0" xfId="2" applyNumberFormat="1" applyFont="1" applyFill="1" applyBorder="1" applyAlignment="1" applyProtection="1">
      <alignment horizontal="center"/>
      <protection locked="0"/>
    </xf>
    <xf numFmtId="0" fontId="20" fillId="2" borderId="0" xfId="3" applyFont="1" applyFill="1"/>
    <xf numFmtId="0" fontId="1" fillId="0" borderId="0" xfId="3"/>
    <xf numFmtId="0" fontId="27" fillId="2" borderId="0" xfId="4" applyFont="1" applyFill="1" applyAlignment="1">
      <alignment horizontal="left" vertical="center"/>
    </xf>
    <xf numFmtId="17" fontId="28" fillId="2" borderId="0" xfId="3" quotePrefix="1" applyNumberFormat="1" applyFont="1" applyFill="1"/>
    <xf numFmtId="0" fontId="29" fillId="0" borderId="0" xfId="0" quotePrefix="1" applyFont="1" applyAlignment="1">
      <alignment wrapText="1"/>
    </xf>
    <xf numFmtId="0" fontId="29" fillId="0" borderId="0" xfId="0" quotePrefix="1" applyFont="1" applyAlignment="1">
      <alignment horizontal="left" wrapText="1"/>
    </xf>
    <xf numFmtId="0" fontId="29" fillId="0" borderId="0" xfId="0" applyFont="1" applyAlignment="1">
      <alignment horizontal="left"/>
    </xf>
    <xf numFmtId="0" fontId="29" fillId="0" borderId="0" xfId="0" applyFont="1"/>
    <xf numFmtId="0" fontId="7" fillId="0" borderId="0" xfId="0" quotePrefix="1" applyFont="1" applyAlignment="1">
      <alignment horizontal="left"/>
    </xf>
    <xf numFmtId="0" fontId="30" fillId="0" borderId="38" xfId="0" applyFont="1" applyBorder="1" applyAlignment="1">
      <alignment vertical="center"/>
    </xf>
    <xf numFmtId="0" fontId="31" fillId="0" borderId="38" xfId="0" applyFont="1" applyBorder="1"/>
    <xf numFmtId="0" fontId="31" fillId="0" borderId="0" xfId="0" applyFont="1"/>
    <xf numFmtId="0" fontId="32" fillId="0" borderId="0" xfId="0" applyFont="1"/>
    <xf numFmtId="0" fontId="7" fillId="0" borderId="0" xfId="0" quotePrefix="1" applyFont="1" applyAlignment="1">
      <alignment vertical="top" wrapText="1"/>
    </xf>
    <xf numFmtId="0" fontId="29" fillId="0" borderId="0" xfId="0" quotePrefix="1" applyFont="1" applyAlignment="1">
      <alignment vertical="top" wrapText="1"/>
    </xf>
    <xf numFmtId="0" fontId="31" fillId="0" borderId="0" xfId="0" applyFont="1" applyAlignment="1">
      <alignment vertical="top" wrapText="1"/>
    </xf>
    <xf numFmtId="0" fontId="6" fillId="0" borderId="0" xfId="0" applyFont="1" applyBorder="1" applyAlignment="1">
      <alignment horizontal="left"/>
    </xf>
    <xf numFmtId="1" fontId="4" fillId="5" borderId="0" xfId="2" applyNumberFormat="1" applyFont="1" applyFill="1" applyBorder="1" applyAlignment="1">
      <alignment horizontal="center"/>
    </xf>
    <xf numFmtId="165" fontId="4" fillId="5" borderId="50" xfId="1" applyNumberFormat="1" applyFont="1" applyFill="1" applyBorder="1" applyAlignment="1">
      <alignment horizontal="center"/>
    </xf>
    <xf numFmtId="165" fontId="4" fillId="5" borderId="51" xfId="1" applyNumberFormat="1" applyFont="1" applyFill="1" applyBorder="1" applyAlignment="1">
      <alignment horizontal="center"/>
    </xf>
    <xf numFmtId="165" fontId="4" fillId="5" borderId="50" xfId="1" applyNumberFormat="1" applyFont="1" applyFill="1" applyBorder="1" applyAlignment="1" applyProtection="1">
      <alignment horizontal="center"/>
    </xf>
    <xf numFmtId="0" fontId="19" fillId="0" borderId="52" xfId="0" applyFont="1" applyBorder="1" applyAlignment="1">
      <alignment horizontal="left" vertical="center"/>
    </xf>
    <xf numFmtId="165" fontId="3" fillId="4" borderId="53" xfId="1" applyNumberFormat="1" applyFont="1" applyFill="1" applyBorder="1" applyAlignment="1" applyProtection="1">
      <alignment vertical="center"/>
      <protection locked="0"/>
    </xf>
    <xf numFmtId="1" fontId="3" fillId="5" borderId="54" xfId="2" applyNumberFormat="1" applyFont="1" applyFill="1" applyBorder="1" applyAlignment="1">
      <alignment horizontal="center" vertical="center"/>
    </xf>
    <xf numFmtId="1" fontId="3" fillId="5" borderId="55" xfId="2" applyNumberFormat="1" applyFont="1" applyFill="1" applyBorder="1" applyAlignment="1">
      <alignment horizontal="center" vertical="center"/>
    </xf>
    <xf numFmtId="165" fontId="3" fillId="5" borderId="53" xfId="2" applyNumberFormat="1" applyFont="1" applyFill="1" applyBorder="1" applyAlignment="1">
      <alignment horizontal="center" vertical="center"/>
    </xf>
    <xf numFmtId="165" fontId="6" fillId="5" borderId="53" xfId="2" applyNumberFormat="1" applyFont="1" applyFill="1" applyBorder="1" applyAlignment="1">
      <alignment horizontal="center" vertical="center"/>
    </xf>
    <xf numFmtId="0" fontId="2" fillId="0" borderId="0" xfId="0" applyFont="1" applyFill="1"/>
    <xf numFmtId="0" fontId="0" fillId="0" borderId="0" xfId="0" applyAlignment="1">
      <alignment horizontal="center"/>
    </xf>
    <xf numFmtId="0" fontId="0" fillId="0" borderId="0" xfId="0" applyAlignment="1">
      <alignment horizontal="left" wrapText="1"/>
    </xf>
    <xf numFmtId="0" fontId="0" fillId="0" borderId="13" xfId="0" applyBorder="1" applyAlignment="1">
      <alignment vertical="top" wrapText="1"/>
    </xf>
    <xf numFmtId="0" fontId="0" fillId="0" borderId="13" xfId="0" applyBorder="1" applyAlignment="1">
      <alignment vertical="top"/>
    </xf>
    <xf numFmtId="0" fontId="0" fillId="0" borderId="13" xfId="0" applyBorder="1" applyAlignment="1">
      <alignment horizontal="center" vertical="top"/>
    </xf>
    <xf numFmtId="0" fontId="0" fillId="0" borderId="13" xfId="0" applyBorder="1" applyAlignment="1">
      <alignment horizontal="center" vertical="top" wrapText="1"/>
    </xf>
    <xf numFmtId="0" fontId="2" fillId="0" borderId="0" xfId="0" applyFont="1"/>
    <xf numFmtId="9" fontId="2" fillId="0" borderId="13" xfId="2" applyFont="1" applyBorder="1" applyAlignment="1">
      <alignment wrapText="1"/>
    </xf>
    <xf numFmtId="0" fontId="24" fillId="2" borderId="0" xfId="3" applyFont="1" applyFill="1" applyAlignment="1">
      <alignment horizontal="left"/>
    </xf>
    <xf numFmtId="0" fontId="25" fillId="2" borderId="0" xfId="3" applyFont="1" applyFill="1" applyAlignment="1">
      <alignment horizontal="left"/>
    </xf>
    <xf numFmtId="0" fontId="0" fillId="0" borderId="0" xfId="0"/>
    <xf numFmtId="0" fontId="0" fillId="0" borderId="0" xfId="0" applyAlignment="1">
      <alignment horizontal="left" wrapText="1"/>
    </xf>
    <xf numFmtId="0" fontId="2" fillId="0" borderId="0" xfId="0" applyFont="1"/>
    <xf numFmtId="0" fontId="7" fillId="0" borderId="0" xfId="0" quotePrefix="1" applyFont="1" applyAlignment="1">
      <alignment vertical="top" wrapText="1"/>
    </xf>
    <xf numFmtId="0" fontId="7" fillId="0" borderId="0" xfId="0" applyFont="1"/>
    <xf numFmtId="0" fontId="33" fillId="0" borderId="0" xfId="0" quotePrefix="1" applyFont="1" applyAlignment="1">
      <alignment horizontal="left" wrapText="1"/>
    </xf>
    <xf numFmtId="0" fontId="5" fillId="2" borderId="0" xfId="0" applyFont="1" applyFill="1" applyAlignment="1">
      <alignment horizontal="center"/>
    </xf>
    <xf numFmtId="0" fontId="7" fillId="0" borderId="0" xfId="0" applyFont="1" applyBorder="1"/>
    <xf numFmtId="0" fontId="7" fillId="0" borderId="7" xfId="0" applyFont="1" applyBorder="1"/>
    <xf numFmtId="0" fontId="7" fillId="0" borderId="0" xfId="0" applyFont="1" applyFill="1" applyBorder="1"/>
    <xf numFmtId="0" fontId="7" fillId="0" borderId="0" xfId="0" applyFont="1" applyBorder="1" applyAlignment="1">
      <alignment horizontal="left"/>
    </xf>
    <xf numFmtId="0" fontId="7" fillId="0" borderId="0" xfId="0" applyFont="1" applyAlignment="1">
      <alignment horizontal="left"/>
    </xf>
    <xf numFmtId="0" fontId="8" fillId="0" borderId="9" xfId="0" applyFont="1" applyBorder="1" applyAlignment="1">
      <alignment horizontal="center"/>
    </xf>
    <xf numFmtId="0" fontId="8" fillId="0" borderId="10" xfId="0" applyFont="1" applyBorder="1" applyAlignment="1">
      <alignment horizontal="center"/>
    </xf>
    <xf numFmtId="0" fontId="6" fillId="0" borderId="0" xfId="0" applyFont="1" applyAlignment="1">
      <alignment horizontal="left"/>
    </xf>
    <xf numFmtId="0" fontId="6" fillId="0" borderId="7" xfId="0" applyFont="1" applyBorder="1" applyAlignment="1">
      <alignment horizontal="left"/>
    </xf>
    <xf numFmtId="9" fontId="3" fillId="4" borderId="2" xfId="2" applyFont="1" applyFill="1" applyBorder="1" applyAlignment="1" applyProtection="1">
      <alignment horizontal="center"/>
      <protection locked="0"/>
    </xf>
    <xf numFmtId="9" fontId="3" fillId="4" borderId="3" xfId="2" applyFont="1" applyFill="1" applyBorder="1" applyAlignment="1" applyProtection="1">
      <alignment horizontal="center"/>
      <protection locked="0"/>
    </xf>
    <xf numFmtId="0" fontId="3" fillId="4" borderId="2" xfId="2" applyNumberFormat="1" applyFont="1" applyFill="1" applyBorder="1" applyAlignment="1" applyProtection="1">
      <alignment horizontal="center"/>
      <protection locked="0"/>
    </xf>
    <xf numFmtId="0" fontId="3" fillId="4" borderId="3" xfId="2" applyNumberFormat="1" applyFont="1" applyFill="1" applyBorder="1" applyAlignment="1" applyProtection="1">
      <alignment horizontal="center"/>
      <protection locked="0"/>
    </xf>
    <xf numFmtId="9" fontId="3" fillId="4" borderId="1" xfId="2" applyFont="1" applyFill="1" applyBorder="1" applyAlignment="1" applyProtection="1">
      <alignment horizontal="center"/>
      <protection locked="0"/>
    </xf>
    <xf numFmtId="0" fontId="3" fillId="4" borderId="1" xfId="2" applyNumberFormat="1" applyFont="1" applyFill="1" applyBorder="1" applyAlignment="1" applyProtection="1">
      <alignment horizontal="center"/>
      <protection locked="0"/>
    </xf>
    <xf numFmtId="0" fontId="9" fillId="3" borderId="19" xfId="0" applyFont="1" applyFill="1" applyBorder="1" applyAlignment="1">
      <alignment horizontal="center"/>
    </xf>
    <xf numFmtId="0" fontId="9" fillId="3" borderId="0" xfId="0" applyFont="1" applyFill="1" applyBorder="1" applyAlignment="1">
      <alignment horizontal="center"/>
    </xf>
    <xf numFmtId="0" fontId="9" fillId="3" borderId="0" xfId="0" applyFont="1" applyFill="1" applyAlignment="1">
      <alignment horizontal="center"/>
    </xf>
    <xf numFmtId="0" fontId="23" fillId="0" borderId="47" xfId="0" applyFont="1" applyBorder="1" applyAlignment="1">
      <alignment horizontal="right"/>
    </xf>
    <xf numFmtId="0" fontId="23" fillId="0" borderId="48" xfId="0" applyFont="1" applyBorder="1" applyAlignment="1">
      <alignment horizontal="right"/>
    </xf>
    <xf numFmtId="0" fontId="23" fillId="0" borderId="49" xfId="0" applyFont="1" applyBorder="1" applyAlignment="1">
      <alignment horizontal="right"/>
    </xf>
    <xf numFmtId="0" fontId="21" fillId="3" borderId="40" xfId="0" applyFont="1" applyFill="1" applyBorder="1" applyAlignment="1">
      <alignment horizontal="center"/>
    </xf>
    <xf numFmtId="0" fontId="21" fillId="3" borderId="39" xfId="0" applyFont="1" applyFill="1" applyBorder="1" applyAlignment="1">
      <alignment horizontal="center"/>
    </xf>
    <xf numFmtId="0" fontId="21" fillId="3" borderId="41" xfId="0" applyFont="1" applyFill="1" applyBorder="1" applyAlignment="1">
      <alignment horizontal="center"/>
    </xf>
    <xf numFmtId="0" fontId="6" fillId="0" borderId="47" xfId="0" applyFont="1" applyBorder="1" applyAlignment="1">
      <alignment horizontal="right"/>
    </xf>
    <xf numFmtId="0" fontId="6" fillId="0" borderId="48" xfId="0" applyFont="1" applyBorder="1" applyAlignment="1">
      <alignment horizontal="right"/>
    </xf>
    <xf numFmtId="0" fontId="6" fillId="0" borderId="49" xfId="0" applyFont="1" applyBorder="1" applyAlignment="1">
      <alignment horizontal="right"/>
    </xf>
    <xf numFmtId="0" fontId="7" fillId="0" borderId="0" xfId="0" applyFont="1" applyBorder="1" applyAlignment="1">
      <alignment horizontal="center" vertical="center" wrapText="1"/>
    </xf>
    <xf numFmtId="0" fontId="3" fillId="4" borderId="0" xfId="2" applyNumberFormat="1" applyFont="1" applyFill="1" applyBorder="1" applyAlignment="1" applyProtection="1">
      <alignment horizontal="center" vertical="center"/>
      <protection locked="0"/>
    </xf>
  </cellXfs>
  <cellStyles count="5">
    <cellStyle name="Currency" xfId="1" builtinId="4"/>
    <cellStyle name="Normal" xfId="0" builtinId="0"/>
    <cellStyle name="Normal 2 2" xfId="3" xr:uid="{36EA1445-EEA2-4FF1-878A-36DDB947BB98}"/>
    <cellStyle name="Normal 2 2 2" xfId="4" xr:uid="{1B179405-86D4-4417-8EBB-C7CD6F424D32}"/>
    <cellStyle name="Percent" xfId="2" builtinId="5"/>
  </cellStyles>
  <dxfs count="31">
    <dxf>
      <font>
        <color theme="2" tint="-0.749961851863155"/>
      </font>
      <fill>
        <patternFill patternType="lightTrellis">
          <fgColor theme="0"/>
          <bgColor theme="1"/>
        </patternFill>
      </fill>
    </dxf>
    <dxf>
      <font>
        <color theme="2" tint="-0.749961851863155"/>
      </font>
      <fill>
        <patternFill patternType="lightTrellis">
          <fgColor theme="0"/>
          <bgColor theme="1"/>
        </patternFill>
      </fill>
    </dxf>
    <dxf>
      <font>
        <strike val="0"/>
        <outline val="0"/>
        <shadow val="0"/>
        <u val="none"/>
        <vertAlign val="baseline"/>
        <sz val="10"/>
        <name val="Segoe UI"/>
        <family val="2"/>
        <scheme val="none"/>
      </font>
      <alignment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Segoe UI"/>
        <family val="2"/>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Segoe UI"/>
        <family val="2"/>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Segoe UI"/>
        <family val="2"/>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Segoe UI"/>
        <family val="2"/>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Segoe UI"/>
        <family val="2"/>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Segoe UI"/>
        <family val="2"/>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Segoe UI"/>
        <family val="2"/>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Segoe UI"/>
        <family val="2"/>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Segoe UI"/>
        <family val="2"/>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Segoe UI"/>
        <family val="2"/>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Segoe UI"/>
        <family val="2"/>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Segoe UI"/>
        <family val="2"/>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Segoe UI"/>
        <family val="2"/>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Segoe UI"/>
        <family val="2"/>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Segoe UI"/>
        <family val="2"/>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Segoe UI"/>
        <family val="2"/>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Segoe UI"/>
        <family val="2"/>
        <scheme val="none"/>
      </font>
      <fill>
        <patternFill patternType="none">
          <fgColor indexed="64"/>
          <bgColor indexed="65"/>
        </patternFill>
      </fil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Segoe UI"/>
        <family val="2"/>
        <scheme val="none"/>
      </font>
      <fill>
        <patternFill patternType="none">
          <fgColor indexed="64"/>
          <bgColor indexed="65"/>
        </patternFill>
      </fil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Segoe UI"/>
        <family val="2"/>
        <scheme val="none"/>
      </font>
      <fill>
        <patternFill patternType="none">
          <fgColor indexed="64"/>
          <bgColor indexed="65"/>
        </patternFill>
      </fil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Segoe U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Segoe UI"/>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Segoe UI"/>
        <family val="2"/>
        <scheme val="none"/>
      </font>
      <fill>
        <patternFill patternType="none">
          <fgColor indexed="64"/>
          <bgColor indexed="65"/>
        </patternFill>
      </fill>
      <alignment horizontal="center" vertical="top"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Segoe UI"/>
        <family val="2"/>
        <scheme val="none"/>
      </font>
      <fill>
        <patternFill patternType="none">
          <fgColor indexed="64"/>
          <bgColor indexed="65"/>
        </patternFill>
      </fill>
      <alignment horizontal="center"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Segoe UI"/>
        <family val="2"/>
        <scheme val="none"/>
      </font>
      <alignment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0"/>
        <name val="Segoe UI"/>
        <family val="2"/>
        <scheme val="none"/>
      </font>
      <fill>
        <patternFill patternType="solid">
          <fgColor indexed="64"/>
          <bgColor rgb="FF002060"/>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doughnutChart>
        <c:varyColors val="1"/>
        <c:ser>
          <c:idx val="0"/>
          <c:order val="0"/>
          <c:tx>
            <c:strRef>
              <c:f>Dashboard!$F$8</c:f>
              <c:strCache>
                <c:ptCount val="1"/>
                <c:pt idx="0">
                  <c:v>Sites per RAN Configuration</c:v>
                </c:pt>
              </c:strCache>
            </c:strRef>
          </c:tx>
          <c:dPt>
            <c:idx val="0"/>
            <c:bubble3D val="0"/>
            <c:spPr>
              <a:solidFill>
                <a:schemeClr val="accent1"/>
              </a:solidFill>
              <a:ln>
                <a:noFill/>
              </a:ln>
              <a:effectLst/>
            </c:spPr>
            <c:extLst>
              <c:ext xmlns:c16="http://schemas.microsoft.com/office/drawing/2014/chart" uri="{C3380CC4-5D6E-409C-BE32-E72D297353CC}">
                <c16:uniqueId val="{00000001-3A69-443E-9FE1-6F04D86862B4}"/>
              </c:ext>
            </c:extLst>
          </c:dPt>
          <c:dPt>
            <c:idx val="1"/>
            <c:bubble3D val="0"/>
            <c:spPr>
              <a:solidFill>
                <a:schemeClr val="accent2"/>
              </a:solidFill>
              <a:ln>
                <a:noFill/>
              </a:ln>
              <a:effectLst/>
            </c:spPr>
            <c:extLst>
              <c:ext xmlns:c16="http://schemas.microsoft.com/office/drawing/2014/chart" uri="{C3380CC4-5D6E-409C-BE32-E72D297353CC}">
                <c16:uniqueId val="{00000003-3A69-443E-9FE1-6F04D86862B4}"/>
              </c:ext>
            </c:extLst>
          </c:dPt>
          <c:dPt>
            <c:idx val="2"/>
            <c:bubble3D val="0"/>
            <c:spPr>
              <a:solidFill>
                <a:schemeClr val="accent3"/>
              </a:solidFill>
              <a:ln>
                <a:noFill/>
              </a:ln>
              <a:effectLst/>
            </c:spPr>
            <c:extLst>
              <c:ext xmlns:c16="http://schemas.microsoft.com/office/drawing/2014/chart" uri="{C3380CC4-5D6E-409C-BE32-E72D297353CC}">
                <c16:uniqueId val="{00000005-3A69-443E-9FE1-6F04D86862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Dashboard!$F$9:$G$11</c:f>
              <c:strCache>
                <c:ptCount val="3"/>
                <c:pt idx="0">
                  <c:v>RAN Config 1</c:v>
                </c:pt>
                <c:pt idx="1">
                  <c:v>RAN Config 2</c:v>
                </c:pt>
                <c:pt idx="2">
                  <c:v>RAN Config 3</c:v>
                </c:pt>
              </c:strCache>
            </c:strRef>
          </c:cat>
          <c:val>
            <c:numRef>
              <c:f>Dashboard!$H$9:$H$11</c:f>
              <c:numCache>
                <c:formatCode>0</c:formatCode>
                <c:ptCount val="3"/>
                <c:pt idx="0">
                  <c:v>8</c:v>
                </c:pt>
                <c:pt idx="1">
                  <c:v>1</c:v>
                </c:pt>
                <c:pt idx="2">
                  <c:v>0</c:v>
                </c:pt>
              </c:numCache>
            </c:numRef>
          </c:val>
          <c:extLst>
            <c:ext xmlns:c16="http://schemas.microsoft.com/office/drawing/2014/chart" uri="{C3380CC4-5D6E-409C-BE32-E72D297353CC}">
              <c16:uniqueId val="{00000002-CDDA-44EC-AC1D-52863E0D3E3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doughnutChart>
        <c:varyColors val="1"/>
        <c:ser>
          <c:idx val="0"/>
          <c:order val="0"/>
          <c:tx>
            <c:strRef>
              <c:f>Dashboard!$F$13</c:f>
              <c:strCache>
                <c:ptCount val="1"/>
                <c:pt idx="0">
                  <c:v>Sites per Backhaul Type</c:v>
                </c:pt>
              </c:strCache>
            </c:strRef>
          </c:tx>
          <c:dPt>
            <c:idx val="0"/>
            <c:bubble3D val="0"/>
            <c:spPr>
              <a:solidFill>
                <a:schemeClr val="accent1"/>
              </a:solidFill>
              <a:ln>
                <a:noFill/>
              </a:ln>
              <a:effectLst/>
            </c:spPr>
            <c:extLst>
              <c:ext xmlns:c16="http://schemas.microsoft.com/office/drawing/2014/chart" uri="{C3380CC4-5D6E-409C-BE32-E72D297353CC}">
                <c16:uniqueId val="{00000001-6360-49AA-8313-DB6F14952B42}"/>
              </c:ext>
            </c:extLst>
          </c:dPt>
          <c:dPt>
            <c:idx val="1"/>
            <c:bubble3D val="0"/>
            <c:spPr>
              <a:solidFill>
                <a:schemeClr val="accent2"/>
              </a:solidFill>
              <a:ln>
                <a:noFill/>
              </a:ln>
              <a:effectLst/>
            </c:spPr>
            <c:extLst>
              <c:ext xmlns:c16="http://schemas.microsoft.com/office/drawing/2014/chart" uri="{C3380CC4-5D6E-409C-BE32-E72D297353CC}">
                <c16:uniqueId val="{00000003-6360-49AA-8313-DB6F14952B42}"/>
              </c:ext>
            </c:extLst>
          </c:dPt>
          <c:dPt>
            <c:idx val="2"/>
            <c:bubble3D val="0"/>
            <c:spPr>
              <a:solidFill>
                <a:schemeClr val="accent3"/>
              </a:solidFill>
              <a:ln>
                <a:noFill/>
              </a:ln>
              <a:effectLst/>
            </c:spPr>
            <c:extLst>
              <c:ext xmlns:c16="http://schemas.microsoft.com/office/drawing/2014/chart" uri="{C3380CC4-5D6E-409C-BE32-E72D297353CC}">
                <c16:uniqueId val="{00000005-6360-49AA-8313-DB6F14952B4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Dashboard!$F$14:$G$16</c:f>
              <c:strCache>
                <c:ptCount val="3"/>
                <c:pt idx="0">
                  <c:v>MW</c:v>
                </c:pt>
                <c:pt idx="1">
                  <c:v>Fiber</c:v>
                </c:pt>
                <c:pt idx="2">
                  <c:v>VSAT</c:v>
                </c:pt>
              </c:strCache>
            </c:strRef>
          </c:cat>
          <c:val>
            <c:numRef>
              <c:f>Dashboard!$H$14:$H$16</c:f>
              <c:numCache>
                <c:formatCode>0</c:formatCode>
                <c:ptCount val="3"/>
                <c:pt idx="0">
                  <c:v>8</c:v>
                </c:pt>
                <c:pt idx="1">
                  <c:v>1</c:v>
                </c:pt>
                <c:pt idx="2">
                  <c:v>0</c:v>
                </c:pt>
              </c:numCache>
            </c:numRef>
          </c:val>
          <c:extLst>
            <c:ext xmlns:c16="http://schemas.microsoft.com/office/drawing/2014/chart" uri="{C3380CC4-5D6E-409C-BE32-E72D297353CC}">
              <c16:uniqueId val="{00000002-CDDA-44EC-AC1D-52863E0D3E3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doughnutChart>
        <c:varyColors val="1"/>
        <c:ser>
          <c:idx val="0"/>
          <c:order val="0"/>
          <c:tx>
            <c:strRef>
              <c:f>Dashboard!$F$18</c:f>
              <c:strCache>
                <c:ptCount val="1"/>
                <c:pt idx="0">
                  <c:v>Sites per Structure Type</c:v>
                </c:pt>
              </c:strCache>
            </c:strRef>
          </c:tx>
          <c:dPt>
            <c:idx val="0"/>
            <c:bubble3D val="0"/>
            <c:spPr>
              <a:solidFill>
                <a:schemeClr val="accent1"/>
              </a:solidFill>
              <a:ln>
                <a:noFill/>
              </a:ln>
              <a:effectLst/>
            </c:spPr>
            <c:extLst>
              <c:ext xmlns:c16="http://schemas.microsoft.com/office/drawing/2014/chart" uri="{C3380CC4-5D6E-409C-BE32-E72D297353CC}">
                <c16:uniqueId val="{00000001-AB4D-4796-AD16-F736E6657C2E}"/>
              </c:ext>
            </c:extLst>
          </c:dPt>
          <c:dPt>
            <c:idx val="1"/>
            <c:bubble3D val="0"/>
            <c:spPr>
              <a:solidFill>
                <a:schemeClr val="accent2"/>
              </a:solidFill>
              <a:ln>
                <a:noFill/>
              </a:ln>
              <a:effectLst/>
            </c:spPr>
            <c:extLst>
              <c:ext xmlns:c16="http://schemas.microsoft.com/office/drawing/2014/chart" uri="{C3380CC4-5D6E-409C-BE32-E72D297353CC}">
                <c16:uniqueId val="{00000003-AB4D-4796-AD16-F736E6657C2E}"/>
              </c:ext>
            </c:extLst>
          </c:dPt>
          <c:dPt>
            <c:idx val="2"/>
            <c:bubble3D val="0"/>
            <c:spPr>
              <a:solidFill>
                <a:schemeClr val="accent3"/>
              </a:solidFill>
              <a:ln>
                <a:noFill/>
              </a:ln>
              <a:effectLst/>
            </c:spPr>
            <c:extLst>
              <c:ext xmlns:c16="http://schemas.microsoft.com/office/drawing/2014/chart" uri="{C3380CC4-5D6E-409C-BE32-E72D297353CC}">
                <c16:uniqueId val="{00000005-AB4D-4796-AD16-F736E6657C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Dashboard!$F$19:$G$21</c:f>
              <c:strCache>
                <c:ptCount val="3"/>
                <c:pt idx="0">
                  <c:v>Rooftop</c:v>
                </c:pt>
                <c:pt idx="1">
                  <c:v>Existing Tower</c:v>
                </c:pt>
                <c:pt idx="2">
                  <c:v>New Tower</c:v>
                </c:pt>
              </c:strCache>
            </c:strRef>
          </c:cat>
          <c:val>
            <c:numRef>
              <c:f>Dashboard!$H$19:$H$21</c:f>
              <c:numCache>
                <c:formatCode>0</c:formatCode>
                <c:ptCount val="3"/>
                <c:pt idx="0">
                  <c:v>9</c:v>
                </c:pt>
                <c:pt idx="1">
                  <c:v>0</c:v>
                </c:pt>
                <c:pt idx="2">
                  <c:v>0</c:v>
                </c:pt>
              </c:numCache>
            </c:numRef>
          </c:val>
          <c:extLst>
            <c:ext xmlns:c16="http://schemas.microsoft.com/office/drawing/2014/chart" uri="{C3380CC4-5D6E-409C-BE32-E72D297353CC}">
              <c16:uniqueId val="{00000002-CDDA-44EC-AC1D-52863E0D3E3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Subscriber</a:t>
            </a:r>
            <a:r>
              <a:rPr lang="en-US" baseline="0"/>
              <a:t> Forecast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Dashboard!$B$71</c:f>
              <c:strCache>
                <c:ptCount val="1"/>
                <c:pt idx="0">
                  <c:v>Basic Service</c:v>
                </c:pt>
              </c:strCache>
            </c:strRef>
          </c:tx>
          <c:spPr>
            <a:solidFill>
              <a:schemeClr val="accent1"/>
            </a:solidFill>
            <a:ln>
              <a:noFill/>
            </a:ln>
            <a:effectLst/>
          </c:spPr>
          <c:invertIfNegative val="0"/>
          <c:cat>
            <c:numRef>
              <c:f>Dashboard!$C$58:$H$58</c:f>
              <c:numCache>
                <c:formatCode>General</c:formatCode>
                <c:ptCount val="6"/>
                <c:pt idx="0">
                  <c:v>2020</c:v>
                </c:pt>
                <c:pt idx="1">
                  <c:v>2021</c:v>
                </c:pt>
                <c:pt idx="2">
                  <c:v>2022</c:v>
                </c:pt>
                <c:pt idx="3">
                  <c:v>2023</c:v>
                </c:pt>
                <c:pt idx="4">
                  <c:v>2024</c:v>
                </c:pt>
                <c:pt idx="5">
                  <c:v>2025</c:v>
                </c:pt>
              </c:numCache>
            </c:numRef>
          </c:cat>
          <c:val>
            <c:numRef>
              <c:f>Dashboard!$C$71:$H$71</c:f>
              <c:numCache>
                <c:formatCode>General</c:formatCode>
                <c:ptCount val="6"/>
                <c:pt idx="0">
                  <c:v>135</c:v>
                </c:pt>
                <c:pt idx="1">
                  <c:v>405</c:v>
                </c:pt>
                <c:pt idx="2">
                  <c:v>608</c:v>
                </c:pt>
                <c:pt idx="3">
                  <c:v>743</c:v>
                </c:pt>
                <c:pt idx="4">
                  <c:v>878</c:v>
                </c:pt>
                <c:pt idx="5">
                  <c:v>878</c:v>
                </c:pt>
              </c:numCache>
            </c:numRef>
          </c:val>
          <c:extLst>
            <c:ext xmlns:c16="http://schemas.microsoft.com/office/drawing/2014/chart" uri="{C3380CC4-5D6E-409C-BE32-E72D297353CC}">
              <c16:uniqueId val="{00000000-0BDE-4EBB-BB31-47C5EBD37353}"/>
            </c:ext>
          </c:extLst>
        </c:ser>
        <c:ser>
          <c:idx val="1"/>
          <c:order val="1"/>
          <c:tx>
            <c:strRef>
              <c:f>Dashboard!$B$72</c:f>
              <c:strCache>
                <c:ptCount val="1"/>
                <c:pt idx="0">
                  <c:v>Premium Service</c:v>
                </c:pt>
              </c:strCache>
            </c:strRef>
          </c:tx>
          <c:spPr>
            <a:solidFill>
              <a:schemeClr val="accent2"/>
            </a:solidFill>
            <a:ln>
              <a:noFill/>
            </a:ln>
            <a:effectLst/>
          </c:spPr>
          <c:invertIfNegative val="0"/>
          <c:cat>
            <c:numRef>
              <c:f>Dashboard!$C$58:$H$58</c:f>
              <c:numCache>
                <c:formatCode>General</c:formatCode>
                <c:ptCount val="6"/>
                <c:pt idx="0">
                  <c:v>2020</c:v>
                </c:pt>
                <c:pt idx="1">
                  <c:v>2021</c:v>
                </c:pt>
                <c:pt idx="2">
                  <c:v>2022</c:v>
                </c:pt>
                <c:pt idx="3">
                  <c:v>2023</c:v>
                </c:pt>
                <c:pt idx="4">
                  <c:v>2024</c:v>
                </c:pt>
                <c:pt idx="5">
                  <c:v>2025</c:v>
                </c:pt>
              </c:numCache>
            </c:numRef>
          </c:cat>
          <c:val>
            <c:numRef>
              <c:f>Dashboard!$C$72:$H$72</c:f>
              <c:numCache>
                <c:formatCode>General</c:formatCode>
                <c:ptCount val="6"/>
                <c:pt idx="0">
                  <c:v>41</c:v>
                </c:pt>
                <c:pt idx="1">
                  <c:v>68</c:v>
                </c:pt>
                <c:pt idx="2">
                  <c:v>135</c:v>
                </c:pt>
                <c:pt idx="3">
                  <c:v>203</c:v>
                </c:pt>
                <c:pt idx="4">
                  <c:v>203</c:v>
                </c:pt>
                <c:pt idx="5">
                  <c:v>203</c:v>
                </c:pt>
              </c:numCache>
            </c:numRef>
          </c:val>
          <c:extLst>
            <c:ext xmlns:c16="http://schemas.microsoft.com/office/drawing/2014/chart" uri="{C3380CC4-5D6E-409C-BE32-E72D297353CC}">
              <c16:uniqueId val="{00000002-0BDE-4EBB-BB31-47C5EBD37353}"/>
            </c:ext>
          </c:extLst>
        </c:ser>
        <c:ser>
          <c:idx val="2"/>
          <c:order val="2"/>
          <c:tx>
            <c:strRef>
              <c:f>Dashboard!$B$73</c:f>
              <c:strCache>
                <c:ptCount val="1"/>
                <c:pt idx="0">
                  <c:v>Institutional Service</c:v>
                </c:pt>
              </c:strCache>
            </c:strRef>
          </c:tx>
          <c:spPr>
            <a:solidFill>
              <a:schemeClr val="accent3"/>
            </a:solidFill>
            <a:ln>
              <a:noFill/>
            </a:ln>
            <a:effectLst/>
          </c:spPr>
          <c:invertIfNegative val="0"/>
          <c:cat>
            <c:numRef>
              <c:f>Dashboard!$C$58:$H$58</c:f>
              <c:numCache>
                <c:formatCode>General</c:formatCode>
                <c:ptCount val="6"/>
                <c:pt idx="0">
                  <c:v>2020</c:v>
                </c:pt>
                <c:pt idx="1">
                  <c:v>2021</c:v>
                </c:pt>
                <c:pt idx="2">
                  <c:v>2022</c:v>
                </c:pt>
                <c:pt idx="3">
                  <c:v>2023</c:v>
                </c:pt>
                <c:pt idx="4">
                  <c:v>2024</c:v>
                </c:pt>
                <c:pt idx="5">
                  <c:v>2025</c:v>
                </c:pt>
              </c:numCache>
            </c:numRef>
          </c:cat>
          <c:val>
            <c:numRef>
              <c:f>Dashboard!$C$73:$H$73</c:f>
              <c:numCache>
                <c:formatCode>General</c:formatCode>
                <c:ptCount val="6"/>
                <c:pt idx="0">
                  <c:v>6</c:v>
                </c:pt>
                <c:pt idx="1">
                  <c:v>6</c:v>
                </c:pt>
                <c:pt idx="2">
                  <c:v>6</c:v>
                </c:pt>
                <c:pt idx="3">
                  <c:v>6</c:v>
                </c:pt>
                <c:pt idx="4">
                  <c:v>6</c:v>
                </c:pt>
                <c:pt idx="5">
                  <c:v>6</c:v>
                </c:pt>
              </c:numCache>
            </c:numRef>
          </c:val>
          <c:extLst>
            <c:ext xmlns:c16="http://schemas.microsoft.com/office/drawing/2014/chart" uri="{C3380CC4-5D6E-409C-BE32-E72D297353CC}">
              <c16:uniqueId val="{00000003-0BDE-4EBB-BB31-47C5EBD37353}"/>
            </c:ext>
          </c:extLst>
        </c:ser>
        <c:ser>
          <c:idx val="3"/>
          <c:order val="3"/>
          <c:tx>
            <c:strRef>
              <c:f>Dashboard!$B$76</c:f>
              <c:strCache>
                <c:ptCount val="1"/>
                <c:pt idx="0">
                  <c:v>Community Wi-Fi Users</c:v>
                </c:pt>
              </c:strCache>
            </c:strRef>
          </c:tx>
          <c:spPr>
            <a:solidFill>
              <a:schemeClr val="accent4"/>
            </a:solidFill>
            <a:ln>
              <a:noFill/>
            </a:ln>
            <a:effectLst/>
          </c:spPr>
          <c:invertIfNegative val="0"/>
          <c:cat>
            <c:numRef>
              <c:f>Dashboard!$C$58:$H$58</c:f>
              <c:numCache>
                <c:formatCode>General</c:formatCode>
                <c:ptCount val="6"/>
                <c:pt idx="0">
                  <c:v>2020</c:v>
                </c:pt>
                <c:pt idx="1">
                  <c:v>2021</c:v>
                </c:pt>
                <c:pt idx="2">
                  <c:v>2022</c:v>
                </c:pt>
                <c:pt idx="3">
                  <c:v>2023</c:v>
                </c:pt>
                <c:pt idx="4">
                  <c:v>2024</c:v>
                </c:pt>
                <c:pt idx="5">
                  <c:v>2025</c:v>
                </c:pt>
              </c:numCache>
            </c:numRef>
          </c:cat>
          <c:val>
            <c:numRef>
              <c:f>Dashboard!$C$76:$H$76</c:f>
              <c:numCache>
                <c:formatCode>General</c:formatCode>
                <c:ptCount val="6"/>
                <c:pt idx="0">
                  <c:v>20</c:v>
                </c:pt>
                <c:pt idx="1">
                  <c:v>70</c:v>
                </c:pt>
                <c:pt idx="2">
                  <c:v>120</c:v>
                </c:pt>
                <c:pt idx="3">
                  <c:v>200</c:v>
                </c:pt>
                <c:pt idx="4">
                  <c:v>200</c:v>
                </c:pt>
                <c:pt idx="5">
                  <c:v>200</c:v>
                </c:pt>
              </c:numCache>
            </c:numRef>
          </c:val>
          <c:extLst>
            <c:ext xmlns:c16="http://schemas.microsoft.com/office/drawing/2014/chart" uri="{C3380CC4-5D6E-409C-BE32-E72D297353CC}">
              <c16:uniqueId val="{00000004-0BDE-4EBB-BB31-47C5EBD37353}"/>
            </c:ext>
          </c:extLst>
        </c:ser>
        <c:dLbls>
          <c:showLegendKey val="0"/>
          <c:showVal val="0"/>
          <c:showCatName val="0"/>
          <c:showSerName val="0"/>
          <c:showPercent val="0"/>
          <c:showBubbleSize val="0"/>
        </c:dLbls>
        <c:gapWidth val="150"/>
        <c:overlap val="100"/>
        <c:axId val="556654944"/>
        <c:axId val="555084144"/>
      </c:barChart>
      <c:lineChart>
        <c:grouping val="stacked"/>
        <c:varyColors val="0"/>
        <c:ser>
          <c:idx val="4"/>
          <c:order val="4"/>
          <c:tx>
            <c:strRef>
              <c:f>Dashboard!$B$78</c:f>
              <c:strCache>
                <c:ptCount val="1"/>
                <c:pt idx="0">
                  <c:v>Total Subscribers</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Dashboard!$C$58:$H$58</c:f>
              <c:numCache>
                <c:formatCode>General</c:formatCode>
                <c:ptCount val="6"/>
                <c:pt idx="0">
                  <c:v>2020</c:v>
                </c:pt>
                <c:pt idx="1">
                  <c:v>2021</c:v>
                </c:pt>
                <c:pt idx="2">
                  <c:v>2022</c:v>
                </c:pt>
                <c:pt idx="3">
                  <c:v>2023</c:v>
                </c:pt>
                <c:pt idx="4">
                  <c:v>2024</c:v>
                </c:pt>
                <c:pt idx="5">
                  <c:v>2025</c:v>
                </c:pt>
              </c:numCache>
            </c:numRef>
          </c:cat>
          <c:val>
            <c:numRef>
              <c:f>Dashboard!$C$78:$H$78</c:f>
              <c:numCache>
                <c:formatCode>General</c:formatCode>
                <c:ptCount val="6"/>
                <c:pt idx="0">
                  <c:v>202</c:v>
                </c:pt>
                <c:pt idx="1">
                  <c:v>549</c:v>
                </c:pt>
                <c:pt idx="2">
                  <c:v>869</c:v>
                </c:pt>
                <c:pt idx="3">
                  <c:v>1152</c:v>
                </c:pt>
                <c:pt idx="4">
                  <c:v>1287</c:v>
                </c:pt>
                <c:pt idx="5">
                  <c:v>1287</c:v>
                </c:pt>
              </c:numCache>
            </c:numRef>
          </c:val>
          <c:smooth val="0"/>
          <c:extLst>
            <c:ext xmlns:c16="http://schemas.microsoft.com/office/drawing/2014/chart" uri="{C3380CC4-5D6E-409C-BE32-E72D297353CC}">
              <c16:uniqueId val="{00000006-0BDE-4EBB-BB31-47C5EBD37353}"/>
            </c:ext>
          </c:extLst>
        </c:ser>
        <c:dLbls>
          <c:showLegendKey val="0"/>
          <c:showVal val="0"/>
          <c:showCatName val="0"/>
          <c:showSerName val="0"/>
          <c:showPercent val="0"/>
          <c:showBubbleSize val="0"/>
        </c:dLbls>
        <c:marker val="1"/>
        <c:smooth val="0"/>
        <c:axId val="556654944"/>
        <c:axId val="555084144"/>
      </c:lineChart>
      <c:catAx>
        <c:axId val="55665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084144"/>
        <c:crosses val="autoZero"/>
        <c:auto val="1"/>
        <c:lblAlgn val="ctr"/>
        <c:lblOffset val="100"/>
        <c:noMultiLvlLbl val="0"/>
      </c:catAx>
      <c:valAx>
        <c:axId val="555084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5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Dashboard!$B$86</c:f>
              <c:strCache>
                <c:ptCount val="1"/>
                <c:pt idx="0">
                  <c:v>Basic Service</c:v>
                </c:pt>
              </c:strCache>
            </c:strRef>
          </c:tx>
          <c:spPr>
            <a:solidFill>
              <a:schemeClr val="accent1"/>
            </a:solidFill>
            <a:ln>
              <a:noFill/>
            </a:ln>
            <a:effectLst/>
          </c:spPr>
          <c:invertIfNegative val="0"/>
          <c:cat>
            <c:numRef>
              <c:f>Dashboard!$C$58:$H$58</c:f>
              <c:numCache>
                <c:formatCode>General</c:formatCode>
                <c:ptCount val="6"/>
                <c:pt idx="0">
                  <c:v>2020</c:v>
                </c:pt>
                <c:pt idx="1">
                  <c:v>2021</c:v>
                </c:pt>
                <c:pt idx="2">
                  <c:v>2022</c:v>
                </c:pt>
                <c:pt idx="3">
                  <c:v>2023</c:v>
                </c:pt>
                <c:pt idx="4">
                  <c:v>2024</c:v>
                </c:pt>
                <c:pt idx="5">
                  <c:v>2025</c:v>
                </c:pt>
              </c:numCache>
            </c:numRef>
          </c:cat>
          <c:val>
            <c:numRef>
              <c:f>Dashboard!$C$86:$H$86</c:f>
              <c:numCache>
                <c:formatCode>_-"$"* #,##0_-;\-"$"* #,##0_-;_-"$"* "-"??_-;_-@_-</c:formatCode>
                <c:ptCount val="6"/>
                <c:pt idx="0">
                  <c:v>48600</c:v>
                </c:pt>
                <c:pt idx="1">
                  <c:v>145800</c:v>
                </c:pt>
                <c:pt idx="2">
                  <c:v>218880</c:v>
                </c:pt>
                <c:pt idx="3">
                  <c:v>267480</c:v>
                </c:pt>
                <c:pt idx="4">
                  <c:v>316080</c:v>
                </c:pt>
                <c:pt idx="5">
                  <c:v>316080</c:v>
                </c:pt>
              </c:numCache>
            </c:numRef>
          </c:val>
          <c:extLst>
            <c:ext xmlns:c16="http://schemas.microsoft.com/office/drawing/2014/chart" uri="{C3380CC4-5D6E-409C-BE32-E72D297353CC}">
              <c16:uniqueId val="{00000000-515B-4C01-BE29-F9FA7303F6EE}"/>
            </c:ext>
          </c:extLst>
        </c:ser>
        <c:ser>
          <c:idx val="1"/>
          <c:order val="1"/>
          <c:tx>
            <c:strRef>
              <c:f>Dashboard!$B$87</c:f>
              <c:strCache>
                <c:ptCount val="1"/>
                <c:pt idx="0">
                  <c:v>Premium Service</c:v>
                </c:pt>
              </c:strCache>
            </c:strRef>
          </c:tx>
          <c:spPr>
            <a:solidFill>
              <a:schemeClr val="accent2"/>
            </a:solidFill>
            <a:ln>
              <a:noFill/>
            </a:ln>
            <a:effectLst/>
          </c:spPr>
          <c:invertIfNegative val="0"/>
          <c:cat>
            <c:numRef>
              <c:f>Dashboard!$C$58:$H$58</c:f>
              <c:numCache>
                <c:formatCode>General</c:formatCode>
                <c:ptCount val="6"/>
                <c:pt idx="0">
                  <c:v>2020</c:v>
                </c:pt>
                <c:pt idx="1">
                  <c:v>2021</c:v>
                </c:pt>
                <c:pt idx="2">
                  <c:v>2022</c:v>
                </c:pt>
                <c:pt idx="3">
                  <c:v>2023</c:v>
                </c:pt>
                <c:pt idx="4">
                  <c:v>2024</c:v>
                </c:pt>
                <c:pt idx="5">
                  <c:v>2025</c:v>
                </c:pt>
              </c:numCache>
            </c:numRef>
          </c:cat>
          <c:val>
            <c:numRef>
              <c:f>Dashboard!$C$87:$H$87</c:f>
              <c:numCache>
                <c:formatCode>_-"$"* #,##0_-;\-"$"* #,##0_-;_-"$"* "-"??_-;_-@_-</c:formatCode>
                <c:ptCount val="6"/>
                <c:pt idx="0">
                  <c:v>19680</c:v>
                </c:pt>
                <c:pt idx="1">
                  <c:v>32640</c:v>
                </c:pt>
                <c:pt idx="2">
                  <c:v>64800</c:v>
                </c:pt>
                <c:pt idx="3">
                  <c:v>97440</c:v>
                </c:pt>
                <c:pt idx="4">
                  <c:v>97440</c:v>
                </c:pt>
                <c:pt idx="5">
                  <c:v>97440</c:v>
                </c:pt>
              </c:numCache>
            </c:numRef>
          </c:val>
          <c:extLst>
            <c:ext xmlns:c16="http://schemas.microsoft.com/office/drawing/2014/chart" uri="{C3380CC4-5D6E-409C-BE32-E72D297353CC}">
              <c16:uniqueId val="{00000001-515B-4C01-BE29-F9FA7303F6EE}"/>
            </c:ext>
          </c:extLst>
        </c:ser>
        <c:ser>
          <c:idx val="2"/>
          <c:order val="2"/>
          <c:tx>
            <c:strRef>
              <c:f>Dashboard!$B$88</c:f>
              <c:strCache>
                <c:ptCount val="1"/>
                <c:pt idx="0">
                  <c:v>Institutional Service</c:v>
                </c:pt>
              </c:strCache>
            </c:strRef>
          </c:tx>
          <c:spPr>
            <a:solidFill>
              <a:schemeClr val="accent3"/>
            </a:solidFill>
            <a:ln>
              <a:noFill/>
            </a:ln>
            <a:effectLst/>
          </c:spPr>
          <c:invertIfNegative val="0"/>
          <c:cat>
            <c:numRef>
              <c:f>Dashboard!$C$58:$H$58</c:f>
              <c:numCache>
                <c:formatCode>General</c:formatCode>
                <c:ptCount val="6"/>
                <c:pt idx="0">
                  <c:v>2020</c:v>
                </c:pt>
                <c:pt idx="1">
                  <c:v>2021</c:v>
                </c:pt>
                <c:pt idx="2">
                  <c:v>2022</c:v>
                </c:pt>
                <c:pt idx="3">
                  <c:v>2023</c:v>
                </c:pt>
                <c:pt idx="4">
                  <c:v>2024</c:v>
                </c:pt>
                <c:pt idx="5">
                  <c:v>2025</c:v>
                </c:pt>
              </c:numCache>
            </c:numRef>
          </c:cat>
          <c:val>
            <c:numRef>
              <c:f>Dashboard!$C$88:$H$88</c:f>
              <c:numCache>
                <c:formatCode>_-"$"* #,##0_-;\-"$"* #,##0_-;_-"$"* "-"??_-;_-@_-</c:formatCode>
                <c:ptCount val="6"/>
                <c:pt idx="0">
                  <c:v>3960</c:v>
                </c:pt>
                <c:pt idx="1">
                  <c:v>3960</c:v>
                </c:pt>
                <c:pt idx="2">
                  <c:v>3960</c:v>
                </c:pt>
                <c:pt idx="3">
                  <c:v>3960</c:v>
                </c:pt>
                <c:pt idx="4">
                  <c:v>3960</c:v>
                </c:pt>
                <c:pt idx="5">
                  <c:v>3960</c:v>
                </c:pt>
              </c:numCache>
            </c:numRef>
          </c:val>
          <c:extLst>
            <c:ext xmlns:c16="http://schemas.microsoft.com/office/drawing/2014/chart" uri="{C3380CC4-5D6E-409C-BE32-E72D297353CC}">
              <c16:uniqueId val="{00000002-515B-4C01-BE29-F9FA7303F6EE}"/>
            </c:ext>
          </c:extLst>
        </c:ser>
        <c:ser>
          <c:idx val="3"/>
          <c:order val="3"/>
          <c:tx>
            <c:strRef>
              <c:f>Dashboard!$B$89</c:f>
              <c:strCache>
                <c:ptCount val="1"/>
                <c:pt idx="0">
                  <c:v>Community Wi-Fi</c:v>
                </c:pt>
              </c:strCache>
            </c:strRef>
          </c:tx>
          <c:spPr>
            <a:solidFill>
              <a:schemeClr val="accent4"/>
            </a:solidFill>
            <a:ln>
              <a:noFill/>
            </a:ln>
            <a:effectLst/>
          </c:spPr>
          <c:invertIfNegative val="0"/>
          <c:cat>
            <c:numRef>
              <c:f>Dashboard!$C$58:$H$58</c:f>
              <c:numCache>
                <c:formatCode>General</c:formatCode>
                <c:ptCount val="6"/>
                <c:pt idx="0">
                  <c:v>2020</c:v>
                </c:pt>
                <c:pt idx="1">
                  <c:v>2021</c:v>
                </c:pt>
                <c:pt idx="2">
                  <c:v>2022</c:v>
                </c:pt>
                <c:pt idx="3">
                  <c:v>2023</c:v>
                </c:pt>
                <c:pt idx="4">
                  <c:v>2024</c:v>
                </c:pt>
                <c:pt idx="5">
                  <c:v>2025</c:v>
                </c:pt>
              </c:numCache>
            </c:numRef>
          </c:cat>
          <c:val>
            <c:numRef>
              <c:f>Dashboard!$C$89:$H$89</c:f>
              <c:numCache>
                <c:formatCode>_-"$"* #,##0_-;\-"$"* #,##0_-;_-"$"* "-"??_-;_-@_-</c:formatCode>
                <c:ptCount val="6"/>
                <c:pt idx="0">
                  <c:v>2400</c:v>
                </c:pt>
                <c:pt idx="1">
                  <c:v>8400</c:v>
                </c:pt>
                <c:pt idx="2">
                  <c:v>14400</c:v>
                </c:pt>
                <c:pt idx="3">
                  <c:v>24000</c:v>
                </c:pt>
                <c:pt idx="4">
                  <c:v>24000</c:v>
                </c:pt>
                <c:pt idx="5">
                  <c:v>24000</c:v>
                </c:pt>
              </c:numCache>
            </c:numRef>
          </c:val>
          <c:extLst>
            <c:ext xmlns:c16="http://schemas.microsoft.com/office/drawing/2014/chart" uri="{C3380CC4-5D6E-409C-BE32-E72D297353CC}">
              <c16:uniqueId val="{00000003-515B-4C01-BE29-F9FA7303F6EE}"/>
            </c:ext>
          </c:extLst>
        </c:ser>
        <c:dLbls>
          <c:showLegendKey val="0"/>
          <c:showVal val="0"/>
          <c:showCatName val="0"/>
          <c:showSerName val="0"/>
          <c:showPercent val="0"/>
          <c:showBubbleSize val="0"/>
        </c:dLbls>
        <c:gapWidth val="150"/>
        <c:overlap val="100"/>
        <c:axId val="556654944"/>
        <c:axId val="555084144"/>
      </c:barChart>
      <c:lineChart>
        <c:grouping val="stacked"/>
        <c:varyColors val="0"/>
        <c:ser>
          <c:idx val="4"/>
          <c:order val="4"/>
          <c:tx>
            <c:strRef>
              <c:f>Dashboard!$B$85</c:f>
              <c:strCache>
                <c:ptCount val="1"/>
                <c:pt idx="0">
                  <c:v>Revenue</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Dashboard!$C$58:$H$58</c:f>
              <c:numCache>
                <c:formatCode>General</c:formatCode>
                <c:ptCount val="6"/>
                <c:pt idx="0">
                  <c:v>2020</c:v>
                </c:pt>
                <c:pt idx="1">
                  <c:v>2021</c:v>
                </c:pt>
                <c:pt idx="2">
                  <c:v>2022</c:v>
                </c:pt>
                <c:pt idx="3">
                  <c:v>2023</c:v>
                </c:pt>
                <c:pt idx="4">
                  <c:v>2024</c:v>
                </c:pt>
                <c:pt idx="5">
                  <c:v>2025</c:v>
                </c:pt>
              </c:numCache>
            </c:numRef>
          </c:cat>
          <c:val>
            <c:numRef>
              <c:f>Dashboard!$C$85:$H$85</c:f>
              <c:numCache>
                <c:formatCode>_-"$"* #,##0_-;\-"$"* #,##0_-;_-"$"* "-"??_-;_-@_-</c:formatCode>
                <c:ptCount val="6"/>
                <c:pt idx="0">
                  <c:v>74640</c:v>
                </c:pt>
                <c:pt idx="1">
                  <c:v>190800</c:v>
                </c:pt>
                <c:pt idx="2">
                  <c:v>302040</c:v>
                </c:pt>
                <c:pt idx="3">
                  <c:v>392880</c:v>
                </c:pt>
                <c:pt idx="4">
                  <c:v>441480</c:v>
                </c:pt>
                <c:pt idx="5">
                  <c:v>441480</c:v>
                </c:pt>
              </c:numCache>
            </c:numRef>
          </c:val>
          <c:smooth val="0"/>
          <c:extLst>
            <c:ext xmlns:c16="http://schemas.microsoft.com/office/drawing/2014/chart" uri="{C3380CC4-5D6E-409C-BE32-E72D297353CC}">
              <c16:uniqueId val="{00000004-515B-4C01-BE29-F9FA7303F6EE}"/>
            </c:ext>
          </c:extLst>
        </c:ser>
        <c:dLbls>
          <c:showLegendKey val="0"/>
          <c:showVal val="0"/>
          <c:showCatName val="0"/>
          <c:showSerName val="0"/>
          <c:showPercent val="0"/>
          <c:showBubbleSize val="0"/>
        </c:dLbls>
        <c:marker val="1"/>
        <c:smooth val="0"/>
        <c:axId val="556654944"/>
        <c:axId val="555084144"/>
      </c:lineChart>
      <c:catAx>
        <c:axId val="55665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084144"/>
        <c:crosses val="autoZero"/>
        <c:auto val="1"/>
        <c:lblAlgn val="ctr"/>
        <c:lblOffset val="100"/>
        <c:noMultiLvlLbl val="0"/>
      </c:catAx>
      <c:valAx>
        <c:axId val="55508414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5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a:t>Year 0 OPEX</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doughnutChart>
        <c:varyColors val="1"/>
        <c:ser>
          <c:idx val="0"/>
          <c:order val="0"/>
          <c:tx>
            <c:strRef>
              <c:f>Dashboard!$B$91</c:f>
              <c:strCache>
                <c:ptCount val="1"/>
                <c:pt idx="0">
                  <c:v>OPEX</c:v>
                </c:pt>
              </c:strCache>
            </c:strRef>
          </c:tx>
          <c:dPt>
            <c:idx val="0"/>
            <c:bubble3D val="0"/>
            <c:spPr>
              <a:solidFill>
                <a:schemeClr val="accent1"/>
              </a:solidFill>
              <a:ln>
                <a:noFill/>
              </a:ln>
              <a:effectLst/>
            </c:spPr>
            <c:extLst>
              <c:ext xmlns:c16="http://schemas.microsoft.com/office/drawing/2014/chart" uri="{C3380CC4-5D6E-409C-BE32-E72D297353CC}">
                <c16:uniqueId val="{00000001-427E-4EC4-ACE6-550A1B513217}"/>
              </c:ext>
            </c:extLst>
          </c:dPt>
          <c:dPt>
            <c:idx val="1"/>
            <c:bubble3D val="0"/>
            <c:spPr>
              <a:solidFill>
                <a:schemeClr val="accent2"/>
              </a:solidFill>
              <a:ln>
                <a:noFill/>
              </a:ln>
              <a:effectLst/>
            </c:spPr>
            <c:extLst>
              <c:ext xmlns:c16="http://schemas.microsoft.com/office/drawing/2014/chart" uri="{C3380CC4-5D6E-409C-BE32-E72D297353CC}">
                <c16:uniqueId val="{00000003-427E-4EC4-ACE6-550A1B513217}"/>
              </c:ext>
            </c:extLst>
          </c:dPt>
          <c:dPt>
            <c:idx val="2"/>
            <c:bubble3D val="0"/>
            <c:spPr>
              <a:solidFill>
                <a:schemeClr val="accent3"/>
              </a:solidFill>
              <a:ln>
                <a:noFill/>
              </a:ln>
              <a:effectLst/>
            </c:spPr>
            <c:extLst>
              <c:ext xmlns:c16="http://schemas.microsoft.com/office/drawing/2014/chart" uri="{C3380CC4-5D6E-409C-BE32-E72D297353CC}">
                <c16:uniqueId val="{00000005-427E-4EC4-ACE6-550A1B513217}"/>
              </c:ext>
            </c:extLst>
          </c:dPt>
          <c:dPt>
            <c:idx val="3"/>
            <c:bubble3D val="0"/>
            <c:spPr>
              <a:solidFill>
                <a:schemeClr val="accent4"/>
              </a:solidFill>
              <a:ln>
                <a:noFill/>
              </a:ln>
              <a:effectLst/>
            </c:spPr>
            <c:extLst>
              <c:ext xmlns:c16="http://schemas.microsoft.com/office/drawing/2014/chart" uri="{C3380CC4-5D6E-409C-BE32-E72D297353CC}">
                <c16:uniqueId val="{00000007-427E-4EC4-ACE6-550A1B513217}"/>
              </c:ext>
            </c:extLst>
          </c:dPt>
          <c:dPt>
            <c:idx val="4"/>
            <c:bubble3D val="0"/>
            <c:spPr>
              <a:solidFill>
                <a:schemeClr val="accent5"/>
              </a:solidFill>
              <a:ln>
                <a:noFill/>
              </a:ln>
              <a:effectLst/>
            </c:spPr>
            <c:extLst>
              <c:ext xmlns:c16="http://schemas.microsoft.com/office/drawing/2014/chart" uri="{C3380CC4-5D6E-409C-BE32-E72D297353CC}">
                <c16:uniqueId val="{0000000D-427E-4EC4-ACE6-550A1B513217}"/>
              </c:ext>
            </c:extLst>
          </c:dPt>
          <c:dPt>
            <c:idx val="5"/>
            <c:bubble3D val="0"/>
            <c:spPr>
              <a:solidFill>
                <a:schemeClr val="accent6"/>
              </a:solidFill>
              <a:ln>
                <a:noFill/>
              </a:ln>
              <a:effectLst/>
            </c:spPr>
            <c:extLst>
              <c:ext xmlns:c16="http://schemas.microsoft.com/office/drawing/2014/chart" uri="{C3380CC4-5D6E-409C-BE32-E72D297353CC}">
                <c16:uniqueId val="{0000000C-427E-4EC4-ACE6-550A1B513217}"/>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B-427E-4EC4-ACE6-550A1B513217}"/>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A-427E-4EC4-ACE6-550A1B513217}"/>
              </c:ext>
            </c:extLst>
          </c:dPt>
          <c:dLbls>
            <c:dLbl>
              <c:idx val="0"/>
              <c:layout>
                <c:manualLayout>
                  <c:x val="8.809525461103386E-2"/>
                  <c:y val="-0.12903230176354311"/>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27E-4EC4-ACE6-550A1B513217}"/>
                </c:ext>
              </c:extLst>
            </c:dLbl>
            <c:dLbl>
              <c:idx val="1"/>
              <c:layout>
                <c:manualLayout>
                  <c:x val="5.0000009373830027E-2"/>
                  <c:y val="0.1505376853908002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27E-4EC4-ACE6-550A1B513217}"/>
                </c:ext>
              </c:extLst>
            </c:dLbl>
            <c:dLbl>
              <c:idx val="2"/>
              <c:layout>
                <c:manualLayout>
                  <c:x val="-7.3809537647082424E-2"/>
                  <c:y val="0.1290323017635430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27E-4EC4-ACE6-550A1B513217}"/>
                </c:ext>
              </c:extLst>
            </c:dLbl>
            <c:dLbl>
              <c:idx val="3"/>
              <c:layout>
                <c:manualLayout>
                  <c:x val="-0.12142859419358723"/>
                  <c:y val="4.301076725451435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27E-4EC4-ACE6-550A1B513217}"/>
                </c:ext>
              </c:extLst>
            </c:dLbl>
            <c:dLbl>
              <c:idx val="4"/>
              <c:layout>
                <c:manualLayout>
                  <c:x val="-0.15952383943079104"/>
                  <c:y val="-7.741938105812583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27E-4EC4-ACE6-550A1B513217}"/>
                </c:ext>
              </c:extLst>
            </c:dLbl>
            <c:dLbl>
              <c:idx val="5"/>
              <c:layout>
                <c:manualLayout>
                  <c:x val="-0.10238097157498532"/>
                  <c:y val="-0.1419355319398973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C-427E-4EC4-ACE6-550A1B513217}"/>
                </c:ext>
              </c:extLst>
            </c:dLbl>
            <c:dLbl>
              <c:idx val="6"/>
              <c:layout>
                <c:manualLayout>
                  <c:x val="-4.0476198064529068E-2"/>
                  <c:y val="-0.1376344552144459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427E-4EC4-ACE6-550A1B513217}"/>
                </c:ext>
              </c:extLst>
            </c:dLbl>
            <c:dLbl>
              <c:idx val="7"/>
              <c:layout>
                <c:manualLayout>
                  <c:x val="3.0952386755228115E-2"/>
                  <c:y val="-0.15483876211625167"/>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A-427E-4EC4-ACE6-550A1B513217}"/>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Dashboard!$B$92:$B$99</c:f>
              <c:strCache>
                <c:ptCount val="8"/>
                <c:pt idx="0">
                  <c:v>Maintenance</c:v>
                </c:pt>
                <c:pt idx="1">
                  <c:v>Spectrum</c:v>
                </c:pt>
                <c:pt idx="2">
                  <c:v>Passive Infra</c:v>
                </c:pt>
                <c:pt idx="3">
                  <c:v>Internet Connection</c:v>
                </c:pt>
                <c:pt idx="4">
                  <c:v>Power</c:v>
                </c:pt>
                <c:pt idx="5">
                  <c:v>Core/Aggregation</c:v>
                </c:pt>
                <c:pt idx="6">
                  <c:v>Software</c:v>
                </c:pt>
                <c:pt idx="7">
                  <c:v>Staff</c:v>
                </c:pt>
              </c:strCache>
            </c:strRef>
          </c:cat>
          <c:val>
            <c:numRef>
              <c:f>Dashboard!$C$92:$C$99</c:f>
              <c:numCache>
                <c:formatCode>_-"$"* #,##0_-;\-"$"* #,##0_-;_-"$"* "-"??_-;_-@_-</c:formatCode>
                <c:ptCount val="8"/>
                <c:pt idx="0">
                  <c:v>12538</c:v>
                </c:pt>
                <c:pt idx="1">
                  <c:v>378</c:v>
                </c:pt>
                <c:pt idx="2">
                  <c:v>0</c:v>
                </c:pt>
                <c:pt idx="3">
                  <c:v>18960</c:v>
                </c:pt>
                <c:pt idx="4">
                  <c:v>851.47199999999998</c:v>
                </c:pt>
                <c:pt idx="5">
                  <c:v>4800</c:v>
                </c:pt>
                <c:pt idx="6">
                  <c:v>4011.5999999999995</c:v>
                </c:pt>
                <c:pt idx="7">
                  <c:v>0</c:v>
                </c:pt>
              </c:numCache>
            </c:numRef>
          </c:val>
          <c:extLst>
            <c:ext xmlns:c16="http://schemas.microsoft.com/office/drawing/2014/chart" uri="{C3380CC4-5D6E-409C-BE32-E72D297353CC}">
              <c16:uniqueId val="{00000008-427E-4EC4-ACE6-550A1B513217}"/>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a:t>CAPEX</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pieChart>
        <c:varyColors val="1"/>
        <c:ser>
          <c:idx val="0"/>
          <c:order val="0"/>
          <c:tx>
            <c:strRef>
              <c:f>Dashboard!$B$113</c:f>
              <c:strCache>
                <c:ptCount val="1"/>
                <c:pt idx="0">
                  <c:v>CAPEX</c:v>
                </c:pt>
              </c:strCache>
            </c:strRef>
          </c:tx>
          <c:dPt>
            <c:idx val="0"/>
            <c:bubble3D val="0"/>
            <c:spPr>
              <a:solidFill>
                <a:schemeClr val="accent1"/>
              </a:solidFill>
              <a:ln>
                <a:noFill/>
              </a:ln>
              <a:effectLst/>
            </c:spPr>
            <c:extLst>
              <c:ext xmlns:c16="http://schemas.microsoft.com/office/drawing/2014/chart" uri="{C3380CC4-5D6E-409C-BE32-E72D297353CC}">
                <c16:uniqueId val="{00000001-427E-4EC4-ACE6-550A1B513217}"/>
              </c:ext>
            </c:extLst>
          </c:dPt>
          <c:dPt>
            <c:idx val="1"/>
            <c:bubble3D val="0"/>
            <c:spPr>
              <a:solidFill>
                <a:schemeClr val="accent2"/>
              </a:solidFill>
              <a:ln>
                <a:noFill/>
              </a:ln>
              <a:effectLst/>
            </c:spPr>
            <c:extLst>
              <c:ext xmlns:c16="http://schemas.microsoft.com/office/drawing/2014/chart" uri="{C3380CC4-5D6E-409C-BE32-E72D297353CC}">
                <c16:uniqueId val="{00000003-427E-4EC4-ACE6-550A1B513217}"/>
              </c:ext>
            </c:extLst>
          </c:dPt>
          <c:dPt>
            <c:idx val="2"/>
            <c:bubble3D val="0"/>
            <c:spPr>
              <a:solidFill>
                <a:schemeClr val="accent3"/>
              </a:solidFill>
              <a:ln>
                <a:noFill/>
              </a:ln>
              <a:effectLst/>
            </c:spPr>
            <c:extLst>
              <c:ext xmlns:c16="http://schemas.microsoft.com/office/drawing/2014/chart" uri="{C3380CC4-5D6E-409C-BE32-E72D297353CC}">
                <c16:uniqueId val="{00000005-427E-4EC4-ACE6-550A1B513217}"/>
              </c:ext>
            </c:extLst>
          </c:dPt>
          <c:dPt>
            <c:idx val="3"/>
            <c:bubble3D val="0"/>
            <c:spPr>
              <a:solidFill>
                <a:schemeClr val="accent4"/>
              </a:solidFill>
              <a:ln>
                <a:noFill/>
              </a:ln>
              <a:effectLst/>
            </c:spPr>
            <c:extLst>
              <c:ext xmlns:c16="http://schemas.microsoft.com/office/drawing/2014/chart" uri="{C3380CC4-5D6E-409C-BE32-E72D297353CC}">
                <c16:uniqueId val="{00000007-427E-4EC4-ACE6-550A1B513217}"/>
              </c:ext>
            </c:extLst>
          </c:dPt>
          <c:dPt>
            <c:idx val="4"/>
            <c:bubble3D val="0"/>
            <c:spPr>
              <a:solidFill>
                <a:schemeClr val="accent5"/>
              </a:solidFill>
              <a:ln>
                <a:noFill/>
              </a:ln>
              <a:effectLst/>
            </c:spPr>
            <c:extLst>
              <c:ext xmlns:c16="http://schemas.microsoft.com/office/drawing/2014/chart" uri="{C3380CC4-5D6E-409C-BE32-E72D297353CC}">
                <c16:uniqueId val="{0000000D-427E-4EC4-ACE6-550A1B513217}"/>
              </c:ext>
            </c:extLst>
          </c:dPt>
          <c:dPt>
            <c:idx val="5"/>
            <c:bubble3D val="0"/>
            <c:spPr>
              <a:solidFill>
                <a:schemeClr val="accent6"/>
              </a:solidFill>
              <a:ln>
                <a:noFill/>
              </a:ln>
              <a:effectLst/>
            </c:spPr>
            <c:extLst>
              <c:ext xmlns:c16="http://schemas.microsoft.com/office/drawing/2014/chart" uri="{C3380CC4-5D6E-409C-BE32-E72D297353CC}">
                <c16:uniqueId val="{0000000C-427E-4EC4-ACE6-550A1B513217}"/>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B-427E-4EC4-ACE6-550A1B513217}"/>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A-427E-4EC4-ACE6-550A1B513217}"/>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3-5892-4B01-9C33-61B9A8351257}"/>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2-5892-4B01-9C33-61B9A8351257}"/>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1-5892-4B01-9C33-61B9A83512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Dashboard!$B$114:$B$124</c:f>
              <c:strCache>
                <c:ptCount val="11"/>
                <c:pt idx="0">
                  <c:v>CPE</c:v>
                </c:pt>
                <c:pt idx="1">
                  <c:v>I&amp;C</c:v>
                </c:pt>
                <c:pt idx="2">
                  <c:v>Passive Infra</c:v>
                </c:pt>
                <c:pt idx="3">
                  <c:v>RAN</c:v>
                </c:pt>
                <c:pt idx="4">
                  <c:v>Backhaul</c:v>
                </c:pt>
                <c:pt idx="5">
                  <c:v>Core/Aggregation</c:v>
                </c:pt>
                <c:pt idx="6">
                  <c:v>Power</c:v>
                </c:pt>
                <c:pt idx="7">
                  <c:v>Internet Connection</c:v>
                </c:pt>
                <c:pt idx="8">
                  <c:v>IT Hardware</c:v>
                </c:pt>
                <c:pt idx="9">
                  <c:v>Software</c:v>
                </c:pt>
                <c:pt idx="10">
                  <c:v>Tools</c:v>
                </c:pt>
              </c:strCache>
            </c:strRef>
          </c:cat>
          <c:val>
            <c:numRef>
              <c:f>Dashboard!$C$114:$C$124</c:f>
              <c:numCache>
                <c:formatCode>_-"$"* #,##0_-;\-"$"* #,##0_-;_-"$"* "-"??_-;_-@_-</c:formatCode>
                <c:ptCount val="11"/>
                <c:pt idx="0">
                  <c:v>28210</c:v>
                </c:pt>
                <c:pt idx="1">
                  <c:v>46240</c:v>
                </c:pt>
                <c:pt idx="2">
                  <c:v>7900</c:v>
                </c:pt>
                <c:pt idx="3">
                  <c:v>59550</c:v>
                </c:pt>
                <c:pt idx="4">
                  <c:v>31650</c:v>
                </c:pt>
                <c:pt idx="5">
                  <c:v>600</c:v>
                </c:pt>
                <c:pt idx="6">
                  <c:v>3600</c:v>
                </c:pt>
                <c:pt idx="7">
                  <c:v>0</c:v>
                </c:pt>
                <c:pt idx="8">
                  <c:v>0</c:v>
                </c:pt>
                <c:pt idx="9">
                  <c:v>0</c:v>
                </c:pt>
                <c:pt idx="10">
                  <c:v>9750</c:v>
                </c:pt>
              </c:numCache>
            </c:numRef>
          </c:val>
          <c:extLst>
            <c:ext xmlns:c16="http://schemas.microsoft.com/office/drawing/2014/chart" uri="{C3380CC4-5D6E-409C-BE32-E72D297353CC}">
              <c16:uniqueId val="{00000008-427E-4EC4-ACE6-550A1B51321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Dashboard!$B$113</c:f>
              <c:strCache>
                <c:ptCount val="1"/>
                <c:pt idx="0">
                  <c:v>CAPEX</c:v>
                </c:pt>
              </c:strCache>
            </c:strRef>
          </c:tx>
          <c:spPr>
            <a:solidFill>
              <a:schemeClr val="accent1"/>
            </a:solidFill>
            <a:ln>
              <a:noFill/>
            </a:ln>
            <a:effectLst/>
          </c:spPr>
          <c:invertIfNegative val="0"/>
          <c:cat>
            <c:numRef>
              <c:f>Dashboard!$C$83:$H$83</c:f>
              <c:numCache>
                <c:formatCode>General</c:formatCode>
                <c:ptCount val="6"/>
                <c:pt idx="0">
                  <c:v>2020</c:v>
                </c:pt>
                <c:pt idx="1">
                  <c:v>2021</c:v>
                </c:pt>
                <c:pt idx="2">
                  <c:v>2022</c:v>
                </c:pt>
                <c:pt idx="3">
                  <c:v>2023</c:v>
                </c:pt>
                <c:pt idx="4">
                  <c:v>2024</c:v>
                </c:pt>
                <c:pt idx="5">
                  <c:v>2025</c:v>
                </c:pt>
              </c:numCache>
            </c:numRef>
          </c:cat>
          <c:val>
            <c:numRef>
              <c:f>Dashboard!$C$113:$H$113</c:f>
              <c:numCache>
                <c:formatCode>_-"$"* #,##0_-;\-"$"* #,##0_-;_-"$"* "-"??_-;_-@_-</c:formatCode>
                <c:ptCount val="6"/>
                <c:pt idx="0">
                  <c:v>187500</c:v>
                </c:pt>
                <c:pt idx="1">
                  <c:v>88357.5</c:v>
                </c:pt>
                <c:pt idx="2">
                  <c:v>80325</c:v>
                </c:pt>
                <c:pt idx="3">
                  <c:v>60095</c:v>
                </c:pt>
                <c:pt idx="4">
                  <c:v>40162.5</c:v>
                </c:pt>
                <c:pt idx="5">
                  <c:v>0</c:v>
                </c:pt>
              </c:numCache>
            </c:numRef>
          </c:val>
          <c:extLst>
            <c:ext xmlns:c16="http://schemas.microsoft.com/office/drawing/2014/chart" uri="{C3380CC4-5D6E-409C-BE32-E72D297353CC}">
              <c16:uniqueId val="{00000000-F57B-4456-827F-168DDB7B9070}"/>
            </c:ext>
          </c:extLst>
        </c:ser>
        <c:ser>
          <c:idx val="1"/>
          <c:order val="1"/>
          <c:tx>
            <c:strRef>
              <c:f>Dashboard!$B$91</c:f>
              <c:strCache>
                <c:ptCount val="1"/>
                <c:pt idx="0">
                  <c:v>OPEX</c:v>
                </c:pt>
              </c:strCache>
            </c:strRef>
          </c:tx>
          <c:spPr>
            <a:solidFill>
              <a:schemeClr val="accent2"/>
            </a:solidFill>
            <a:ln>
              <a:noFill/>
            </a:ln>
            <a:effectLst/>
          </c:spPr>
          <c:invertIfNegative val="0"/>
          <c:cat>
            <c:numRef>
              <c:f>Dashboard!$C$83:$H$83</c:f>
              <c:numCache>
                <c:formatCode>General</c:formatCode>
                <c:ptCount val="6"/>
                <c:pt idx="0">
                  <c:v>2020</c:v>
                </c:pt>
                <c:pt idx="1">
                  <c:v>2021</c:v>
                </c:pt>
                <c:pt idx="2">
                  <c:v>2022</c:v>
                </c:pt>
                <c:pt idx="3">
                  <c:v>2023</c:v>
                </c:pt>
                <c:pt idx="4">
                  <c:v>2024</c:v>
                </c:pt>
                <c:pt idx="5">
                  <c:v>2025</c:v>
                </c:pt>
              </c:numCache>
            </c:numRef>
          </c:cat>
          <c:val>
            <c:numRef>
              <c:f>Dashboard!$C$91:$H$91</c:f>
              <c:numCache>
                <c:formatCode>_-"$"* #,##0_-;\-"$"* #,##0_-;_-"$"* "-"??_-;_-@_-</c:formatCode>
                <c:ptCount val="6"/>
                <c:pt idx="0">
                  <c:v>41539.072</c:v>
                </c:pt>
                <c:pt idx="1">
                  <c:v>51161.872000000003</c:v>
                </c:pt>
                <c:pt idx="2">
                  <c:v>59909.872000000003</c:v>
                </c:pt>
                <c:pt idx="3">
                  <c:v>66470.072</c:v>
                </c:pt>
                <c:pt idx="4">
                  <c:v>70844.072</c:v>
                </c:pt>
                <c:pt idx="5">
                  <c:v>70844.072</c:v>
                </c:pt>
              </c:numCache>
            </c:numRef>
          </c:val>
          <c:extLst>
            <c:ext xmlns:c16="http://schemas.microsoft.com/office/drawing/2014/chart" uri="{C3380CC4-5D6E-409C-BE32-E72D297353CC}">
              <c16:uniqueId val="{00000001-F57B-4456-827F-168DDB7B9070}"/>
            </c:ext>
          </c:extLst>
        </c:ser>
        <c:ser>
          <c:idx val="2"/>
          <c:order val="2"/>
          <c:tx>
            <c:strRef>
              <c:f>Dashboard!$B$85</c:f>
              <c:strCache>
                <c:ptCount val="1"/>
                <c:pt idx="0">
                  <c:v>Revenue</c:v>
                </c:pt>
              </c:strCache>
            </c:strRef>
          </c:tx>
          <c:spPr>
            <a:solidFill>
              <a:schemeClr val="accent3"/>
            </a:solidFill>
            <a:ln>
              <a:noFill/>
            </a:ln>
            <a:effectLst/>
          </c:spPr>
          <c:invertIfNegative val="0"/>
          <c:cat>
            <c:numRef>
              <c:f>Dashboard!$C$83:$H$83</c:f>
              <c:numCache>
                <c:formatCode>General</c:formatCode>
                <c:ptCount val="6"/>
                <c:pt idx="0">
                  <c:v>2020</c:v>
                </c:pt>
                <c:pt idx="1">
                  <c:v>2021</c:v>
                </c:pt>
                <c:pt idx="2">
                  <c:v>2022</c:v>
                </c:pt>
                <c:pt idx="3">
                  <c:v>2023</c:v>
                </c:pt>
                <c:pt idx="4">
                  <c:v>2024</c:v>
                </c:pt>
                <c:pt idx="5">
                  <c:v>2025</c:v>
                </c:pt>
              </c:numCache>
            </c:numRef>
          </c:cat>
          <c:val>
            <c:numRef>
              <c:f>Dashboard!$C$85:$H$85</c:f>
              <c:numCache>
                <c:formatCode>_-"$"* #,##0_-;\-"$"* #,##0_-;_-"$"* "-"??_-;_-@_-</c:formatCode>
                <c:ptCount val="6"/>
                <c:pt idx="0">
                  <c:v>74640</c:v>
                </c:pt>
                <c:pt idx="1">
                  <c:v>190800</c:v>
                </c:pt>
                <c:pt idx="2">
                  <c:v>302040</c:v>
                </c:pt>
                <c:pt idx="3">
                  <c:v>392880</c:v>
                </c:pt>
                <c:pt idx="4">
                  <c:v>441480</c:v>
                </c:pt>
                <c:pt idx="5">
                  <c:v>441480</c:v>
                </c:pt>
              </c:numCache>
            </c:numRef>
          </c:val>
          <c:extLst>
            <c:ext xmlns:c16="http://schemas.microsoft.com/office/drawing/2014/chart" uri="{C3380CC4-5D6E-409C-BE32-E72D297353CC}">
              <c16:uniqueId val="{00000002-F57B-4456-827F-168DDB7B9070}"/>
            </c:ext>
          </c:extLst>
        </c:ser>
        <c:dLbls>
          <c:showLegendKey val="0"/>
          <c:showVal val="0"/>
          <c:showCatName val="0"/>
          <c:showSerName val="0"/>
          <c:showPercent val="0"/>
          <c:showBubbleSize val="0"/>
        </c:dLbls>
        <c:gapWidth val="219"/>
        <c:axId val="323371088"/>
        <c:axId val="783215984"/>
      </c:barChart>
      <c:lineChart>
        <c:grouping val="standard"/>
        <c:varyColors val="0"/>
        <c:ser>
          <c:idx val="3"/>
          <c:order val="3"/>
          <c:tx>
            <c:strRef>
              <c:f>Dashboard!$B$130</c:f>
              <c:strCache>
                <c:ptCount val="1"/>
                <c:pt idx="0">
                  <c:v>Present Value</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Dashboard!$C$83:$H$83</c:f>
              <c:numCache>
                <c:formatCode>General</c:formatCode>
                <c:ptCount val="6"/>
                <c:pt idx="0">
                  <c:v>2020</c:v>
                </c:pt>
                <c:pt idx="1">
                  <c:v>2021</c:v>
                </c:pt>
                <c:pt idx="2">
                  <c:v>2022</c:v>
                </c:pt>
                <c:pt idx="3">
                  <c:v>2023</c:v>
                </c:pt>
                <c:pt idx="4">
                  <c:v>2024</c:v>
                </c:pt>
                <c:pt idx="5">
                  <c:v>2025</c:v>
                </c:pt>
              </c:numCache>
            </c:numRef>
          </c:cat>
          <c:val>
            <c:numRef>
              <c:f>Dashboard!$C$130:$H$130</c:f>
              <c:numCache>
                <c:formatCode>_-"$"* #,##0_-;\-"$"* #,##0_-;_-"$"* "-"??_-;_-@_-</c:formatCode>
                <c:ptCount val="6"/>
                <c:pt idx="0">
                  <c:v>-162674.304</c:v>
                </c:pt>
                <c:pt idx="1">
                  <c:v>20055.805714285703</c:v>
                </c:pt>
                <c:pt idx="2">
                  <c:v>104123.2163265306</c:v>
                </c:pt>
                <c:pt idx="3">
                  <c:v>178182.22308605979</c:v>
                </c:pt>
                <c:pt idx="4">
                  <c:v>218328.5326587173</c:v>
                </c:pt>
                <c:pt idx="5">
                  <c:v>242547.14249231346</c:v>
                </c:pt>
              </c:numCache>
            </c:numRef>
          </c:val>
          <c:smooth val="0"/>
          <c:extLst>
            <c:ext xmlns:c16="http://schemas.microsoft.com/office/drawing/2014/chart" uri="{C3380CC4-5D6E-409C-BE32-E72D297353CC}">
              <c16:uniqueId val="{00000003-F57B-4456-827F-168DDB7B9070}"/>
            </c:ext>
          </c:extLst>
        </c:ser>
        <c:dLbls>
          <c:showLegendKey val="0"/>
          <c:showVal val="0"/>
          <c:showCatName val="0"/>
          <c:showSerName val="0"/>
          <c:showPercent val="0"/>
          <c:showBubbleSize val="0"/>
        </c:dLbls>
        <c:marker val="1"/>
        <c:smooth val="0"/>
        <c:axId val="323371088"/>
        <c:axId val="783215984"/>
      </c:lineChart>
      <c:catAx>
        <c:axId val="32337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83215984"/>
        <c:crosses val="autoZero"/>
        <c:auto val="1"/>
        <c:lblAlgn val="ctr"/>
        <c:lblOffset val="100"/>
        <c:noMultiLvlLbl val="0"/>
      </c:catAx>
      <c:valAx>
        <c:axId val="7832159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323371088"/>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7</xdr:col>
      <xdr:colOff>200025</xdr:colOff>
      <xdr:row>7</xdr:row>
      <xdr:rowOff>128018</xdr:rowOff>
    </xdr:from>
    <xdr:to>
      <xdr:col>8</xdr:col>
      <xdr:colOff>400050</xdr:colOff>
      <xdr:row>11</xdr:row>
      <xdr:rowOff>13046</xdr:rowOff>
    </xdr:to>
    <xdr:pic>
      <xdr:nvPicPr>
        <xdr:cNvPr id="2" name="Imagen 1">
          <a:extLst>
            <a:ext uri="{FF2B5EF4-FFF2-40B4-BE49-F238E27FC236}">
              <a16:creationId xmlns:a16="http://schemas.microsoft.com/office/drawing/2014/main" id="{FA09379B-7342-43C4-8AA3-D10F5A343A62}"/>
            </a:ext>
          </a:extLst>
        </xdr:cNvPr>
        <xdr:cNvPicPr>
          <a:picLocks noChangeAspect="1"/>
        </xdr:cNvPicPr>
      </xdr:nvPicPr>
      <xdr:blipFill>
        <a:blip xmlns:r="http://schemas.openxmlformats.org/officeDocument/2006/relationships" r:embed="rId1">
          <a:lum bright="70000" contrast="-70000"/>
        </a:blip>
        <a:stretch>
          <a:fillRect/>
        </a:stretch>
      </xdr:blipFill>
      <xdr:spPr>
        <a:xfrm>
          <a:off x="4133850" y="1604393"/>
          <a:ext cx="781050" cy="7994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228600</xdr:colOff>
      <xdr:row>0</xdr:row>
      <xdr:rowOff>47626</xdr:rowOff>
    </xdr:from>
    <xdr:to>
      <xdr:col>3</xdr:col>
      <xdr:colOff>1190625</xdr:colOff>
      <xdr:row>1</xdr:row>
      <xdr:rowOff>7753</xdr:rowOff>
    </xdr:to>
    <xdr:pic>
      <xdr:nvPicPr>
        <xdr:cNvPr id="2" name="Imagen 1">
          <a:extLst>
            <a:ext uri="{FF2B5EF4-FFF2-40B4-BE49-F238E27FC236}">
              <a16:creationId xmlns:a16="http://schemas.microsoft.com/office/drawing/2014/main" id="{B24953F7-90F6-4B03-80F9-AA976EFAEDA3}"/>
            </a:ext>
          </a:extLst>
        </xdr:cNvPr>
        <xdr:cNvPicPr>
          <a:picLocks noChangeAspect="1"/>
        </xdr:cNvPicPr>
      </xdr:nvPicPr>
      <xdr:blipFill>
        <a:blip xmlns:r="http://schemas.openxmlformats.org/officeDocument/2006/relationships" r:embed="rId1"/>
        <a:stretch>
          <a:fillRect/>
        </a:stretch>
      </xdr:blipFill>
      <xdr:spPr>
        <a:xfrm>
          <a:off x="3943350" y="47626"/>
          <a:ext cx="962025" cy="445902"/>
        </a:xfrm>
        <a:prstGeom prst="rect">
          <a:avLst/>
        </a:prstGeom>
      </xdr:spPr>
    </xdr:pic>
    <xdr:clientData/>
  </xdr:twoCellAnchor>
  <xdr:twoCellAnchor editAs="oneCell">
    <xdr:from>
      <xdr:col>1</xdr:col>
      <xdr:colOff>1090083</xdr:colOff>
      <xdr:row>6</xdr:row>
      <xdr:rowOff>0</xdr:rowOff>
    </xdr:from>
    <xdr:to>
      <xdr:col>5</xdr:col>
      <xdr:colOff>368480</xdr:colOff>
      <xdr:row>21</xdr:row>
      <xdr:rowOff>149770</xdr:rowOff>
    </xdr:to>
    <xdr:pic>
      <xdr:nvPicPr>
        <xdr:cNvPr id="4" name="Picture 3">
          <a:extLst>
            <a:ext uri="{FF2B5EF4-FFF2-40B4-BE49-F238E27FC236}">
              <a16:creationId xmlns:a16="http://schemas.microsoft.com/office/drawing/2014/main" id="{8A168620-5F56-45EC-841A-CF0646C83DC6}"/>
            </a:ext>
          </a:extLst>
        </xdr:cNvPr>
        <xdr:cNvPicPr>
          <a:picLocks noChangeAspect="1"/>
        </xdr:cNvPicPr>
      </xdr:nvPicPr>
      <xdr:blipFill>
        <a:blip xmlns:r="http://schemas.openxmlformats.org/officeDocument/2006/relationships" r:embed="rId2"/>
        <a:stretch>
          <a:fillRect/>
        </a:stretch>
      </xdr:blipFill>
      <xdr:spPr>
        <a:xfrm>
          <a:off x="1259416" y="1661583"/>
          <a:ext cx="6348064" cy="3007270"/>
        </a:xfrm>
        <a:prstGeom prst="rect">
          <a:avLst/>
        </a:prstGeom>
      </xdr:spPr>
    </xdr:pic>
    <xdr:clientData/>
  </xdr:twoCellAnchor>
  <xdr:twoCellAnchor editAs="oneCell">
    <xdr:from>
      <xdr:col>3</xdr:col>
      <xdr:colOff>1703917</xdr:colOff>
      <xdr:row>30</xdr:row>
      <xdr:rowOff>21166</xdr:rowOff>
    </xdr:from>
    <xdr:to>
      <xdr:col>6</xdr:col>
      <xdr:colOff>265036</xdr:colOff>
      <xdr:row>32</xdr:row>
      <xdr:rowOff>154588</xdr:rowOff>
    </xdr:to>
    <xdr:pic>
      <xdr:nvPicPr>
        <xdr:cNvPr id="5" name="Picture 4">
          <a:extLst>
            <a:ext uri="{FF2B5EF4-FFF2-40B4-BE49-F238E27FC236}">
              <a16:creationId xmlns:a16="http://schemas.microsoft.com/office/drawing/2014/main" id="{A3110862-FE3A-404A-8DBE-801459E6DA74}"/>
            </a:ext>
          </a:extLst>
        </xdr:cNvPr>
        <xdr:cNvPicPr>
          <a:picLocks noChangeAspect="1"/>
        </xdr:cNvPicPr>
      </xdr:nvPicPr>
      <xdr:blipFill>
        <a:blip xmlns:r="http://schemas.openxmlformats.org/officeDocument/2006/relationships" r:embed="rId3"/>
        <a:stretch>
          <a:fillRect/>
        </a:stretch>
      </xdr:blipFill>
      <xdr:spPr>
        <a:xfrm>
          <a:off x="5408084" y="6254749"/>
          <a:ext cx="3238952" cy="514422"/>
        </a:xfrm>
        <a:prstGeom prst="rect">
          <a:avLst/>
        </a:prstGeom>
        <a:ln>
          <a:solidFill>
            <a:sysClr val="windowText" lastClr="000000"/>
          </a:solidFill>
        </a:ln>
      </xdr:spPr>
    </xdr:pic>
    <xdr:clientData/>
  </xdr:twoCellAnchor>
  <xdr:twoCellAnchor editAs="oneCell">
    <xdr:from>
      <xdr:col>1</xdr:col>
      <xdr:colOff>285750</xdr:colOff>
      <xdr:row>49</xdr:row>
      <xdr:rowOff>52917</xdr:rowOff>
    </xdr:from>
    <xdr:to>
      <xdr:col>8</xdr:col>
      <xdr:colOff>498683</xdr:colOff>
      <xdr:row>61</xdr:row>
      <xdr:rowOff>187239</xdr:rowOff>
    </xdr:to>
    <xdr:pic>
      <xdr:nvPicPr>
        <xdr:cNvPr id="8" name="Picture 7">
          <a:extLst>
            <a:ext uri="{FF2B5EF4-FFF2-40B4-BE49-F238E27FC236}">
              <a16:creationId xmlns:a16="http://schemas.microsoft.com/office/drawing/2014/main" id="{5EBB0320-66C1-46A8-87AD-3DF4BE3060B7}"/>
            </a:ext>
          </a:extLst>
        </xdr:cNvPr>
        <xdr:cNvPicPr>
          <a:picLocks noChangeAspect="1"/>
        </xdr:cNvPicPr>
      </xdr:nvPicPr>
      <xdr:blipFill>
        <a:blip xmlns:r="http://schemas.openxmlformats.org/officeDocument/2006/relationships" r:embed="rId4"/>
        <a:stretch>
          <a:fillRect/>
        </a:stretch>
      </xdr:blipFill>
      <xdr:spPr>
        <a:xfrm>
          <a:off x="455083" y="9715500"/>
          <a:ext cx="10711600" cy="2420322"/>
        </a:xfrm>
        <a:prstGeom prst="rect">
          <a:avLst/>
        </a:prstGeom>
      </xdr:spPr>
    </xdr:pic>
    <xdr:clientData/>
  </xdr:twoCellAnchor>
  <xdr:twoCellAnchor editAs="oneCell">
    <xdr:from>
      <xdr:col>2</xdr:col>
      <xdr:colOff>1651001</xdr:colOff>
      <xdr:row>34</xdr:row>
      <xdr:rowOff>60943</xdr:rowOff>
    </xdr:from>
    <xdr:to>
      <xdr:col>4</xdr:col>
      <xdr:colOff>1301750</xdr:colOff>
      <xdr:row>40</xdr:row>
      <xdr:rowOff>138849</xdr:rowOff>
    </xdr:to>
    <xdr:pic>
      <xdr:nvPicPr>
        <xdr:cNvPr id="7" name="Picture 6">
          <a:extLst>
            <a:ext uri="{FF2B5EF4-FFF2-40B4-BE49-F238E27FC236}">
              <a16:creationId xmlns:a16="http://schemas.microsoft.com/office/drawing/2014/main" id="{B32F943E-9F21-4717-951F-10CD3D539903}"/>
            </a:ext>
          </a:extLst>
        </xdr:cNvPr>
        <xdr:cNvPicPr>
          <a:picLocks noChangeAspect="1"/>
        </xdr:cNvPicPr>
      </xdr:nvPicPr>
      <xdr:blipFill>
        <a:blip xmlns:r="http://schemas.openxmlformats.org/officeDocument/2006/relationships" r:embed="rId5"/>
        <a:stretch>
          <a:fillRect/>
        </a:stretch>
      </xdr:blipFill>
      <xdr:spPr>
        <a:xfrm>
          <a:off x="3587751" y="7056526"/>
          <a:ext cx="3185582" cy="1220906"/>
        </a:xfrm>
        <a:prstGeom prst="rect">
          <a:avLst/>
        </a:prstGeom>
        <a:ln>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306915</xdr:colOff>
      <xdr:row>2</xdr:row>
      <xdr:rowOff>148166</xdr:rowOff>
    </xdr:from>
    <xdr:to>
      <xdr:col>11</xdr:col>
      <xdr:colOff>370417</xdr:colOff>
      <xdr:row>14</xdr:row>
      <xdr:rowOff>0</xdr:rowOff>
    </xdr:to>
    <xdr:graphicFrame macro="">
      <xdr:nvGraphicFramePr>
        <xdr:cNvPr id="4" name="Chart 3">
          <a:extLst>
            <a:ext uri="{FF2B5EF4-FFF2-40B4-BE49-F238E27FC236}">
              <a16:creationId xmlns:a16="http://schemas.microsoft.com/office/drawing/2014/main" id="{49B713FF-9BA2-49DB-A1AC-BE680523DC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550332</xdr:colOff>
      <xdr:row>2</xdr:row>
      <xdr:rowOff>148167</xdr:rowOff>
    </xdr:from>
    <xdr:to>
      <xdr:col>14</xdr:col>
      <xdr:colOff>613834</xdr:colOff>
      <xdr:row>14</xdr:row>
      <xdr:rowOff>0</xdr:rowOff>
    </xdr:to>
    <xdr:graphicFrame macro="">
      <xdr:nvGraphicFramePr>
        <xdr:cNvPr id="5" name="Chart 4">
          <a:extLst>
            <a:ext uri="{FF2B5EF4-FFF2-40B4-BE49-F238E27FC236}">
              <a16:creationId xmlns:a16="http://schemas.microsoft.com/office/drawing/2014/main" id="{9318EEBC-A3A6-4FB9-A2B2-0A696E5A9E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751416</xdr:colOff>
      <xdr:row>14</xdr:row>
      <xdr:rowOff>66144</xdr:rowOff>
    </xdr:from>
    <xdr:to>
      <xdr:col>12</xdr:col>
      <xdr:colOff>814918</xdr:colOff>
      <xdr:row>25</xdr:row>
      <xdr:rowOff>34394</xdr:rowOff>
    </xdr:to>
    <xdr:graphicFrame macro="">
      <xdr:nvGraphicFramePr>
        <xdr:cNvPr id="7" name="Chart 6">
          <a:extLst>
            <a:ext uri="{FF2B5EF4-FFF2-40B4-BE49-F238E27FC236}">
              <a16:creationId xmlns:a16="http://schemas.microsoft.com/office/drawing/2014/main" id="{6A06C3E5-AF15-4035-B704-E582B94EDB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514734</xdr:colOff>
      <xdr:row>60</xdr:row>
      <xdr:rowOff>73643</xdr:rowOff>
    </xdr:from>
    <xdr:to>
      <xdr:col>14</xdr:col>
      <xdr:colOff>800483</xdr:colOff>
      <xdr:row>75</xdr:row>
      <xdr:rowOff>38860</xdr:rowOff>
    </xdr:to>
    <xdr:graphicFrame macro="">
      <xdr:nvGraphicFramePr>
        <xdr:cNvPr id="8" name="Chart 7">
          <a:extLst>
            <a:ext uri="{FF2B5EF4-FFF2-40B4-BE49-F238E27FC236}">
              <a16:creationId xmlns:a16="http://schemas.microsoft.com/office/drawing/2014/main" id="{0761D564-A621-4A0B-B4AB-24890583EF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517071</xdr:colOff>
      <xdr:row>82</xdr:row>
      <xdr:rowOff>12804</xdr:rowOff>
    </xdr:from>
    <xdr:to>
      <xdr:col>14</xdr:col>
      <xdr:colOff>802820</xdr:colOff>
      <xdr:row>97</xdr:row>
      <xdr:rowOff>37251</xdr:rowOff>
    </xdr:to>
    <xdr:graphicFrame macro="">
      <xdr:nvGraphicFramePr>
        <xdr:cNvPr id="9" name="Chart 8">
          <a:extLst>
            <a:ext uri="{FF2B5EF4-FFF2-40B4-BE49-F238E27FC236}">
              <a16:creationId xmlns:a16="http://schemas.microsoft.com/office/drawing/2014/main" id="{A4DF7169-D76B-4977-8942-D1BA949E0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530678</xdr:colOff>
      <xdr:row>98</xdr:row>
      <xdr:rowOff>72035</xdr:rowOff>
    </xdr:from>
    <xdr:to>
      <xdr:col>14</xdr:col>
      <xdr:colOff>802820</xdr:colOff>
      <xdr:row>115</xdr:row>
      <xdr:rowOff>1597</xdr:rowOff>
    </xdr:to>
    <xdr:graphicFrame macro="">
      <xdr:nvGraphicFramePr>
        <xdr:cNvPr id="10" name="Chart 9">
          <a:extLst>
            <a:ext uri="{FF2B5EF4-FFF2-40B4-BE49-F238E27FC236}">
              <a16:creationId xmlns:a16="http://schemas.microsoft.com/office/drawing/2014/main" id="{80FEDB50-17D5-4E86-B77D-4D0314A3FF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530678</xdr:colOff>
      <xdr:row>116</xdr:row>
      <xdr:rowOff>12807</xdr:rowOff>
    </xdr:from>
    <xdr:to>
      <xdr:col>14</xdr:col>
      <xdr:colOff>802820</xdr:colOff>
      <xdr:row>132</xdr:row>
      <xdr:rowOff>124064</xdr:rowOff>
    </xdr:to>
    <xdr:graphicFrame macro="">
      <xdr:nvGraphicFramePr>
        <xdr:cNvPr id="11" name="Chart 10">
          <a:extLst>
            <a:ext uri="{FF2B5EF4-FFF2-40B4-BE49-F238E27FC236}">
              <a16:creationId xmlns:a16="http://schemas.microsoft.com/office/drawing/2014/main" id="{477167E9-846F-43F0-A13B-4497105FCF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486833</xdr:colOff>
      <xdr:row>29</xdr:row>
      <xdr:rowOff>127000</xdr:rowOff>
    </xdr:from>
    <xdr:to>
      <xdr:col>14</xdr:col>
      <xdr:colOff>785812</xdr:colOff>
      <xdr:row>52</xdr:row>
      <xdr:rowOff>148291</xdr:rowOff>
    </xdr:to>
    <xdr:graphicFrame macro="">
      <xdr:nvGraphicFramePr>
        <xdr:cNvPr id="13" name="Chart 12">
          <a:extLst>
            <a:ext uri="{FF2B5EF4-FFF2-40B4-BE49-F238E27FC236}">
              <a16:creationId xmlns:a16="http://schemas.microsoft.com/office/drawing/2014/main" id="{E9D6A771-6190-4CF0-8989-3BD103C88F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ccweb.eei.ericsson.se/eeinorn2_view/rxi_dept/processes/CCR/CCR_Form_RXI8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38.85.107.243\att-design\awg\AWG%20GPRS\from%20ned-Peng-GPRS-SGSN\GPRS%204.0\gp40-sgsn-ciq-prelimina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Hardware"/>
      <sheetName val="IP Parameters"/>
      <sheetName val="Expansion"/>
      <sheetName val="ATM layer for Script"/>
      <sheetName val="ATM"/>
      <sheetName val="Network Synchronisation"/>
      <sheetName val="IPoATM"/>
      <sheetName val="Network Plan"/>
      <sheetName val="Sheet2"/>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GSN CIQ Gprs4.0"/>
      <sheetName val="General Info"/>
      <sheetName val="HW&amp;SW"/>
      <sheetName val="Gb"/>
      <sheetName val="LAC-RAC"/>
      <sheetName val="LP-DCS"/>
      <sheetName val="IDs-IP@"/>
      <sheetName val="Param"/>
      <sheetName val="Example-Gb"/>
      <sheetName val="IDs_IP_"/>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persons/person.xml><?xml version="1.0" encoding="utf-8"?>
<personList xmlns="http://schemas.microsoft.com/office/spreadsheetml/2018/threadedcomments" xmlns:x="http://schemas.openxmlformats.org/spreadsheetml/2006/main">
  <person displayName="Help" id="{A3F3C760-C00E-4F13-925C-351C8266C7B0}" userId="Help" providerId="None"/>
  <person displayName="Emmanuel Duarte" id="{1410B37C-D41A-4AA7-8EE4-24DE1CF17C5B}" userId="01a63ac8713e756f"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482DB9-888F-4D1A-804F-FC6AA1B59F79}" name="HLD" displayName="HLD" ref="B2:Y11" totalsRowShown="0" headerRowDxfId="30" dataDxfId="28" headerRowBorderDxfId="29" tableBorderDxfId="27" totalsRowBorderDxfId="26">
  <autoFilter ref="B2:Y11" xr:uid="{5B2F7E6F-AA12-4755-B168-149FFA5792B3}"/>
  <tableColumns count="24">
    <tableColumn id="14" xr3:uid="{0BD32915-116E-4C35-8D76-9A941B024459}" name="Selected Site" dataDxfId="25"/>
    <tableColumn id="1" xr3:uid="{173A0CFE-EF2F-4454-9810-DE4B94786EDE}" name="Analysis Flag" dataDxfId="24">
      <calculatedColumnFormula>IF(Scope="Selected Sites",HLD[[#This Row],[Selected Site]],"Y")</calculatedColumnFormula>
    </tableColumn>
    <tableColumn id="21" xr3:uid="{F4447380-5EA5-4937-8223-967C5876BBEF}" name="Site ID" dataDxfId="23"/>
    <tableColumn id="17" xr3:uid="{A6583342-0882-48D2-856C-6B5107E65107}" name="Core Site" dataDxfId="22"/>
    <tableColumn id="2" xr3:uid="{618C50CD-7CF5-4A4D-B3F2-706E89BAADFC}" name="Site Type" dataDxfId="21"/>
    <tableColumn id="3" xr3:uid="{ED762E0D-5816-4F86-A305-EBAB71DE6F9D}" name="Tower Height" dataDxfId="20"/>
    <tableColumn id="4" xr3:uid="{53253F54-53C8-4EC1-9B9C-14E182196EF8}" name="RAN Antenna AGL" dataDxfId="19"/>
    <tableColumn id="22" xr3:uid="{78B49CB8-EA7A-47B7-AA10-DAA142E0CAB9}" name="MW Antenna AGL" dataDxfId="18"/>
    <tableColumn id="5" xr3:uid="{1E808500-5D75-4F4C-837C-0A7020FE18EF}" name="Tower Mods Required" dataDxfId="17"/>
    <tableColumn id="6" xr3:uid="{67018445-36CA-46EB-B6F9-47745647B548}" name="Site Leasing" dataDxfId="16"/>
    <tableColumn id="7" xr3:uid="{C0AC17F0-BF5C-4940-9839-975E3A2FFBAF}" name="RAN Configuration" dataDxfId="15"/>
    <tableColumn id="20" xr3:uid="{4AD2EDE4-12E1-4DB3-BF7E-2E3FD9617669}" name="Frequency Band" dataDxfId="14"/>
    <tableColumn id="8" xr3:uid="{102417E3-C4D2-4804-8D0C-D67BAB04257B}" name="Covered Homes" dataDxfId="13"/>
    <tableColumn id="9" xr3:uid="{BA4CA5D8-8126-48D4-8931-743C6758D43F}" name="Priority Targets Covered" dataDxfId="12"/>
    <tableColumn id="10" xr3:uid="{5399A7E9-652E-4220-B103-7C2859EF0E5F}" name="Outdoor Subscriber Ratio" dataDxfId="11" dataCellStyle="Percent"/>
    <tableColumn id="11" xr3:uid="{DB184142-95D7-478D-96AA-EAAFBEF4F2E0}" name="Backhaul Type" dataDxfId="10"/>
    <tableColumn id="23" xr3:uid="{09DCEA1E-3F30-4BA8-9246-8B7C289934A4}" name="Backhaul Configuration" dataDxfId="9"/>
    <tableColumn id="12" xr3:uid="{57547836-886A-4EB9-8CC0-2C6E401B3DD9}" name="# of Backhaul Links" dataDxfId="8"/>
    <tableColumn id="15" xr3:uid="{ECE9B3D6-8235-424C-B9A8-03D29CD2EC34}" name="Fiber Length" dataDxfId="7"/>
    <tableColumn id="24" xr3:uid="{FEA3FAEE-ED97-4BCD-BFD5-2340BD3E4B0D}" name="Fiber Installation Type" dataDxfId="6"/>
    <tableColumn id="16" xr3:uid="{9752E4E7-D899-4E5C-97ED-09305F9B35E0}" name="Site Bandwidth Demand" dataDxfId="5"/>
    <tableColumn id="25" xr3:uid="{B2F09849-1DA7-4854-B42C-962209FD74BF}" name="Aggregated Bandwidth Demand" dataDxfId="4"/>
    <tableColumn id="18" xr3:uid="{D3680A27-9AE8-480F-AC9F-B435EF98566C}" name="Power Supply" dataDxfId="3"/>
    <tableColumn id="19" xr3:uid="{96BF94D7-9E21-403A-99F2-5B263CB8B8A4}" name="Total Power Load"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0-11-26T19:43:39.77" personId="{A3F3C760-C00E-4F13-925C-351C8266C7B0}" id="{83DCE3D2-894E-49B8-A656-B2D10413E469}">
    <text>This option allows to analize all the sites in the HLD sheet or just the ones with 
Selected Site = "Y"</text>
  </threadedComment>
  <threadedComment ref="B8" dT="2020-11-26T19:42:43.85" personId="{A3F3C760-C00E-4F13-925C-351C8266C7B0}" id="{545D4105-A712-4877-83A0-3E53CB9E6127}">
    <text>Fill this data based on your Network Architecture defined in Module 2 of the Playbook</text>
  </threadedComment>
  <threadedComment ref="F9" dT="2020-11-26T19:44:42.72" personId="{A3F3C760-C00E-4F13-925C-351C8266C7B0}" id="{5B1A2BA1-B2D0-4B92-8B4C-9CD30E089545}">
    <text>RAN Configurations are defined in "Site Configurations" sheet</text>
  </threadedComment>
  <threadedComment ref="B12" dT="2020-11-26T19:42:13.99" personId="{A3F3C760-C00E-4F13-925C-351C8266C7B0}" id="{187119D2-FAF7-4BC9-AF30-3A335300E1F6}">
    <text>Only applies in the case that systems are implemented on-premise</text>
  </threadedComment>
  <threadedComment ref="B32" dT="2020-11-26T19:47:13.94" personId="{A3F3C760-C00E-4F13-925C-351C8266C7B0}" id="{684CF4B1-FCDC-49F3-9B72-A850210DA53D}">
    <text>Minimum acceptable rate of return used to calculated discounted cash flows</text>
  </threadedComment>
  <threadedComment ref="B33" dT="2020-11-26T19:47:36.83" personId="{A3F3C760-C00E-4F13-925C-351C8266C7B0}" id="{1B29C257-B42C-4DEE-9269-1CAC504E8521}">
    <text>Expected lifetime of the assets. Used to calculate depreciation</text>
  </threadedComment>
  <threadedComment ref="B34" dT="2020-11-26T19:48:24.63" personId="{A3F3C760-C00E-4F13-925C-351C8266C7B0}" id="{314DFD6F-99FC-4B32-B31C-8C4D8EB14D3B}">
    <text>% of the cost of the CPEs that is being paid by the network owner on behalf of the subscribers</text>
  </threadedComment>
  <threadedComment ref="B59" dT="2020-11-26T19:49:10.84" personId="{A3F3C760-C00E-4F13-925C-351C8266C7B0}" id="{BD08DCEE-A818-4761-BFF2-B3E15B6C91ED}">
    <text>Update with the values of your services</text>
  </threadedComment>
  <threadedComment ref="B62" dT="2020-11-26T19:49:37.25" personId="{A3F3C760-C00E-4F13-925C-351C8266C7B0}" id="{7185BC7F-D696-4D44-A77E-BA0232FDB820}">
    <text>Institutional Service refers to service provided to anchor institutions such as schools, libraries, hospitals, public safety agencies, etc.</text>
  </threadedComment>
  <threadedComment ref="B63" dT="2020-11-26T19:50:20.85" personId="{A3F3C760-C00E-4F13-925C-351C8266C7B0}" id="{EA653C54-279E-4DB5-85CF-435B8A293655}">
    <text>Consider this value only if a public Wi-Fi service is provided with a pricing model different than free access</text>
  </threadedComment>
  <threadedComment ref="B65" dT="2020-11-26T19:50:47.67" personId="{A3F3C760-C00E-4F13-925C-351C8266C7B0}" id="{E99E55CC-7513-42F3-8268-E03D7AB440EE}">
    <text>Provide your estimates on adoption rates for non-institutional services</text>
  </threadedComment>
  <threadedComment ref="B76" dT="2020-11-26T19:51:18.96" personId="{A3F3C760-C00E-4F13-925C-351C8266C7B0}" id="{FB855019-BC2F-485B-B067-BBDD90B0B3E5}">
    <text>Provide the expected number of users per month of the Public Wi-Fi service. Consider this only if there are payments involved as part of the Public Wi-Fi service</text>
  </threadedComment>
  <threadedComment ref="B111" dT="2020-11-24T13:54:45.75" personId="{1410B37C-D41A-4AA7-8EE4-24DE1CF17C5B}" id="{8A47187B-DBB7-43AE-B7AB-5E982F1EB50F}">
    <text>Is it Ok to depreciate CPEs?</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0-11-26T23:56:12.83" personId="{A3F3C760-C00E-4F13-925C-351C8266C7B0}" id="{28CD3582-07DF-4ADE-A55A-E2659615CDE4}">
    <text>Default: Rooftop</text>
  </threadedComment>
  <threadedComment ref="G2" dT="2020-11-26T23:56:36.11" personId="{A3F3C760-C00E-4F13-925C-351C8266C7B0}" id="{EE27DD47-3C31-4DE2-A974-F9437FD38611}">
    <text>Default: 10</text>
  </threadedComment>
  <threadedComment ref="H2" dT="2020-11-26T23:56:51.57" personId="{A3F3C760-C00E-4F13-925C-351C8266C7B0}" id="{F5485F23-3BFE-4D71-A7AF-9574D24A7006}">
    <text>Default: 9</text>
  </threadedComment>
  <threadedComment ref="I2" dT="2020-11-26T23:57:49.21" personId="{A3F3C760-C00E-4F13-925C-351C8266C7B0}" id="{7D651319-206C-40D8-9008-DA87CEB739A7}">
    <text>Default: 8</text>
  </threadedComment>
  <threadedComment ref="J2" dT="2020-11-26T23:57:58.19" personId="{A3F3C760-C00E-4F13-925C-351C8266C7B0}" id="{A47B51E2-7DF8-4787-8D64-6E7A40BB8745}">
    <text>Default: No</text>
  </threadedComment>
  <threadedComment ref="K2" dT="2020-11-26T23:58:38.53" personId="{A3F3C760-C00E-4F13-925C-351C8266C7B0}" id="{B1421451-0476-42DD-A7FE-86AF591D6A4D}">
    <text>Default: No</text>
  </threadedComment>
  <threadedComment ref="L2" dT="2020-11-26T23:59:01.22" personId="{A3F3C760-C00E-4F13-925C-351C8266C7B0}" id="{1E5B0835-9B43-4496-A234-73C79579A2DE}">
    <text>Default: RAN Config 1</text>
  </threadedComment>
  <threadedComment ref="M2" dT="2020-11-26T23:59:11.72" personId="{A3F3C760-C00E-4F13-925C-351C8266C7B0}" id="{1EFAB14B-9462-4107-8BB9-1652D4B56314}">
    <text>Default: 2.5</text>
  </threadedComment>
  <threadedComment ref="P2" dT="2020-11-26T23:59:41.47" personId="{A3F3C760-C00E-4F13-925C-351C8266C7B0}" id="{46BA7EA1-4F65-42E1-ABAF-BEE5240C2598}">
    <text>Default: 100%</text>
  </threadedComment>
  <threadedComment ref="Q2" dT="2020-11-27T00:00:26.15" personId="{A3F3C760-C00E-4F13-925C-351C8266C7B0}" id="{2C2FA473-B4E1-4E3B-A037-E9FC9D717D93}">
    <text>RAN Site Default: MW
Core Site Default: Fiber</text>
  </threadedComment>
  <threadedComment ref="R2" dT="2020-11-27T00:00:59.26" personId="{A3F3C760-C00E-4F13-925C-351C8266C7B0}" id="{5B1B961E-8672-41D7-8C18-887E6C0BAB45}">
    <text>RAN Site Default: Backhaul Config 2
Core Site Default: Backhaul Config 3</text>
  </threadedComment>
  <threadedComment ref="S2" dT="2020-11-27T00:01:18.01" personId="{A3F3C760-C00E-4F13-925C-351C8266C7B0}" id="{242D5812-52F4-4FD3-B1A2-CD8EAA798485}">
    <text>Default: 1</text>
  </threadedComment>
  <threadedComment ref="T2" dT="2020-11-27T00:01:24.32" personId="{A3F3C760-C00E-4F13-925C-351C8266C7B0}" id="{F9BB6E38-EC74-4463-8397-04E52C0D9678}">
    <text>Default: 0</text>
  </threadedComment>
  <threadedComment ref="U2" dT="2020-11-27T00:01:49.02" personId="{A3F3C760-C00E-4F13-925C-351C8266C7B0}" id="{9647355B-C894-4BCD-BFA9-8FD730408986}">
    <text>Default: Aerial</text>
  </threadedComment>
  <threadedComment ref="V2" dT="2020-11-27T00:02:09.08" personId="{A3F3C760-C00E-4F13-925C-351C8266C7B0}" id="{6E10B099-690D-4002-816E-7CB0E15CC419}">
    <text>Default: 100</text>
  </threadedComment>
  <threadedComment ref="W2" dT="2020-11-27T00:12:12.96" personId="{A3F3C760-C00E-4F13-925C-351C8266C7B0}" id="{557E8E2D-B467-4035-BAC5-5F539CA40112}">
    <text>RAN Site Default: 100
Core Site Default: 100 x total number of sites</text>
  </threadedComment>
  <threadedComment ref="X2" dT="2020-11-27T00:12:33.30" personId="{A3F3C760-C00E-4F13-925C-351C8266C7B0}" id="{D5C188B9-382D-4146-8D49-EEC9F2F1D075}">
    <text>Default: PoE Switch</text>
  </threadedComment>
  <threadedComment ref="Y2" dT="2020-11-27T00:12:58.22" personId="{A3F3C760-C00E-4F13-925C-351C8266C7B0}" id="{95C2C6AA-E82A-4265-B270-24C2B62AFD0E}">
    <text>Default: 100</text>
  </threadedComment>
</ThreadedComments>
</file>

<file path=xl/threadedComments/threadedComment3.xml><?xml version="1.0" encoding="utf-8"?>
<ThreadedComments xmlns="http://schemas.microsoft.com/office/spreadsheetml/2018/threadedcomments" xmlns:x="http://schemas.openxmlformats.org/spreadsheetml/2006/main">
  <threadedComment ref="F3" dT="2020-11-26T22:55:00.00" personId="{A3F3C760-C00E-4F13-925C-351C8266C7B0}" id="{7DB36EE8-8C87-4DB8-BAB2-1202136615D1}">
    <text>CPEs are procured year by year, while network infrastructured is assummed to be deployed in the "Year 0"</text>
  </threadedComment>
  <threadedComment ref="E16" dT="2020-11-26T19:53:26.31" personId="{A3F3C760-C00E-4F13-925C-351C8266C7B0}" id="{53BF6F32-8920-482F-B62A-2721234BF4E2}">
    <text>To edit values in gray cells go to "Site Configurations" sheet</text>
  </threadedComment>
  <threadedComment ref="B42" dT="2020-11-26T22:44:11.62" personId="{A3F3C760-C00E-4F13-925C-351C8266C7B0}" id="{9CC6452C-D9B7-4667-8A02-97C3F2F7BD25}">
    <text>Concepts under this category apply only to centralized core/aggregation sites. If RAN equipment is installed on these sites it is also considered under this category</text>
  </threadedComment>
  <threadedComment ref="E49" dT="2020-11-26T19:53:26.31" personId="{A3F3C760-C00E-4F13-925C-351C8266C7B0}" id="{B380EFEC-5DD2-43E9-841D-E7775091F960}">
    <text>To edit values in gray cells go to "Site Configurations" sheet</text>
  </threadedComment>
</ThreadedComments>
</file>

<file path=xl/threadedComments/threadedComment4.xml><?xml version="1.0" encoding="utf-8"?>
<ThreadedComments xmlns="http://schemas.microsoft.com/office/spreadsheetml/2018/threadedcomments" xmlns:x="http://schemas.openxmlformats.org/spreadsheetml/2006/main">
  <threadedComment ref="D16" dT="2020-11-24T02:14:35.97" personId="{1410B37C-D41A-4AA7-8EE4-24DE1CF17C5B}" id="{96342C16-5FFC-4C12-807F-38143435D17F}">
    <text>Need to align pricing scheme of the cloud EPC</text>
  </threadedComment>
  <threadedComment ref="D23" dT="2020-11-24T02:49:02.98" personId="{1410B37C-D41A-4AA7-8EE4-24DE1CF17C5B}" id="{BA0FA0A9-0BE8-4A40-8E32-8374F9FAE5A6}">
    <text>Need to reconcile pricing type</text>
  </threadedComment>
  <threadedComment ref="G25" dT="2020-11-27T00:32:48.37" personId="{A3F3C760-C00E-4F13-925C-351C8266C7B0}" id="{49456179-8EB6-4B9F-9BAB-F404C60EE5E4}">
    <text>Provide your own estimates based on the number of users of the ticketing system</text>
  </threadedComment>
  <threadedComment ref="C26" dT="2020-11-27T00:35:11.97" personId="{A3F3C760-C00E-4F13-925C-351C8266C7B0}" id="{EACBDD67-5E39-4CCC-955F-9156ED4867D5}">
    <text>For all the staff category provide your own estimates based on the number of resources for each area</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0-11-27T00:40:04.38" personId="{A3F3C760-C00E-4F13-925C-351C8266C7B0}" id="{BA6A8429-A337-4B97-9B6C-3F904AB2E43A}">
    <text>For each RAN Configuration that is considered as part of the HLD, provide technical specifications and cost data, considering all the RAN-related equipment that is installed at the site.</text>
  </threadedComment>
  <threadedComment ref="B50" dT="2020-11-27T00:41:16.00" personId="{A3F3C760-C00E-4F13-925C-351C8266C7B0}" id="{23DA7D30-6F9B-4384-B3AC-DAD530C06C72}">
    <text>For each Backhaul Configuration that is considered in the HLD, provide technical specifications and cost data, considering all the backhaul equipment on both sides of the link, and the switching equipment at the site</text>
  </threadedComment>
  <threadedComment ref="E58" dT="2020-11-27T00:42:06.20" personId="{A3F3C760-C00E-4F13-925C-351C8266C7B0}" id="{354207C4-A8D3-4D3A-B332-1DCD18FEA009}">
    <text>Count of active equipment for this backhaul configuration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5A346-45B0-4D39-A937-E6D53FA69729}">
  <dimension ref="A5:O12"/>
  <sheetViews>
    <sheetView showGridLines="0" tabSelected="1" workbookViewId="0">
      <selection activeCell="I15" sqref="I15"/>
    </sheetView>
  </sheetViews>
  <sheetFormatPr defaultColWidth="11.42578125" defaultRowHeight="15" x14ac:dyDescent="0.25"/>
  <cols>
    <col min="1" max="1" width="4.5703125" style="120" customWidth="1"/>
    <col min="2" max="2" width="10.85546875" style="120" bestFit="1" customWidth="1"/>
    <col min="3" max="46" width="8.7109375" style="120" customWidth="1"/>
    <col min="47" max="16384" width="11.42578125" style="120"/>
  </cols>
  <sheetData>
    <row r="5" spans="1:15" x14ac:dyDescent="0.25">
      <c r="A5" s="119"/>
      <c r="B5" s="119"/>
      <c r="C5" s="119"/>
      <c r="D5" s="119"/>
      <c r="E5" s="119"/>
      <c r="F5" s="119"/>
      <c r="G5" s="119"/>
      <c r="H5" s="119"/>
      <c r="I5" s="119"/>
      <c r="J5" s="119"/>
      <c r="K5" s="119"/>
      <c r="L5" s="119"/>
      <c r="M5" s="119"/>
      <c r="N5" s="119"/>
      <c r="O5" s="119"/>
    </row>
    <row r="6" spans="1:15" ht="26.25" x14ac:dyDescent="0.4">
      <c r="A6" s="119"/>
      <c r="B6" s="155" t="s">
        <v>228</v>
      </c>
      <c r="C6" s="156"/>
      <c r="D6" s="156"/>
      <c r="E6" s="156"/>
      <c r="F6" s="156"/>
      <c r="G6" s="156"/>
      <c r="H6" s="156"/>
      <c r="I6" s="156"/>
      <c r="J6" s="156"/>
      <c r="K6" s="156"/>
      <c r="L6" s="156"/>
      <c r="M6" s="156"/>
      <c r="N6" s="156"/>
      <c r="O6" s="119"/>
    </row>
    <row r="7" spans="1:15" x14ac:dyDescent="0.25">
      <c r="A7" s="119"/>
      <c r="B7" s="119"/>
      <c r="C7" s="119"/>
      <c r="D7" s="119"/>
      <c r="E7" s="119"/>
      <c r="F7" s="119"/>
      <c r="G7" s="119"/>
      <c r="H7" s="119"/>
      <c r="I7" s="119"/>
      <c r="J7" s="119"/>
      <c r="K7" s="119"/>
      <c r="L7" s="119"/>
      <c r="M7" s="119"/>
      <c r="N7" s="119"/>
      <c r="O7" s="119"/>
    </row>
    <row r="8" spans="1:15" ht="21" x14ac:dyDescent="0.25">
      <c r="A8" s="119"/>
      <c r="B8" s="121"/>
      <c r="C8" s="119"/>
      <c r="D8" s="119"/>
      <c r="E8" s="119"/>
      <c r="F8" s="119"/>
      <c r="G8" s="119"/>
      <c r="H8" s="119"/>
      <c r="I8" s="119"/>
      <c r="J8" s="119"/>
      <c r="K8" s="119"/>
      <c r="L8" s="119"/>
      <c r="M8" s="119"/>
      <c r="N8" s="119"/>
      <c r="O8" s="119"/>
    </row>
    <row r="9" spans="1:15" x14ac:dyDescent="0.25">
      <c r="A9" s="119"/>
      <c r="B9" s="119"/>
      <c r="C9" s="119"/>
      <c r="D9" s="119"/>
      <c r="E9" s="119"/>
      <c r="F9" s="119"/>
      <c r="G9" s="119"/>
      <c r="H9" s="119"/>
      <c r="I9" s="119"/>
      <c r="J9" s="119"/>
      <c r="K9" s="119"/>
      <c r="L9" s="119"/>
      <c r="M9" s="119"/>
      <c r="N9" s="119"/>
      <c r="O9" s="119"/>
    </row>
    <row r="10" spans="1:15" ht="21" x14ac:dyDescent="0.35">
      <c r="A10" s="119"/>
      <c r="B10" s="122" t="s">
        <v>226</v>
      </c>
      <c r="C10" s="119"/>
      <c r="D10" s="119"/>
      <c r="E10" s="119"/>
      <c r="F10" s="119"/>
      <c r="G10" s="119"/>
      <c r="H10" s="119"/>
      <c r="I10" s="119"/>
      <c r="J10" s="119"/>
      <c r="K10" s="119"/>
      <c r="L10" s="119"/>
      <c r="M10" s="119"/>
      <c r="N10" s="119"/>
      <c r="O10" s="119"/>
    </row>
    <row r="11" spans="1:15" x14ac:dyDescent="0.25">
      <c r="A11" s="119"/>
      <c r="B11" s="119"/>
      <c r="C11" s="119"/>
      <c r="D11" s="119"/>
      <c r="E11" s="119"/>
      <c r="F11" s="119"/>
      <c r="G11" s="119"/>
      <c r="H11" s="119"/>
      <c r="I11" s="119"/>
      <c r="J11" s="119"/>
      <c r="K11" s="119"/>
      <c r="L11" s="119"/>
      <c r="M11" s="119"/>
      <c r="N11" s="119"/>
      <c r="O11" s="119"/>
    </row>
    <row r="12" spans="1:15" x14ac:dyDescent="0.25">
      <c r="A12" s="119"/>
      <c r="B12" s="119"/>
      <c r="C12" s="119"/>
      <c r="D12" s="119"/>
      <c r="E12" s="119"/>
      <c r="F12" s="119"/>
      <c r="G12" s="119"/>
      <c r="H12" s="119"/>
      <c r="I12" s="119"/>
      <c r="J12" s="119"/>
      <c r="K12" s="119"/>
      <c r="L12" s="119"/>
      <c r="M12" s="119"/>
      <c r="N12" s="119"/>
      <c r="O12" s="119"/>
    </row>
  </sheetData>
  <mergeCells count="1">
    <mergeCell ref="B6:N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6E3EF-A3A5-4A11-92A0-1B361CA68EEF}">
  <dimension ref="B1:BC118"/>
  <sheetViews>
    <sheetView showGridLines="0" zoomScale="90" zoomScaleNormal="90" workbookViewId="0">
      <pane ySplit="1" topLeftCell="A62" activePane="bottomLeft" state="frozen"/>
      <selection pane="bottomLeft" activeCell="B70" sqref="B70:F71"/>
    </sheetView>
  </sheetViews>
  <sheetFormatPr defaultColWidth="11.42578125" defaultRowHeight="16.5" x14ac:dyDescent="0.3"/>
  <cols>
    <col min="1" max="1" width="2.5703125" style="130" customWidth="1"/>
    <col min="2" max="5" width="26.5703125" style="130" customWidth="1"/>
    <col min="6" max="31" width="17.140625" style="130" customWidth="1"/>
    <col min="32" max="16384" width="11.42578125" style="130"/>
  </cols>
  <sheetData>
    <row r="1" spans="2:52" s="129" customFormat="1" ht="38.25" customHeight="1" x14ac:dyDescent="0.3">
      <c r="B1" s="128" t="s">
        <v>227</v>
      </c>
    </row>
    <row r="2" spans="2:52" ht="15" customHeight="1" x14ac:dyDescent="0.3"/>
    <row r="3" spans="2:52" s="134" customFormat="1" ht="32.25" customHeight="1" x14ac:dyDescent="0.25">
      <c r="B3" s="160" t="s">
        <v>300</v>
      </c>
      <c r="C3" s="160"/>
      <c r="D3" s="160"/>
      <c r="E3" s="160"/>
      <c r="F3" s="160"/>
      <c r="G3" s="132"/>
      <c r="H3" s="133"/>
      <c r="I3" s="133"/>
      <c r="J3" s="133"/>
      <c r="K3" s="133"/>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row>
    <row r="4" spans="2:52" ht="15" customHeight="1" x14ac:dyDescent="0.3">
      <c r="B4" s="102"/>
      <c r="C4" s="102"/>
      <c r="D4" s="102"/>
      <c r="E4" s="102"/>
      <c r="F4" s="102"/>
      <c r="G4" s="102"/>
    </row>
    <row r="5" spans="2:52" ht="15" customHeight="1" thickBot="1" x14ac:dyDescent="0.35">
      <c r="B5" s="16" t="s">
        <v>232</v>
      </c>
      <c r="C5" s="15"/>
      <c r="D5" s="15"/>
      <c r="E5" s="15"/>
      <c r="F5" s="15"/>
      <c r="G5" s="15"/>
    </row>
    <row r="6" spans="2:52" ht="15" customHeight="1" x14ac:dyDescent="0.3">
      <c r="B6" s="102"/>
      <c r="C6" s="102"/>
      <c r="D6" s="102"/>
      <c r="E6" s="102"/>
      <c r="F6" s="102"/>
      <c r="G6" s="102"/>
    </row>
    <row r="7" spans="2:52" ht="15" customHeight="1" x14ac:dyDescent="0.3">
      <c r="B7" s="102"/>
      <c r="C7" s="102"/>
      <c r="D7" s="102"/>
      <c r="E7" s="102"/>
      <c r="F7" s="102"/>
      <c r="G7" s="102"/>
    </row>
    <row r="8" spans="2:52" ht="15" customHeight="1" x14ac:dyDescent="0.3">
      <c r="B8" s="102"/>
      <c r="C8" s="102"/>
      <c r="D8" s="102"/>
      <c r="E8" s="102"/>
      <c r="F8" s="102"/>
      <c r="G8" s="102"/>
    </row>
    <row r="9" spans="2:52" ht="15" customHeight="1" x14ac:dyDescent="0.3">
      <c r="B9" s="102"/>
      <c r="C9" s="102"/>
      <c r="D9" s="102"/>
      <c r="E9" s="102"/>
      <c r="F9" s="102"/>
      <c r="G9" s="102"/>
    </row>
    <row r="10" spans="2:52" ht="15" customHeight="1" x14ac:dyDescent="0.3">
      <c r="B10" s="102"/>
      <c r="C10" s="102"/>
      <c r="D10" s="102"/>
      <c r="E10" s="102"/>
      <c r="F10" s="102"/>
      <c r="G10" s="102"/>
    </row>
    <row r="11" spans="2:52" ht="15" customHeight="1" x14ac:dyDescent="0.3">
      <c r="B11" s="102"/>
      <c r="C11" s="102"/>
      <c r="D11" s="102"/>
      <c r="E11" s="102"/>
      <c r="F11" s="102"/>
      <c r="G11" s="102"/>
    </row>
    <row r="12" spans="2:52" ht="15" customHeight="1" x14ac:dyDescent="0.3">
      <c r="B12" s="102"/>
      <c r="C12" s="102"/>
      <c r="D12" s="102"/>
      <c r="E12" s="102"/>
      <c r="F12" s="102"/>
      <c r="G12" s="102"/>
    </row>
    <row r="13" spans="2:52" ht="15" customHeight="1" x14ac:dyDescent="0.3">
      <c r="B13" s="102"/>
      <c r="C13" s="102"/>
      <c r="D13" s="102"/>
      <c r="E13" s="102"/>
      <c r="F13" s="102"/>
      <c r="G13" s="102"/>
    </row>
    <row r="14" spans="2:52" ht="15" customHeight="1" x14ac:dyDescent="0.3">
      <c r="B14" s="102"/>
      <c r="C14" s="102"/>
      <c r="D14" s="102"/>
      <c r="E14" s="102"/>
      <c r="F14" s="102"/>
      <c r="G14" s="102"/>
    </row>
    <row r="15" spans="2:52" ht="15" customHeight="1" x14ac:dyDescent="0.3">
      <c r="B15" s="102"/>
      <c r="C15" s="102"/>
      <c r="D15" s="102"/>
      <c r="E15" s="102"/>
      <c r="F15" s="102"/>
      <c r="G15" s="102"/>
    </row>
    <row r="16" spans="2:52" ht="15" customHeight="1" x14ac:dyDescent="0.3">
      <c r="B16" s="102"/>
      <c r="C16" s="102"/>
      <c r="D16" s="102"/>
      <c r="E16" s="102"/>
      <c r="F16" s="102"/>
      <c r="G16" s="102"/>
    </row>
    <row r="17" spans="2:7" ht="15" customHeight="1" x14ac:dyDescent="0.3">
      <c r="B17" s="102"/>
      <c r="C17" s="102"/>
      <c r="D17" s="102"/>
      <c r="E17" s="102"/>
      <c r="F17" s="102"/>
      <c r="G17" s="102"/>
    </row>
    <row r="18" spans="2:7" ht="15" customHeight="1" x14ac:dyDescent="0.3">
      <c r="B18" s="102"/>
      <c r="C18" s="102"/>
      <c r="D18" s="102"/>
      <c r="E18" s="102"/>
      <c r="F18" s="102"/>
      <c r="G18" s="102"/>
    </row>
    <row r="19" spans="2:7" ht="15" customHeight="1" x14ac:dyDescent="0.3">
      <c r="B19" s="102"/>
      <c r="C19" s="102"/>
      <c r="D19" s="102"/>
      <c r="E19" s="102"/>
      <c r="F19" s="102"/>
      <c r="G19" s="102"/>
    </row>
    <row r="20" spans="2:7" ht="15" customHeight="1" x14ac:dyDescent="0.3">
      <c r="B20" s="102"/>
      <c r="C20" s="102"/>
      <c r="D20" s="102"/>
      <c r="E20" s="102"/>
      <c r="F20" s="102"/>
      <c r="G20" s="102"/>
    </row>
    <row r="21" spans="2:7" ht="15" customHeight="1" x14ac:dyDescent="0.3">
      <c r="B21" s="102"/>
      <c r="C21" s="102"/>
      <c r="D21" s="102"/>
      <c r="E21" s="102"/>
      <c r="F21" s="102"/>
      <c r="G21" s="102"/>
    </row>
    <row r="22" spans="2:7" ht="15" customHeight="1" x14ac:dyDescent="0.3">
      <c r="B22" s="102"/>
      <c r="C22" s="102"/>
      <c r="D22" s="102"/>
      <c r="E22" s="102"/>
      <c r="F22" s="102"/>
      <c r="G22" s="102"/>
    </row>
    <row r="23" spans="2:7" ht="15" customHeight="1" x14ac:dyDescent="0.3">
      <c r="B23" s="102"/>
      <c r="C23" s="102"/>
      <c r="D23" s="102"/>
      <c r="E23" s="102"/>
      <c r="F23" s="102"/>
      <c r="G23" s="102"/>
    </row>
    <row r="24" spans="2:7" ht="15" customHeight="1" thickBot="1" x14ac:dyDescent="0.35">
      <c r="B24" s="16" t="s">
        <v>234</v>
      </c>
      <c r="C24" s="15"/>
      <c r="D24" s="15"/>
      <c r="E24" s="15"/>
      <c r="F24" s="15"/>
      <c r="G24" s="15"/>
    </row>
    <row r="25" spans="2:7" ht="15" customHeight="1" x14ac:dyDescent="0.3">
      <c r="B25" s="102"/>
      <c r="C25" s="102"/>
      <c r="D25" s="102"/>
      <c r="E25" s="102"/>
      <c r="F25" s="102"/>
      <c r="G25" s="102"/>
    </row>
    <row r="26" spans="2:7" ht="15" customHeight="1" x14ac:dyDescent="0.3">
      <c r="B26" s="102" t="s">
        <v>229</v>
      </c>
      <c r="C26" s="102"/>
      <c r="D26" s="102"/>
      <c r="E26" s="102"/>
      <c r="F26" s="102"/>
      <c r="G26" s="102"/>
    </row>
    <row r="27" spans="2:7" ht="15" customHeight="1" x14ac:dyDescent="0.3">
      <c r="B27" s="102"/>
      <c r="C27" s="52"/>
      <c r="D27" s="102"/>
      <c r="E27" s="102"/>
      <c r="F27" s="102"/>
      <c r="G27" s="102"/>
    </row>
    <row r="28" spans="2:7" ht="15" customHeight="1" x14ac:dyDescent="0.3">
      <c r="B28" s="102" t="s">
        <v>230</v>
      </c>
      <c r="C28" s="126"/>
      <c r="D28" s="102"/>
      <c r="E28" s="102"/>
      <c r="F28" s="102"/>
      <c r="G28" s="102"/>
    </row>
    <row r="29" spans="2:7" ht="15" customHeight="1" x14ac:dyDescent="0.3">
      <c r="B29" s="102"/>
      <c r="C29" s="61"/>
      <c r="D29" s="102"/>
      <c r="E29" s="102"/>
      <c r="F29" s="102"/>
      <c r="G29" s="102"/>
    </row>
    <row r="30" spans="2:7" ht="15" customHeight="1" x14ac:dyDescent="0.3">
      <c r="B30" s="102"/>
      <c r="C30" s="126"/>
      <c r="D30" s="102"/>
      <c r="E30" s="102"/>
      <c r="F30" s="102"/>
      <c r="G30" s="102"/>
    </row>
    <row r="31" spans="2:7" ht="15" customHeight="1" x14ac:dyDescent="0.3">
      <c r="B31" s="161" t="s">
        <v>264</v>
      </c>
      <c r="C31" s="161"/>
      <c r="D31" s="161"/>
      <c r="E31" s="161"/>
      <c r="F31" s="161"/>
      <c r="G31" s="102"/>
    </row>
    <row r="32" spans="2:7" ht="15" customHeight="1" x14ac:dyDescent="0.3">
      <c r="B32" s="102"/>
      <c r="C32" s="126"/>
      <c r="D32" s="102"/>
      <c r="E32" s="102"/>
      <c r="F32" s="102"/>
      <c r="G32" s="102"/>
    </row>
    <row r="33" spans="2:8" ht="15" customHeight="1" x14ac:dyDescent="0.3">
      <c r="B33" s="102"/>
      <c r="C33" s="126"/>
      <c r="D33" s="102"/>
      <c r="E33" s="102"/>
      <c r="F33" s="102"/>
      <c r="G33" s="102"/>
    </row>
    <row r="34" spans="2:8" ht="15" customHeight="1" x14ac:dyDescent="0.3">
      <c r="B34" s="102"/>
      <c r="C34" s="126"/>
      <c r="D34" s="102"/>
      <c r="E34" s="102"/>
      <c r="F34" s="102"/>
      <c r="G34" s="102"/>
    </row>
    <row r="35" spans="2:8" ht="15" customHeight="1" x14ac:dyDescent="0.3">
      <c r="B35" s="102" t="s">
        <v>265</v>
      </c>
      <c r="C35" s="126"/>
      <c r="D35" s="102"/>
      <c r="E35" s="102"/>
      <c r="F35" s="102"/>
      <c r="G35" s="102"/>
    </row>
    <row r="36" spans="2:8" ht="15" customHeight="1" x14ac:dyDescent="0.3">
      <c r="B36" s="102"/>
      <c r="C36" s="126"/>
      <c r="D36" s="102"/>
      <c r="E36" s="102"/>
      <c r="F36" s="102"/>
      <c r="G36" s="102"/>
    </row>
    <row r="37" spans="2:8" ht="15" customHeight="1" x14ac:dyDescent="0.3">
      <c r="B37" s="102"/>
      <c r="C37" s="126"/>
      <c r="D37" s="102"/>
      <c r="E37" s="102"/>
      <c r="F37" s="102"/>
      <c r="G37" s="102"/>
    </row>
    <row r="38" spans="2:8" ht="15" customHeight="1" x14ac:dyDescent="0.3">
      <c r="B38" s="102"/>
      <c r="C38" s="126"/>
      <c r="D38" s="102"/>
      <c r="E38" s="102"/>
      <c r="F38" s="102"/>
      <c r="G38" s="102"/>
    </row>
    <row r="39" spans="2:8" ht="15" customHeight="1" x14ac:dyDescent="0.3">
      <c r="B39" s="102"/>
      <c r="C39" s="126"/>
      <c r="D39" s="102"/>
      <c r="E39" s="102"/>
      <c r="F39" s="102"/>
      <c r="G39" s="102"/>
    </row>
    <row r="40" spans="2:8" ht="15" customHeight="1" x14ac:dyDescent="0.3">
      <c r="B40" s="102"/>
      <c r="C40" s="126"/>
      <c r="D40" s="102"/>
      <c r="E40" s="102"/>
      <c r="F40" s="102"/>
      <c r="G40" s="102"/>
    </row>
    <row r="41" spans="2:8" ht="15" customHeight="1" x14ac:dyDescent="0.3">
      <c r="B41" s="102"/>
      <c r="C41" s="126"/>
      <c r="D41" s="102"/>
      <c r="E41" s="102"/>
      <c r="F41" s="102"/>
      <c r="G41" s="102"/>
    </row>
    <row r="42" spans="2:8" ht="15" customHeight="1" thickBot="1" x14ac:dyDescent="0.35">
      <c r="B42" s="16" t="s">
        <v>233</v>
      </c>
      <c r="C42" s="15"/>
      <c r="D42" s="15"/>
      <c r="E42" s="15"/>
      <c r="F42" s="15"/>
      <c r="G42" s="15"/>
    </row>
    <row r="43" spans="2:8" ht="15" customHeight="1" x14ac:dyDescent="0.3">
      <c r="B43" s="102"/>
      <c r="C43" s="126"/>
      <c r="D43" s="102"/>
      <c r="E43" s="102"/>
      <c r="F43" s="102"/>
      <c r="G43" s="102"/>
    </row>
    <row r="44" spans="2:8" ht="15" customHeight="1" x14ac:dyDescent="0.3">
      <c r="B44" s="102" t="s">
        <v>231</v>
      </c>
      <c r="C44" s="131"/>
      <c r="D44" s="131"/>
      <c r="E44" s="131"/>
      <c r="F44" s="131"/>
    </row>
    <row r="45" spans="2:8" ht="15" customHeight="1" x14ac:dyDescent="0.3">
      <c r="B45" s="131"/>
      <c r="C45" s="131"/>
      <c r="D45" s="131"/>
      <c r="E45" s="131"/>
      <c r="F45" s="131"/>
    </row>
    <row r="46" spans="2:8" ht="15" customHeight="1" x14ac:dyDescent="0.3">
      <c r="B46" s="162" t="s">
        <v>365</v>
      </c>
      <c r="C46" s="162"/>
      <c r="D46" s="162"/>
      <c r="E46" s="162"/>
      <c r="F46" s="162"/>
      <c r="G46" s="2"/>
      <c r="H46" s="2"/>
    </row>
    <row r="47" spans="2:8" ht="15" customHeight="1" x14ac:dyDescent="0.3">
      <c r="B47" s="162"/>
      <c r="C47" s="162"/>
      <c r="D47" s="162"/>
      <c r="E47" s="162"/>
      <c r="F47" s="162"/>
      <c r="G47" s="153"/>
      <c r="H47" s="153"/>
    </row>
    <row r="48" spans="2:8" ht="15" customHeight="1" x14ac:dyDescent="0.3">
      <c r="B48" s="127"/>
      <c r="C48" s="161"/>
      <c r="D48" s="161"/>
      <c r="E48" s="161"/>
      <c r="F48" s="161"/>
      <c r="G48" s="2"/>
      <c r="H48" s="2"/>
    </row>
    <row r="49" spans="2:8" ht="15" customHeight="1" x14ac:dyDescent="0.3">
      <c r="B49" s="127" t="s">
        <v>266</v>
      </c>
      <c r="C49" s="102"/>
      <c r="D49" s="102"/>
      <c r="E49" s="102"/>
      <c r="F49" s="102"/>
      <c r="G49" s="2"/>
      <c r="H49" s="2"/>
    </row>
    <row r="50" spans="2:8" ht="15" customHeight="1" x14ac:dyDescent="0.3">
      <c r="B50" s="127"/>
      <c r="C50" s="102"/>
      <c r="D50" s="102"/>
      <c r="E50" s="102"/>
      <c r="F50" s="102"/>
      <c r="G50" s="2"/>
      <c r="H50" s="2"/>
    </row>
    <row r="51" spans="2:8" ht="15" customHeight="1" x14ac:dyDescent="0.3">
      <c r="B51" s="127"/>
      <c r="C51" s="102"/>
      <c r="D51" s="102"/>
      <c r="E51" s="102"/>
      <c r="F51" s="102"/>
      <c r="G51" s="2"/>
      <c r="H51" s="2"/>
    </row>
    <row r="52" spans="2:8" ht="15" customHeight="1" x14ac:dyDescent="0.3">
      <c r="B52" s="127"/>
      <c r="C52" s="102"/>
      <c r="D52" s="102"/>
      <c r="E52" s="102"/>
      <c r="F52" s="102"/>
      <c r="G52" s="2"/>
      <c r="H52" s="2"/>
    </row>
    <row r="53" spans="2:8" ht="15" customHeight="1" x14ac:dyDescent="0.3">
      <c r="B53" s="127"/>
      <c r="C53" s="102"/>
      <c r="D53" s="102"/>
      <c r="E53" s="102"/>
      <c r="F53" s="102"/>
      <c r="G53" s="2"/>
      <c r="H53" s="2"/>
    </row>
    <row r="54" spans="2:8" ht="15" customHeight="1" x14ac:dyDescent="0.3">
      <c r="B54" s="127"/>
      <c r="C54" s="102"/>
      <c r="D54" s="102"/>
      <c r="E54" s="102"/>
      <c r="F54" s="102"/>
      <c r="G54" s="2"/>
      <c r="H54" s="2"/>
    </row>
    <row r="55" spans="2:8" ht="15" customHeight="1" x14ac:dyDescent="0.3">
      <c r="B55" s="127"/>
      <c r="C55" s="102"/>
      <c r="D55" s="102"/>
      <c r="E55" s="102"/>
      <c r="F55" s="102"/>
      <c r="G55" s="2"/>
      <c r="H55" s="2"/>
    </row>
    <row r="56" spans="2:8" ht="15" customHeight="1" x14ac:dyDescent="0.3">
      <c r="B56" s="127"/>
      <c r="C56" s="102"/>
      <c r="D56" s="102"/>
      <c r="E56" s="102"/>
      <c r="F56" s="102"/>
      <c r="G56" s="2"/>
      <c r="H56" s="2"/>
    </row>
    <row r="57" spans="2:8" ht="15" customHeight="1" x14ac:dyDescent="0.3">
      <c r="B57" s="127"/>
      <c r="C57" s="102"/>
      <c r="D57" s="102"/>
      <c r="E57" s="102"/>
      <c r="F57" s="102"/>
      <c r="G57" s="2"/>
      <c r="H57" s="2"/>
    </row>
    <row r="58" spans="2:8" ht="15" customHeight="1" x14ac:dyDescent="0.3">
      <c r="B58" s="127"/>
      <c r="C58" s="102"/>
      <c r="D58" s="102"/>
      <c r="E58" s="102"/>
      <c r="F58" s="102"/>
      <c r="G58" s="2"/>
      <c r="H58" s="2"/>
    </row>
    <row r="59" spans="2:8" ht="15" customHeight="1" x14ac:dyDescent="0.3">
      <c r="B59" s="127"/>
      <c r="C59" s="102"/>
      <c r="D59" s="102"/>
      <c r="E59" s="102"/>
      <c r="F59" s="102"/>
      <c r="G59" s="2"/>
      <c r="H59" s="2"/>
    </row>
    <row r="60" spans="2:8" ht="15" customHeight="1" x14ac:dyDescent="0.3">
      <c r="B60" s="127"/>
      <c r="C60" s="102"/>
      <c r="D60" s="102"/>
      <c r="E60" s="102"/>
      <c r="F60" s="102"/>
      <c r="G60" s="2"/>
      <c r="H60" s="2"/>
    </row>
    <row r="61" spans="2:8" ht="15" customHeight="1" x14ac:dyDescent="0.3">
      <c r="B61" s="127"/>
      <c r="C61" s="102"/>
      <c r="D61" s="102"/>
      <c r="E61" s="102"/>
      <c r="F61" s="102"/>
      <c r="G61" s="2"/>
      <c r="H61" s="2"/>
    </row>
    <row r="62" spans="2:8" ht="15" customHeight="1" x14ac:dyDescent="0.3">
      <c r="B62" s="127"/>
      <c r="C62" s="102"/>
      <c r="D62" s="102"/>
      <c r="E62" s="102"/>
      <c r="F62" s="102"/>
      <c r="G62" s="2"/>
      <c r="H62" s="2"/>
    </row>
    <row r="63" spans="2:8" ht="15" customHeight="1" x14ac:dyDescent="0.3">
      <c r="B63" s="127"/>
      <c r="C63" s="102"/>
      <c r="D63" s="102"/>
      <c r="E63" s="102"/>
      <c r="F63" s="102"/>
      <c r="G63" s="2"/>
      <c r="H63" s="2"/>
    </row>
    <row r="64" spans="2:8" ht="15" customHeight="1" x14ac:dyDescent="0.3">
      <c r="B64" s="157" t="s">
        <v>267</v>
      </c>
      <c r="C64" s="157"/>
      <c r="D64" s="157"/>
      <c r="E64" s="157"/>
      <c r="F64" s="157"/>
      <c r="G64" s="2"/>
      <c r="H64" s="2"/>
    </row>
    <row r="65" spans="2:55" ht="15" customHeight="1" x14ac:dyDescent="0.3">
      <c r="B65" s="157"/>
      <c r="C65" s="157"/>
      <c r="D65" s="157"/>
      <c r="E65" s="157"/>
      <c r="F65" s="157"/>
      <c r="G65" s="2"/>
      <c r="H65" s="2"/>
    </row>
    <row r="66" spans="2:55" ht="15" customHeight="1" x14ac:dyDescent="0.3">
      <c r="B66" s="157" t="s">
        <v>268</v>
      </c>
      <c r="C66" s="157"/>
      <c r="D66" s="157"/>
      <c r="E66" s="157"/>
      <c r="F66" s="157"/>
      <c r="G66" s="123"/>
      <c r="H66" s="123"/>
      <c r="I66" s="123"/>
      <c r="J66" s="123"/>
      <c r="K66" s="123"/>
      <c r="L66" s="123"/>
      <c r="M66" s="123"/>
      <c r="N66" s="123"/>
      <c r="O66" s="123"/>
      <c r="P66" s="123"/>
      <c r="Q66" s="123"/>
      <c r="R66" s="123"/>
      <c r="S66" s="123"/>
      <c r="T66" s="123"/>
      <c r="U66" s="123"/>
      <c r="V66" s="123"/>
      <c r="W66" s="123"/>
      <c r="X66" s="123"/>
      <c r="Y66" s="123"/>
      <c r="Z66" s="123"/>
      <c r="AA66" s="123"/>
      <c r="AB66" s="123"/>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row>
    <row r="67" spans="2:55" ht="15" customHeight="1" x14ac:dyDescent="0.3">
      <c r="B67" s="157"/>
      <c r="C67" s="157"/>
      <c r="D67" s="157"/>
      <c r="E67" s="157"/>
      <c r="F67" s="157"/>
      <c r="G67" s="123"/>
      <c r="H67" s="123"/>
      <c r="I67" s="123"/>
      <c r="J67" s="123"/>
      <c r="K67" s="123"/>
      <c r="L67" s="123"/>
      <c r="M67" s="123"/>
      <c r="N67" s="123"/>
      <c r="O67" s="123"/>
      <c r="P67" s="123"/>
      <c r="Q67" s="123"/>
      <c r="R67" s="123"/>
      <c r="S67" s="123"/>
      <c r="T67" s="123"/>
      <c r="U67" s="123"/>
      <c r="V67" s="123"/>
      <c r="W67" s="123"/>
      <c r="X67" s="123"/>
      <c r="Y67" s="123"/>
      <c r="Z67" s="123"/>
      <c r="AA67" s="123"/>
      <c r="AB67" s="123"/>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4"/>
    </row>
    <row r="68" spans="2:55" ht="15" customHeight="1" x14ac:dyDescent="0.3">
      <c r="B68" s="157" t="s">
        <v>269</v>
      </c>
      <c r="C68" s="157"/>
      <c r="D68" s="157"/>
      <c r="E68" s="157"/>
      <c r="F68" s="157"/>
      <c r="G68" s="123"/>
      <c r="H68" s="123"/>
      <c r="I68" s="123"/>
      <c r="J68" s="123"/>
      <c r="K68" s="123"/>
      <c r="L68" s="123"/>
      <c r="M68" s="123"/>
      <c r="N68" s="123"/>
      <c r="O68" s="123"/>
      <c r="P68" s="123"/>
      <c r="Q68" s="123"/>
      <c r="R68" s="123"/>
      <c r="S68" s="123"/>
      <c r="T68" s="123"/>
      <c r="U68" s="123"/>
      <c r="V68" s="123"/>
      <c r="W68" s="123"/>
      <c r="X68" s="123"/>
      <c r="Y68" s="123"/>
      <c r="Z68" s="123"/>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5"/>
    </row>
    <row r="69" spans="2:55" ht="15" customHeight="1" x14ac:dyDescent="0.3">
      <c r="B69" s="157"/>
      <c r="C69" s="157"/>
      <c r="D69" s="157"/>
      <c r="E69" s="157"/>
      <c r="F69" s="157"/>
      <c r="G69" s="123"/>
      <c r="H69" s="123"/>
      <c r="I69" s="123"/>
      <c r="J69" s="123"/>
      <c r="K69" s="123"/>
      <c r="L69" s="123"/>
      <c r="M69" s="123"/>
      <c r="N69" s="123"/>
      <c r="O69" s="123"/>
      <c r="P69" s="123"/>
      <c r="Q69" s="123"/>
      <c r="R69" s="123"/>
      <c r="S69" s="123"/>
      <c r="T69" s="123"/>
      <c r="U69" s="123"/>
      <c r="V69" s="123"/>
      <c r="W69" s="123"/>
      <c r="X69" s="123"/>
      <c r="Y69" s="123"/>
      <c r="Z69" s="123"/>
      <c r="AA69" s="123"/>
      <c r="AB69" s="123"/>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5"/>
    </row>
    <row r="70" spans="2:55" ht="15" customHeight="1" x14ac:dyDescent="0.3">
      <c r="B70" s="158" t="s">
        <v>270</v>
      </c>
      <c r="C70" s="158"/>
      <c r="D70" s="158"/>
      <c r="E70" s="158"/>
      <c r="F70" s="158"/>
      <c r="G70" s="123"/>
      <c r="H70" s="123"/>
      <c r="I70" s="123"/>
      <c r="J70" s="123"/>
      <c r="K70" s="123"/>
      <c r="L70" s="123"/>
      <c r="M70" s="123"/>
      <c r="N70" s="123"/>
      <c r="O70" s="123"/>
      <c r="P70" s="123"/>
      <c r="Q70" s="123"/>
      <c r="R70" s="123"/>
      <c r="S70" s="123"/>
      <c r="T70" s="123"/>
      <c r="U70" s="123"/>
      <c r="V70" s="123"/>
      <c r="W70" s="123"/>
      <c r="X70" s="123"/>
      <c r="Y70" s="123"/>
      <c r="Z70" s="123"/>
      <c r="AA70" s="123"/>
      <c r="AB70" s="123"/>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5"/>
    </row>
    <row r="71" spans="2:55" ht="15" customHeight="1" x14ac:dyDescent="0.3">
      <c r="B71" s="158"/>
      <c r="C71" s="158"/>
      <c r="D71" s="158"/>
      <c r="E71" s="158"/>
      <c r="F71" s="158"/>
      <c r="G71" s="123"/>
      <c r="H71" s="123"/>
      <c r="I71" s="123"/>
      <c r="J71" s="123"/>
      <c r="K71" s="123"/>
      <c r="L71" s="123"/>
      <c r="M71" s="123"/>
      <c r="N71" s="123"/>
      <c r="O71" s="123"/>
      <c r="P71" s="123"/>
      <c r="Q71" s="123"/>
      <c r="R71" s="123"/>
      <c r="S71" s="123"/>
      <c r="T71" s="123"/>
      <c r="U71" s="123"/>
      <c r="V71" s="123"/>
      <c r="W71" s="123"/>
      <c r="X71" s="123"/>
      <c r="Y71" s="123"/>
      <c r="Z71" s="123"/>
      <c r="AA71" s="123"/>
      <c r="AB71" s="123"/>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5"/>
    </row>
    <row r="72" spans="2:55" ht="15" customHeight="1" x14ac:dyDescent="0.3">
      <c r="B72"/>
      <c r="C72"/>
      <c r="D72"/>
      <c r="E72"/>
      <c r="F72"/>
      <c r="G72" s="123"/>
      <c r="H72" s="123"/>
      <c r="I72" s="123"/>
      <c r="J72" s="123"/>
      <c r="K72" s="123"/>
      <c r="L72" s="123"/>
      <c r="M72" s="123"/>
      <c r="N72" s="123"/>
      <c r="O72" s="123"/>
      <c r="P72" s="123"/>
      <c r="Q72" s="123"/>
      <c r="R72" s="123"/>
      <c r="S72" s="123"/>
      <c r="T72" s="123"/>
      <c r="U72" s="123"/>
      <c r="V72" s="123"/>
      <c r="W72" s="123"/>
      <c r="X72" s="123"/>
      <c r="Y72" s="123"/>
      <c r="Z72" s="123"/>
      <c r="AA72" s="123"/>
      <c r="AB72" s="123"/>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5"/>
    </row>
    <row r="73" spans="2:55" ht="15" customHeight="1" x14ac:dyDescent="0.3">
      <c r="B73" s="157" t="s">
        <v>271</v>
      </c>
      <c r="C73" s="157"/>
      <c r="D73" s="157"/>
      <c r="E73" s="157"/>
      <c r="F73" s="157"/>
      <c r="G73" s="123"/>
      <c r="H73" s="123"/>
      <c r="I73" s="123"/>
      <c r="J73" s="123"/>
      <c r="K73" s="123"/>
      <c r="L73" s="123"/>
      <c r="M73" s="123"/>
      <c r="N73" s="123"/>
      <c r="O73" s="123"/>
      <c r="P73" s="123"/>
      <c r="Q73" s="123"/>
      <c r="R73" s="123"/>
      <c r="S73" s="123"/>
      <c r="T73" s="123"/>
      <c r="U73" s="123"/>
      <c r="V73" s="123"/>
      <c r="W73" s="123"/>
      <c r="X73" s="123"/>
      <c r="Y73" s="123"/>
      <c r="Z73" s="123"/>
      <c r="AA73" s="123"/>
      <c r="AB73" s="123"/>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5"/>
    </row>
    <row r="74" spans="2:55" ht="15" customHeight="1" x14ac:dyDescent="0.3">
      <c r="B74"/>
      <c r="C74"/>
      <c r="D74"/>
      <c r="E74"/>
      <c r="F74"/>
      <c r="G74" s="123"/>
      <c r="H74" s="123"/>
      <c r="I74" s="123"/>
      <c r="J74" s="123"/>
      <c r="K74" s="123"/>
      <c r="L74" s="123"/>
      <c r="M74" s="123"/>
      <c r="N74" s="123"/>
      <c r="O74" s="123"/>
      <c r="P74" s="123"/>
      <c r="Q74" s="123"/>
      <c r="R74" s="123"/>
      <c r="S74" s="123"/>
      <c r="T74" s="123"/>
      <c r="U74" s="123"/>
      <c r="V74" s="123"/>
      <c r="W74" s="123"/>
      <c r="X74" s="123"/>
      <c r="Y74" s="123"/>
      <c r="Z74" s="123"/>
      <c r="AA74" s="123"/>
      <c r="AB74" s="123"/>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5"/>
    </row>
    <row r="75" spans="2:55" ht="15" customHeight="1" x14ac:dyDescent="0.3">
      <c r="B75" s="158" t="s">
        <v>272</v>
      </c>
      <c r="C75" s="158"/>
      <c r="D75" s="158"/>
      <c r="E75" s="158"/>
      <c r="F75" s="158"/>
      <c r="G75" s="123"/>
      <c r="H75" s="123"/>
      <c r="I75" s="123"/>
      <c r="J75" s="123"/>
      <c r="K75" s="123"/>
      <c r="L75" s="123"/>
      <c r="M75" s="123"/>
      <c r="N75" s="123"/>
      <c r="O75" s="123"/>
      <c r="P75" s="123"/>
      <c r="Q75" s="123"/>
      <c r="R75" s="123"/>
      <c r="S75" s="123"/>
      <c r="T75" s="123"/>
      <c r="U75" s="123"/>
      <c r="V75" s="123"/>
      <c r="W75" s="123"/>
      <c r="X75" s="123"/>
      <c r="Y75" s="123"/>
      <c r="Z75" s="123"/>
      <c r="AA75" s="123"/>
      <c r="AB75" s="123"/>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5"/>
    </row>
    <row r="76" spans="2:55" ht="15" customHeight="1" x14ac:dyDescent="0.3">
      <c r="B76" s="158"/>
      <c r="C76" s="158"/>
      <c r="D76" s="158"/>
      <c r="E76" s="158"/>
      <c r="F76" s="158"/>
      <c r="G76" s="123"/>
      <c r="H76" s="123"/>
      <c r="I76" s="123"/>
      <c r="J76" s="123"/>
      <c r="K76" s="123"/>
      <c r="L76" s="123"/>
      <c r="M76" s="123"/>
      <c r="N76" s="123"/>
      <c r="O76" s="123"/>
      <c r="P76" s="123"/>
      <c r="Q76" s="123"/>
      <c r="R76" s="123"/>
      <c r="S76" s="123"/>
      <c r="T76" s="123"/>
      <c r="U76" s="123"/>
      <c r="V76" s="123"/>
      <c r="W76" s="123"/>
      <c r="X76" s="123"/>
      <c r="Y76" s="123"/>
      <c r="Z76" s="123"/>
      <c r="AA76" s="123"/>
      <c r="AB76" s="123"/>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6"/>
    </row>
    <row r="77" spans="2:55" ht="15" customHeight="1" x14ac:dyDescent="0.3">
      <c r="B77" s="148"/>
      <c r="C77" s="148"/>
      <c r="D77" s="148"/>
      <c r="E77" s="148"/>
      <c r="F77" s="148"/>
      <c r="G77" s="123"/>
      <c r="H77" s="123"/>
      <c r="I77" s="123"/>
      <c r="J77" s="123"/>
      <c r="K77" s="123"/>
      <c r="L77" s="123"/>
      <c r="M77" s="123"/>
      <c r="N77" s="123"/>
      <c r="O77" s="123"/>
      <c r="P77" s="123"/>
      <c r="Q77" s="123"/>
      <c r="R77" s="123"/>
      <c r="S77" s="123"/>
      <c r="T77" s="123"/>
      <c r="U77" s="123"/>
      <c r="V77" s="123"/>
      <c r="W77" s="123"/>
      <c r="X77" s="123"/>
      <c r="Y77" s="123"/>
      <c r="Z77" s="123"/>
      <c r="AA77" s="123"/>
      <c r="AB77" s="123"/>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6"/>
    </row>
    <row r="78" spans="2:55" ht="15" customHeight="1" x14ac:dyDescent="0.3">
      <c r="B78" s="157" t="s">
        <v>273</v>
      </c>
      <c r="C78" s="157"/>
      <c r="D78" s="157"/>
      <c r="E78" s="157"/>
      <c r="F78" s="157"/>
      <c r="G78" s="2"/>
      <c r="H78" s="2"/>
    </row>
    <row r="79" spans="2:55" ht="15" customHeight="1" x14ac:dyDescent="0.3">
      <c r="B79"/>
      <c r="C79" s="157"/>
      <c r="D79" s="157"/>
      <c r="E79" s="157"/>
      <c r="F79" s="157"/>
      <c r="G79" s="2"/>
      <c r="H79" s="2"/>
    </row>
    <row r="80" spans="2:55" ht="15" customHeight="1" x14ac:dyDescent="0.3">
      <c r="B80"/>
      <c r="C80" s="157"/>
      <c r="D80" s="157"/>
      <c r="E80" s="157"/>
      <c r="F80" s="157"/>
      <c r="G80" s="2"/>
      <c r="H80" s="2"/>
    </row>
    <row r="81" spans="2:8" ht="15" customHeight="1" x14ac:dyDescent="0.3">
      <c r="B81"/>
      <c r="C81" s="157"/>
      <c r="D81" s="157"/>
      <c r="E81" s="157"/>
      <c r="F81" s="157"/>
      <c r="G81" s="2"/>
      <c r="H81" s="2"/>
    </row>
    <row r="82" spans="2:8" ht="15" customHeight="1" x14ac:dyDescent="0.3">
      <c r="B82"/>
      <c r="C82" s="157"/>
      <c r="D82" s="157"/>
      <c r="E82" s="157"/>
      <c r="F82" s="157"/>
      <c r="G82" s="2"/>
      <c r="H82" s="2"/>
    </row>
    <row r="83" spans="2:8" ht="15" customHeight="1" x14ac:dyDescent="0.3">
      <c r="B83"/>
      <c r="C83" s="157"/>
      <c r="D83" s="157"/>
      <c r="E83" s="157"/>
      <c r="F83" s="157"/>
      <c r="G83" s="2"/>
      <c r="H83" s="2"/>
    </row>
    <row r="84" spans="2:8" ht="15" customHeight="1" x14ac:dyDescent="0.3">
      <c r="B84" s="2"/>
      <c r="C84" s="159"/>
      <c r="D84" s="159"/>
      <c r="E84" s="159"/>
      <c r="F84" s="159"/>
      <c r="G84" s="2"/>
      <c r="H84" s="2"/>
    </row>
    <row r="85" spans="2:8" ht="15" customHeight="1" x14ac:dyDescent="0.3">
      <c r="B85" s="2"/>
      <c r="C85" s="159"/>
      <c r="D85" s="159"/>
      <c r="E85" s="159"/>
      <c r="F85" s="159"/>
      <c r="G85" s="2"/>
      <c r="H85" s="2"/>
    </row>
    <row r="86" spans="2:8" ht="15" customHeight="1" x14ac:dyDescent="0.3">
      <c r="B86" s="2"/>
      <c r="C86" s="159"/>
      <c r="D86" s="159"/>
      <c r="E86" s="159"/>
      <c r="F86" s="159"/>
      <c r="G86" s="2"/>
      <c r="H86" s="2"/>
    </row>
    <row r="87" spans="2:8" ht="15" customHeight="1" x14ac:dyDescent="0.3">
      <c r="B87" s="2"/>
      <c r="C87" s="159"/>
      <c r="D87" s="159"/>
      <c r="E87" s="159"/>
      <c r="F87" s="159"/>
      <c r="G87" s="2"/>
      <c r="H87" s="2"/>
    </row>
    <row r="88" spans="2:8" ht="15" customHeight="1" x14ac:dyDescent="0.3">
      <c r="B88" s="2"/>
      <c r="C88" s="159"/>
      <c r="D88" s="159"/>
      <c r="E88" s="159"/>
      <c r="F88" s="159"/>
      <c r="G88" s="2"/>
      <c r="H88" s="2"/>
    </row>
    <row r="89" spans="2:8" ht="15" customHeight="1" x14ac:dyDescent="0.3">
      <c r="B89" s="2"/>
      <c r="C89" s="159"/>
      <c r="D89" s="159"/>
      <c r="E89" s="159"/>
      <c r="F89" s="159"/>
      <c r="G89" s="2"/>
      <c r="H89" s="2"/>
    </row>
    <row r="90" spans="2:8" ht="15" customHeight="1" x14ac:dyDescent="0.3">
      <c r="B90" s="2"/>
      <c r="C90" s="159"/>
      <c r="D90" s="159"/>
      <c r="E90" s="159"/>
      <c r="F90" s="159"/>
      <c r="G90" s="2"/>
      <c r="H90" s="2"/>
    </row>
    <row r="91" spans="2:8" ht="15" customHeight="1" x14ac:dyDescent="0.3">
      <c r="B91" s="2"/>
      <c r="C91" s="159"/>
      <c r="D91" s="159"/>
      <c r="E91" s="159"/>
      <c r="F91" s="159"/>
      <c r="G91" s="2"/>
      <c r="H91" s="2"/>
    </row>
    <row r="92" spans="2:8" ht="15" customHeight="1" x14ac:dyDescent="0.3">
      <c r="B92" s="2"/>
      <c r="C92" s="159"/>
      <c r="D92" s="159"/>
      <c r="E92" s="159"/>
      <c r="F92" s="159"/>
      <c r="G92" s="2"/>
      <c r="H92" s="2"/>
    </row>
    <row r="93" spans="2:8" ht="15" customHeight="1" x14ac:dyDescent="0.3">
      <c r="B93" s="2"/>
      <c r="C93" s="159"/>
      <c r="D93" s="159"/>
      <c r="E93" s="159"/>
      <c r="F93" s="159"/>
      <c r="G93" s="2"/>
      <c r="H93" s="2"/>
    </row>
    <row r="94" spans="2:8" ht="15" customHeight="1" x14ac:dyDescent="0.3">
      <c r="B94" s="2"/>
      <c r="C94" s="159"/>
      <c r="D94" s="159"/>
      <c r="E94" s="159"/>
      <c r="F94" s="159"/>
      <c r="G94" s="2"/>
      <c r="H94" s="2"/>
    </row>
    <row r="95" spans="2:8" ht="15" customHeight="1" x14ac:dyDescent="0.3">
      <c r="B95" s="2"/>
      <c r="C95" s="159"/>
      <c r="D95" s="159"/>
      <c r="E95" s="159"/>
      <c r="F95" s="159"/>
      <c r="G95" s="2"/>
      <c r="H95" s="2"/>
    </row>
    <row r="96" spans="2:8" ht="15" customHeight="1" x14ac:dyDescent="0.3">
      <c r="B96" s="2"/>
      <c r="C96" s="159"/>
      <c r="D96" s="159"/>
      <c r="E96" s="159"/>
      <c r="F96" s="159"/>
      <c r="G96" s="2"/>
      <c r="H96" s="2"/>
    </row>
    <row r="97" spans="2:8" ht="15" customHeight="1" x14ac:dyDescent="0.3">
      <c r="B97" s="2"/>
      <c r="C97" s="159"/>
      <c r="D97" s="159"/>
      <c r="E97" s="159"/>
      <c r="F97" s="159"/>
      <c r="G97" s="2"/>
      <c r="H97" s="2"/>
    </row>
    <row r="98" spans="2:8" ht="15" customHeight="1" x14ac:dyDescent="0.3">
      <c r="B98" s="2"/>
      <c r="C98" s="159"/>
      <c r="D98" s="159"/>
      <c r="E98" s="159"/>
      <c r="F98" s="159"/>
      <c r="G98" s="2"/>
      <c r="H98" s="2"/>
    </row>
    <row r="99" spans="2:8" ht="15" customHeight="1" x14ac:dyDescent="0.3">
      <c r="B99" s="2"/>
      <c r="C99" s="159"/>
      <c r="D99" s="159"/>
      <c r="E99" s="159"/>
      <c r="F99" s="159"/>
      <c r="G99" s="2"/>
      <c r="H99" s="2"/>
    </row>
    <row r="100" spans="2:8" x14ac:dyDescent="0.3">
      <c r="B100" s="2"/>
      <c r="C100" s="159"/>
      <c r="D100" s="159"/>
      <c r="E100" s="159"/>
      <c r="F100" s="159"/>
      <c r="G100" s="2"/>
      <c r="H100" s="2"/>
    </row>
    <row r="101" spans="2:8" x14ac:dyDescent="0.3">
      <c r="B101" s="2"/>
      <c r="C101" s="159"/>
      <c r="D101" s="159"/>
      <c r="E101" s="159"/>
      <c r="F101" s="159"/>
      <c r="G101" s="2"/>
      <c r="H101" s="2"/>
    </row>
    <row r="102" spans="2:8" x14ac:dyDescent="0.3">
      <c r="B102" s="2"/>
      <c r="C102" s="159"/>
      <c r="D102" s="159"/>
      <c r="E102" s="159"/>
      <c r="F102" s="159"/>
      <c r="G102" s="2"/>
      <c r="H102" s="2"/>
    </row>
    <row r="103" spans="2:8" x14ac:dyDescent="0.3">
      <c r="B103" s="2"/>
      <c r="C103" s="159"/>
      <c r="D103" s="159"/>
      <c r="E103" s="159"/>
      <c r="F103" s="159"/>
      <c r="G103" s="2"/>
      <c r="H103" s="2"/>
    </row>
    <row r="104" spans="2:8" x14ac:dyDescent="0.3">
      <c r="B104" s="2"/>
      <c r="C104" s="159"/>
      <c r="D104" s="159"/>
      <c r="E104" s="159"/>
      <c r="F104" s="159"/>
      <c r="G104" s="2"/>
      <c r="H104" s="2"/>
    </row>
    <row r="105" spans="2:8" x14ac:dyDescent="0.3">
      <c r="B105" s="2"/>
      <c r="C105" s="2"/>
      <c r="D105" s="2"/>
      <c r="E105" s="2"/>
      <c r="F105" s="2"/>
      <c r="G105" s="2"/>
      <c r="H105" s="2"/>
    </row>
    <row r="106" spans="2:8" x14ac:dyDescent="0.3">
      <c r="B106" s="2"/>
      <c r="C106" s="2"/>
      <c r="D106" s="2"/>
      <c r="E106" s="2"/>
      <c r="F106" s="2"/>
      <c r="G106" s="2"/>
      <c r="H106" s="2"/>
    </row>
    <row r="107" spans="2:8" x14ac:dyDescent="0.3">
      <c r="B107" s="2"/>
      <c r="C107" s="2"/>
      <c r="D107" s="2"/>
      <c r="E107" s="2"/>
      <c r="F107" s="2"/>
      <c r="G107" s="2"/>
      <c r="H107" s="2"/>
    </row>
    <row r="108" spans="2:8" x14ac:dyDescent="0.3">
      <c r="B108" s="2"/>
      <c r="C108" s="2"/>
      <c r="D108" s="2"/>
      <c r="E108" s="2"/>
      <c r="F108" s="2"/>
      <c r="G108" s="2"/>
      <c r="H108" s="2"/>
    </row>
    <row r="109" spans="2:8" x14ac:dyDescent="0.3">
      <c r="B109" s="2"/>
      <c r="C109" s="2"/>
      <c r="D109" s="2"/>
      <c r="E109" s="2"/>
      <c r="F109" s="2"/>
      <c r="G109" s="2"/>
      <c r="H109" s="2"/>
    </row>
    <row r="110" spans="2:8" x14ac:dyDescent="0.3">
      <c r="B110" s="2"/>
      <c r="C110" s="2"/>
      <c r="D110" s="2"/>
      <c r="E110" s="2"/>
      <c r="F110" s="2"/>
      <c r="G110" s="2"/>
      <c r="H110" s="2"/>
    </row>
    <row r="111" spans="2:8" x14ac:dyDescent="0.3">
      <c r="B111" s="2"/>
      <c r="C111" s="2"/>
      <c r="D111" s="2"/>
      <c r="E111" s="2"/>
      <c r="F111" s="2"/>
      <c r="G111" s="2"/>
      <c r="H111" s="2"/>
    </row>
    <row r="112" spans="2:8" x14ac:dyDescent="0.3">
      <c r="B112" s="2"/>
      <c r="C112" s="2"/>
      <c r="D112" s="2"/>
      <c r="E112" s="2"/>
      <c r="F112" s="2"/>
      <c r="G112" s="2"/>
      <c r="H112" s="2"/>
    </row>
    <row r="113" spans="2:8" x14ac:dyDescent="0.3">
      <c r="B113" s="2"/>
      <c r="C113" s="2"/>
      <c r="D113" s="2"/>
      <c r="E113" s="2"/>
      <c r="F113" s="2"/>
      <c r="G113" s="2"/>
      <c r="H113" s="2"/>
    </row>
    <row r="114" spans="2:8" x14ac:dyDescent="0.3">
      <c r="B114" s="2"/>
      <c r="C114" s="2"/>
      <c r="D114" s="2"/>
      <c r="E114" s="2"/>
      <c r="F114" s="2"/>
      <c r="G114" s="2"/>
      <c r="H114" s="2"/>
    </row>
    <row r="115" spans="2:8" x14ac:dyDescent="0.3">
      <c r="B115" s="2"/>
      <c r="C115" s="2"/>
      <c r="D115" s="2"/>
      <c r="E115" s="2"/>
      <c r="F115" s="2"/>
      <c r="G115" s="2"/>
      <c r="H115" s="2"/>
    </row>
    <row r="116" spans="2:8" x14ac:dyDescent="0.3">
      <c r="B116" s="2"/>
      <c r="C116" s="2"/>
      <c r="D116" s="2"/>
      <c r="E116" s="2"/>
      <c r="F116" s="2"/>
      <c r="G116" s="2"/>
      <c r="H116" s="2"/>
    </row>
    <row r="117" spans="2:8" x14ac:dyDescent="0.3">
      <c r="B117" s="2"/>
      <c r="C117" s="2"/>
      <c r="D117" s="2"/>
      <c r="E117" s="2"/>
      <c r="F117" s="2"/>
      <c r="G117" s="2"/>
      <c r="H117" s="2"/>
    </row>
    <row r="118" spans="2:8" x14ac:dyDescent="0.3">
      <c r="B118" s="2"/>
      <c r="C118" s="2"/>
      <c r="D118" s="2"/>
      <c r="E118" s="2"/>
      <c r="F118" s="2"/>
      <c r="G118" s="2"/>
      <c r="H118" s="2"/>
    </row>
  </sheetData>
  <mergeCells count="40">
    <mergeCell ref="C94:F94"/>
    <mergeCell ref="C95:F95"/>
    <mergeCell ref="C84:F84"/>
    <mergeCell ref="C85:F85"/>
    <mergeCell ref="C86:F86"/>
    <mergeCell ref="C87:F87"/>
    <mergeCell ref="C88:F88"/>
    <mergeCell ref="C89:F89"/>
    <mergeCell ref="B3:F3"/>
    <mergeCell ref="B31:F31"/>
    <mergeCell ref="B64:F64"/>
    <mergeCell ref="B65:F65"/>
    <mergeCell ref="C48:F48"/>
    <mergeCell ref="B46:F47"/>
    <mergeCell ref="C81:F81"/>
    <mergeCell ref="C82:F82"/>
    <mergeCell ref="C83:F83"/>
    <mergeCell ref="C103:F103"/>
    <mergeCell ref="C104:F104"/>
    <mergeCell ref="C96:F96"/>
    <mergeCell ref="C97:F97"/>
    <mergeCell ref="C98:F98"/>
    <mergeCell ref="C99:F99"/>
    <mergeCell ref="C100:F100"/>
    <mergeCell ref="C101:F101"/>
    <mergeCell ref="C90:F90"/>
    <mergeCell ref="C102:F102"/>
    <mergeCell ref="C91:F91"/>
    <mergeCell ref="C92:F92"/>
    <mergeCell ref="C93:F93"/>
    <mergeCell ref="B68:F68"/>
    <mergeCell ref="B69:F69"/>
    <mergeCell ref="C79:F79"/>
    <mergeCell ref="C80:F80"/>
    <mergeCell ref="B66:F66"/>
    <mergeCell ref="B67:F67"/>
    <mergeCell ref="B73:F73"/>
    <mergeCell ref="B78:F78"/>
    <mergeCell ref="B70:F71"/>
    <mergeCell ref="B75:F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5FE2A-45E1-493C-BD20-63C937B55BFE}">
  <dimension ref="B2:O132"/>
  <sheetViews>
    <sheetView showGridLines="0" topLeftCell="A49" zoomScale="80" zoomScaleNormal="80" workbookViewId="0">
      <selection activeCell="C73" sqref="C73:H73"/>
    </sheetView>
  </sheetViews>
  <sheetFormatPr defaultRowHeight="14.25" outlineLevelRow="1" x14ac:dyDescent="0.25"/>
  <cols>
    <col min="1" max="1" width="4.7109375" style="2" customWidth="1"/>
    <col min="2" max="2" width="33.28515625" style="2" customWidth="1"/>
    <col min="3" max="29" width="12.7109375" style="2" customWidth="1"/>
    <col min="30" max="16384" width="9.140625" style="2"/>
  </cols>
  <sheetData>
    <row r="2" spans="2:15" x14ac:dyDescent="0.25">
      <c r="B2" s="163" t="s">
        <v>48</v>
      </c>
      <c r="C2" s="163"/>
      <c r="D2" s="163"/>
      <c r="E2" s="163"/>
      <c r="F2" s="163"/>
      <c r="G2" s="163"/>
      <c r="H2" s="163"/>
      <c r="I2" s="163"/>
      <c r="J2" s="163"/>
      <c r="K2" s="163"/>
      <c r="L2" s="163"/>
      <c r="M2" s="163"/>
      <c r="N2" s="163"/>
      <c r="O2" s="163"/>
    </row>
    <row r="4" spans="2:15" ht="15" x14ac:dyDescent="0.25">
      <c r="B4" s="3" t="s">
        <v>47</v>
      </c>
      <c r="C4" s="173" t="s">
        <v>366</v>
      </c>
      <c r="D4" s="174"/>
      <c r="E4"/>
      <c r="F4" s="171" t="s">
        <v>51</v>
      </c>
      <c r="G4" s="172"/>
      <c r="H4" s="51">
        <f>IF(Scope="Full Network",SUM(HLD[Covered Homes]),IF(Scope="Selected Sites",SUMIF(HLD[Analysis Flag],"Y",HLD[Covered Homes])))</f>
        <v>1350</v>
      </c>
      <c r="K4"/>
      <c r="L4"/>
      <c r="M4"/>
    </row>
    <row r="5" spans="2:15" ht="15" x14ac:dyDescent="0.25">
      <c r="B5" s="3"/>
      <c r="C5"/>
      <c r="D5"/>
      <c r="E5"/>
      <c r="F5" s="171" t="s">
        <v>73</v>
      </c>
      <c r="G5" s="172"/>
      <c r="H5" s="51">
        <f>IF(Scope="Full Network",SUM(HLD[Priority Targets Covered]),IF(Scope="Selected Sites",SUMIF(HLD[Analysis Flag],"Y",HLD[Priority Targets Covered])))</f>
        <v>6</v>
      </c>
      <c r="K5"/>
      <c r="L5"/>
      <c r="M5"/>
    </row>
    <row r="6" spans="2:15" ht="15" x14ac:dyDescent="0.25">
      <c r="B6" s="3"/>
      <c r="C6"/>
      <c r="D6"/>
      <c r="E6"/>
      <c r="F6" s="100" t="s">
        <v>235</v>
      </c>
      <c r="G6" s="135"/>
      <c r="H6" s="136">
        <f>COUNTIFS(HLD[Analysis Flag],"Y")</f>
        <v>9</v>
      </c>
      <c r="K6"/>
      <c r="L6"/>
      <c r="M6"/>
    </row>
    <row r="7" spans="2:15" ht="15" x14ac:dyDescent="0.25">
      <c r="B7"/>
      <c r="C7"/>
      <c r="D7"/>
      <c r="E7"/>
      <c r="F7" s="4"/>
      <c r="G7" s="4"/>
      <c r="H7" s="4"/>
      <c r="K7"/>
      <c r="L7"/>
      <c r="M7"/>
    </row>
    <row r="8" spans="2:15" ht="15" x14ac:dyDescent="0.25">
      <c r="B8" s="6" t="s">
        <v>44</v>
      </c>
      <c r="C8" s="173" t="s">
        <v>177</v>
      </c>
      <c r="D8" s="174"/>
      <c r="E8"/>
      <c r="F8" s="169" t="s">
        <v>74</v>
      </c>
      <c r="G8" s="169"/>
      <c r="H8" s="169"/>
      <c r="K8"/>
      <c r="L8"/>
      <c r="M8"/>
    </row>
    <row r="9" spans="2:15" ht="15" x14ac:dyDescent="0.25">
      <c r="B9" s="6" t="s">
        <v>52</v>
      </c>
      <c r="C9" s="173" t="s">
        <v>178</v>
      </c>
      <c r="D9" s="174"/>
      <c r="E9"/>
      <c r="F9" s="167" t="s">
        <v>109</v>
      </c>
      <c r="G9" s="167"/>
      <c r="H9" s="50">
        <f>COUNTIFS(HLD[Analysis Flag],"Y",HLD[RAN Configuration],"RAN Config 1")</f>
        <v>8</v>
      </c>
    </row>
    <row r="10" spans="2:15" ht="15" x14ac:dyDescent="0.25">
      <c r="B10" s="6" t="s">
        <v>122</v>
      </c>
      <c r="C10" s="173" t="s">
        <v>179</v>
      </c>
      <c r="D10" s="174"/>
      <c r="E10"/>
      <c r="F10" s="168" t="s">
        <v>110</v>
      </c>
      <c r="G10" s="168"/>
      <c r="H10" s="51">
        <f>COUNTIFS(HLD[Analysis Flag],"Y",HLD[RAN Configuration],"RAN Config 2")</f>
        <v>1</v>
      </c>
    </row>
    <row r="11" spans="2:15" ht="15" x14ac:dyDescent="0.25">
      <c r="B11" s="6" t="s">
        <v>124</v>
      </c>
      <c r="C11" s="173" t="s">
        <v>179</v>
      </c>
      <c r="D11" s="174"/>
      <c r="E11"/>
      <c r="F11" s="168" t="s">
        <v>111</v>
      </c>
      <c r="G11" s="168"/>
      <c r="H11" s="51">
        <f>COUNTIFS(HLD[Analysis Flag],"Y",HLD[RAN Configuration],"RAN Config 3")</f>
        <v>0</v>
      </c>
    </row>
    <row r="12" spans="2:15" ht="15" x14ac:dyDescent="0.25">
      <c r="B12" s="6" t="s">
        <v>159</v>
      </c>
      <c r="C12" s="175">
        <v>0</v>
      </c>
      <c r="D12" s="176"/>
      <c r="E12"/>
      <c r="F12"/>
      <c r="G12"/>
      <c r="H12"/>
    </row>
    <row r="13" spans="2:15" x14ac:dyDescent="0.25">
      <c r="B13" s="5"/>
      <c r="C13" s="5"/>
      <c r="D13" s="5"/>
      <c r="E13" s="5"/>
      <c r="F13" s="170" t="s">
        <v>75</v>
      </c>
      <c r="G13" s="170"/>
      <c r="H13" s="170"/>
    </row>
    <row r="14" spans="2:15" x14ac:dyDescent="0.25">
      <c r="B14" s="5"/>
      <c r="C14" s="5"/>
      <c r="D14" s="5"/>
      <c r="E14" s="5"/>
      <c r="F14" s="164" t="s">
        <v>238</v>
      </c>
      <c r="G14" s="164"/>
      <c r="H14" s="50" cm="1">
        <f t="array" ref="H14">SUMPRODUCT(--(HLD[Analysis Flag]="Y"),--(HLD[Backhaul Type]=F14))</f>
        <v>8</v>
      </c>
    </row>
    <row r="15" spans="2:15" x14ac:dyDescent="0.25">
      <c r="B15" s="5"/>
      <c r="C15" s="5"/>
      <c r="D15" s="5"/>
      <c r="E15" s="5"/>
      <c r="F15" s="161" t="s">
        <v>77</v>
      </c>
      <c r="G15" s="165"/>
      <c r="H15" s="50" cm="1">
        <f t="array" ref="H15">SUMPRODUCT(--(HLD[Analysis Flag]="Y"),--(HLD[Backhaul Type]=F15))</f>
        <v>1</v>
      </c>
    </row>
    <row r="16" spans="2:15" x14ac:dyDescent="0.25">
      <c r="B16" s="5"/>
      <c r="C16" s="5"/>
      <c r="D16" s="5"/>
      <c r="E16" s="5"/>
      <c r="F16" s="166" t="s">
        <v>76</v>
      </c>
      <c r="G16" s="166"/>
      <c r="H16" s="50" cm="1">
        <f t="array" ref="H16">SUMPRODUCT(--(HLD[Analysis Flag]="Y"),--(HLD[Backhaul Type]=F16))</f>
        <v>0</v>
      </c>
    </row>
    <row r="17" spans="2:15" x14ac:dyDescent="0.25">
      <c r="B17" s="5"/>
      <c r="C17" s="5"/>
    </row>
    <row r="18" spans="2:15" x14ac:dyDescent="0.25">
      <c r="B18" s="5"/>
      <c r="C18" s="5"/>
      <c r="F18" s="170" t="s">
        <v>152</v>
      </c>
      <c r="G18" s="170"/>
      <c r="H18" s="170"/>
    </row>
    <row r="19" spans="2:15" x14ac:dyDescent="0.25">
      <c r="B19" s="5"/>
      <c r="C19" s="5"/>
      <c r="F19" s="167" t="s">
        <v>153</v>
      </c>
      <c r="G19" s="167"/>
      <c r="H19" s="50">
        <f>COUNTIFS(HLD[Analysis Flag],"Y",HLD[Site Type],F19)</f>
        <v>9</v>
      </c>
    </row>
    <row r="20" spans="2:15" x14ac:dyDescent="0.25">
      <c r="B20" s="5"/>
      <c r="C20" s="5"/>
      <c r="F20" s="168" t="s">
        <v>154</v>
      </c>
      <c r="G20" s="168"/>
      <c r="H20" s="50">
        <f>COUNTIFS(HLD[Analysis Flag],"Y",HLD[Site Type],F20)</f>
        <v>0</v>
      </c>
    </row>
    <row r="21" spans="2:15" x14ac:dyDescent="0.25">
      <c r="B21" s="5"/>
      <c r="C21" s="5"/>
      <c r="F21" s="168" t="s">
        <v>148</v>
      </c>
      <c r="G21" s="168"/>
      <c r="H21" s="50">
        <f>COUNTIFS(HLD[Analysis Flag],"Y",HLD[Site Type],F21)</f>
        <v>0</v>
      </c>
    </row>
    <row r="22" spans="2:15" x14ac:dyDescent="0.25">
      <c r="B22" s="5"/>
      <c r="C22" s="5"/>
    </row>
    <row r="23" spans="2:15" x14ac:dyDescent="0.25">
      <c r="B23" s="5"/>
      <c r="C23" s="5"/>
    </row>
    <row r="24" spans="2:15" x14ac:dyDescent="0.25">
      <c r="B24" s="5"/>
      <c r="C24" s="5"/>
    </row>
    <row r="25" spans="2:15" ht="15" x14ac:dyDescent="0.25">
      <c r="B25" s="5"/>
      <c r="C25" s="5"/>
      <c r="D25" s="5"/>
      <c r="E25" s="5"/>
      <c r="F25" s="5"/>
      <c r="G25" s="89"/>
      <c r="H25"/>
      <c r="I25"/>
    </row>
    <row r="26" spans="2:15" x14ac:dyDescent="0.25">
      <c r="B26" s="5"/>
      <c r="C26" s="5"/>
      <c r="D26" s="5"/>
      <c r="E26" s="5"/>
      <c r="F26" s="5"/>
    </row>
    <row r="27" spans="2:15" x14ac:dyDescent="0.25">
      <c r="B27" s="163" t="s">
        <v>45</v>
      </c>
      <c r="C27" s="163"/>
      <c r="D27" s="163"/>
      <c r="E27" s="163"/>
      <c r="F27" s="163"/>
      <c r="G27" s="163"/>
      <c r="H27" s="163"/>
      <c r="I27" s="163"/>
      <c r="J27" s="163"/>
      <c r="K27" s="163"/>
      <c r="L27" s="163"/>
      <c r="M27" s="163"/>
      <c r="N27" s="163"/>
      <c r="O27" s="163"/>
    </row>
    <row r="29" spans="2:15" x14ac:dyDescent="0.25">
      <c r="B29" s="7" t="s">
        <v>254</v>
      </c>
      <c r="C29" s="8"/>
      <c r="D29" s="8"/>
      <c r="E29" s="8"/>
      <c r="F29" s="8"/>
      <c r="G29" s="8"/>
      <c r="H29" s="8"/>
      <c r="I29" s="8"/>
      <c r="J29" s="8"/>
      <c r="K29" s="8"/>
      <c r="L29" s="8"/>
      <c r="M29" s="8"/>
      <c r="N29" s="8"/>
      <c r="O29" s="8"/>
    </row>
    <row r="31" spans="2:15" x14ac:dyDescent="0.25">
      <c r="B31" s="9" t="s">
        <v>49</v>
      </c>
      <c r="C31" s="177">
        <v>0.25</v>
      </c>
      <c r="D31" s="173"/>
      <c r="E31" s="174"/>
    </row>
    <row r="32" spans="2:15" x14ac:dyDescent="0.25">
      <c r="B32" s="9" t="s">
        <v>50</v>
      </c>
      <c r="C32" s="177">
        <v>0.05</v>
      </c>
      <c r="D32" s="173"/>
      <c r="E32" s="174"/>
    </row>
    <row r="33" spans="2:5" x14ac:dyDescent="0.25">
      <c r="B33" s="9" t="s">
        <v>59</v>
      </c>
      <c r="C33" s="178">
        <v>10</v>
      </c>
      <c r="D33" s="175"/>
      <c r="E33" s="176"/>
    </row>
    <row r="34" spans="2:5" x14ac:dyDescent="0.25">
      <c r="B34" s="9" t="s">
        <v>104</v>
      </c>
      <c r="C34" s="177">
        <v>0.5</v>
      </c>
      <c r="D34" s="173"/>
      <c r="E34" s="174"/>
    </row>
    <row r="56" spans="2:15" x14ac:dyDescent="0.25">
      <c r="B56" s="7" t="s">
        <v>253</v>
      </c>
      <c r="C56" s="8"/>
      <c r="D56" s="8"/>
      <c r="E56" s="8"/>
      <c r="F56" s="8"/>
      <c r="G56" s="8"/>
      <c r="H56" s="8"/>
      <c r="I56" s="8"/>
      <c r="J56" s="8"/>
      <c r="K56" s="8"/>
      <c r="L56" s="8"/>
      <c r="M56" s="8"/>
      <c r="N56" s="8"/>
      <c r="O56" s="8"/>
    </row>
    <row r="58" spans="2:15" x14ac:dyDescent="0.25">
      <c r="C58" s="10">
        <v>2020</v>
      </c>
      <c r="D58" s="10">
        <v>2021</v>
      </c>
      <c r="E58" s="10">
        <v>2022</v>
      </c>
      <c r="F58" s="10">
        <v>2023</v>
      </c>
      <c r="G58" s="10">
        <v>2024</v>
      </c>
      <c r="H58" s="10">
        <v>2025</v>
      </c>
    </row>
    <row r="59" spans="2:15" ht="15" thickBot="1" x14ac:dyDescent="0.3">
      <c r="B59" s="16" t="s">
        <v>46</v>
      </c>
      <c r="C59" s="15"/>
      <c r="D59" s="15"/>
      <c r="E59" s="15"/>
      <c r="F59" s="15"/>
      <c r="G59" s="15"/>
      <c r="H59" s="15"/>
    </row>
    <row r="60" spans="2:15" x14ac:dyDescent="0.25">
      <c r="B60" s="13" t="s">
        <v>54</v>
      </c>
      <c r="C60" s="14">
        <v>30</v>
      </c>
      <c r="D60" s="14">
        <v>30</v>
      </c>
      <c r="E60" s="14">
        <v>30</v>
      </c>
      <c r="F60" s="14">
        <v>30</v>
      </c>
      <c r="G60" s="14">
        <v>30</v>
      </c>
      <c r="H60" s="14">
        <v>30</v>
      </c>
    </row>
    <row r="61" spans="2:15" x14ac:dyDescent="0.25">
      <c r="B61" s="13" t="s">
        <v>55</v>
      </c>
      <c r="C61" s="1">
        <v>40</v>
      </c>
      <c r="D61" s="1">
        <v>40</v>
      </c>
      <c r="E61" s="1">
        <v>40</v>
      </c>
      <c r="F61" s="1">
        <v>40</v>
      </c>
      <c r="G61" s="1">
        <v>40</v>
      </c>
      <c r="H61" s="1">
        <v>40</v>
      </c>
    </row>
    <row r="62" spans="2:15" x14ac:dyDescent="0.25">
      <c r="B62" s="13" t="s">
        <v>57</v>
      </c>
      <c r="C62" s="1">
        <v>55</v>
      </c>
      <c r="D62" s="1">
        <v>55</v>
      </c>
      <c r="E62" s="1">
        <v>55</v>
      </c>
      <c r="F62" s="1">
        <v>55</v>
      </c>
      <c r="G62" s="1">
        <v>55</v>
      </c>
      <c r="H62" s="1">
        <v>55</v>
      </c>
    </row>
    <row r="63" spans="2:15" x14ac:dyDescent="0.25">
      <c r="B63" s="13" t="s">
        <v>56</v>
      </c>
      <c r="C63" s="1">
        <v>10</v>
      </c>
      <c r="D63" s="1">
        <v>10</v>
      </c>
      <c r="E63" s="1">
        <v>10</v>
      </c>
      <c r="F63" s="1">
        <v>10</v>
      </c>
      <c r="G63" s="1">
        <v>10</v>
      </c>
      <c r="H63" s="1">
        <v>10</v>
      </c>
    </row>
    <row r="65" spans="2:9" ht="15" thickBot="1" x14ac:dyDescent="0.3">
      <c r="B65" s="16" t="s">
        <v>71</v>
      </c>
      <c r="C65" s="15"/>
      <c r="D65" s="15"/>
      <c r="E65" s="15"/>
      <c r="F65" s="15"/>
      <c r="G65" s="15"/>
      <c r="H65" s="15"/>
    </row>
    <row r="66" spans="2:9" x14ac:dyDescent="0.25">
      <c r="B66" s="17" t="s">
        <v>54</v>
      </c>
      <c r="C66" s="56">
        <v>0.1</v>
      </c>
      <c r="D66" s="56">
        <v>0.3</v>
      </c>
      <c r="E66" s="56">
        <v>0.45</v>
      </c>
      <c r="F66" s="56">
        <v>0.55000000000000004</v>
      </c>
      <c r="G66" s="56">
        <v>0.65</v>
      </c>
      <c r="H66" s="56">
        <v>0.65</v>
      </c>
    </row>
    <row r="67" spans="2:9" x14ac:dyDescent="0.25">
      <c r="B67" s="17" t="s">
        <v>55</v>
      </c>
      <c r="C67" s="56">
        <v>0.03</v>
      </c>
      <c r="D67" s="56">
        <v>0.05</v>
      </c>
      <c r="E67" s="56">
        <v>0.1</v>
      </c>
      <c r="F67" s="56">
        <v>0.15</v>
      </c>
      <c r="G67" s="56">
        <v>0.15</v>
      </c>
      <c r="H67" s="56">
        <v>0.15</v>
      </c>
    </row>
    <row r="68" spans="2:9" x14ac:dyDescent="0.25">
      <c r="B68" s="60" t="s">
        <v>187</v>
      </c>
      <c r="C68" s="61">
        <f>SUM(C66:C67)</f>
        <v>0.13</v>
      </c>
      <c r="D68" s="61">
        <f t="shared" ref="D68:H68" si="0">SUM(D66:D67)</f>
        <v>0.35</v>
      </c>
      <c r="E68" s="61">
        <f t="shared" si="0"/>
        <v>0.55000000000000004</v>
      </c>
      <c r="F68" s="61">
        <f t="shared" si="0"/>
        <v>0.70000000000000007</v>
      </c>
      <c r="G68" s="61">
        <f t="shared" si="0"/>
        <v>0.8</v>
      </c>
      <c r="H68" s="61">
        <f t="shared" si="0"/>
        <v>0.8</v>
      </c>
    </row>
    <row r="70" spans="2:9" ht="15" thickBot="1" x14ac:dyDescent="0.3">
      <c r="B70" s="16" t="s">
        <v>100</v>
      </c>
      <c r="C70" s="15"/>
      <c r="D70" s="15"/>
      <c r="E70" s="15"/>
      <c r="F70" s="15"/>
      <c r="G70" s="15"/>
      <c r="H70" s="15"/>
    </row>
    <row r="71" spans="2:9" x14ac:dyDescent="0.25">
      <c r="B71" s="17" t="s">
        <v>54</v>
      </c>
      <c r="C71" s="19">
        <f t="shared" ref="C71:H72" si="1">ROUNDUP(C66*Covered_Homes,0)</f>
        <v>135</v>
      </c>
      <c r="D71" s="19">
        <f t="shared" si="1"/>
        <v>405</v>
      </c>
      <c r="E71" s="19">
        <f t="shared" si="1"/>
        <v>608</v>
      </c>
      <c r="F71" s="19">
        <f t="shared" si="1"/>
        <v>743</v>
      </c>
      <c r="G71" s="19">
        <f t="shared" si="1"/>
        <v>878</v>
      </c>
      <c r="H71" s="19">
        <f t="shared" si="1"/>
        <v>878</v>
      </c>
    </row>
    <row r="72" spans="2:9" x14ac:dyDescent="0.25">
      <c r="B72" s="17" t="s">
        <v>55</v>
      </c>
      <c r="C72" s="19">
        <f t="shared" si="1"/>
        <v>41</v>
      </c>
      <c r="D72" s="19">
        <f t="shared" si="1"/>
        <v>68</v>
      </c>
      <c r="E72" s="19">
        <f t="shared" si="1"/>
        <v>135</v>
      </c>
      <c r="F72" s="19">
        <f t="shared" si="1"/>
        <v>203</v>
      </c>
      <c r="G72" s="19">
        <f t="shared" si="1"/>
        <v>203</v>
      </c>
      <c r="H72" s="19">
        <f t="shared" si="1"/>
        <v>203</v>
      </c>
    </row>
    <row r="73" spans="2:9" ht="15" thickBot="1" x14ac:dyDescent="0.3">
      <c r="B73" s="17" t="s">
        <v>57</v>
      </c>
      <c r="C73" s="59">
        <f t="shared" ref="C73:H73" si="2">Targets_Covered</f>
        <v>6</v>
      </c>
      <c r="D73" s="59">
        <f t="shared" si="2"/>
        <v>6</v>
      </c>
      <c r="E73" s="59">
        <f t="shared" si="2"/>
        <v>6</v>
      </c>
      <c r="F73" s="59">
        <f t="shared" si="2"/>
        <v>6</v>
      </c>
      <c r="G73" s="59">
        <f t="shared" si="2"/>
        <v>6</v>
      </c>
      <c r="H73" s="59">
        <f t="shared" si="2"/>
        <v>6</v>
      </c>
    </row>
    <row r="74" spans="2:9" ht="15" thickTop="1" x14ac:dyDescent="0.25">
      <c r="B74" s="55" t="s">
        <v>201</v>
      </c>
      <c r="C74" s="54">
        <f t="shared" ref="C74:H74" si="3">C71+C72+C73</f>
        <v>182</v>
      </c>
      <c r="D74" s="54">
        <f t="shared" si="3"/>
        <v>479</v>
      </c>
      <c r="E74" s="54">
        <f t="shared" si="3"/>
        <v>749</v>
      </c>
      <c r="F74" s="54">
        <f t="shared" si="3"/>
        <v>952</v>
      </c>
      <c r="G74" s="54">
        <f t="shared" si="3"/>
        <v>1087</v>
      </c>
      <c r="H74" s="54">
        <f t="shared" si="3"/>
        <v>1087</v>
      </c>
    </row>
    <row r="75" spans="2:9" ht="15" x14ac:dyDescent="0.25">
      <c r="B75"/>
      <c r="C75"/>
      <c r="D75"/>
      <c r="E75"/>
      <c r="F75"/>
      <c r="G75"/>
      <c r="H75"/>
      <c r="I75"/>
    </row>
    <row r="76" spans="2:9" x14ac:dyDescent="0.25">
      <c r="B76" s="17" t="s">
        <v>200</v>
      </c>
      <c r="C76" s="52">
        <v>20</v>
      </c>
      <c r="D76" s="52">
        <v>70</v>
      </c>
      <c r="E76" s="52">
        <v>120</v>
      </c>
      <c r="F76" s="52">
        <v>200</v>
      </c>
      <c r="G76" s="52">
        <v>200</v>
      </c>
      <c r="H76" s="52">
        <v>200</v>
      </c>
    </row>
    <row r="78" spans="2:9" x14ac:dyDescent="0.25">
      <c r="B78" s="60" t="s">
        <v>189</v>
      </c>
      <c r="C78" s="54">
        <f>C74+C76</f>
        <v>202</v>
      </c>
      <c r="D78" s="54">
        <f t="shared" ref="D78:H78" si="4">D74+D76</f>
        <v>549</v>
      </c>
      <c r="E78" s="54">
        <f t="shared" si="4"/>
        <v>869</v>
      </c>
      <c r="F78" s="54">
        <f t="shared" si="4"/>
        <v>1152</v>
      </c>
      <c r="G78" s="54">
        <f t="shared" si="4"/>
        <v>1287</v>
      </c>
      <c r="H78" s="54">
        <f t="shared" si="4"/>
        <v>1287</v>
      </c>
    </row>
    <row r="81" spans="2:15" x14ac:dyDescent="0.25">
      <c r="B81" s="7" t="s">
        <v>72</v>
      </c>
      <c r="C81" s="8"/>
      <c r="D81" s="8"/>
      <c r="E81" s="8"/>
      <c r="F81" s="8"/>
      <c r="G81" s="8"/>
      <c r="H81" s="8"/>
      <c r="I81" s="8"/>
      <c r="J81" s="8"/>
      <c r="K81" s="8"/>
      <c r="L81" s="8"/>
      <c r="M81" s="8"/>
      <c r="N81" s="8"/>
      <c r="O81" s="8"/>
    </row>
    <row r="82" spans="2:15" x14ac:dyDescent="0.25">
      <c r="B82" s="11"/>
    </row>
    <row r="83" spans="2:15" ht="15" thickBot="1" x14ac:dyDescent="0.3">
      <c r="B83" s="22" t="s">
        <v>70</v>
      </c>
      <c r="C83" s="23">
        <v>2020</v>
      </c>
      <c r="D83" s="23">
        <v>2021</v>
      </c>
      <c r="E83" s="23">
        <v>2022</v>
      </c>
      <c r="F83" s="23">
        <v>2023</v>
      </c>
      <c r="G83" s="23">
        <v>2024</v>
      </c>
      <c r="H83" s="23">
        <v>2025</v>
      </c>
    </row>
    <row r="84" spans="2:15" x14ac:dyDescent="0.25">
      <c r="C84" s="10"/>
      <c r="D84" s="10"/>
      <c r="E84" s="10"/>
      <c r="F84" s="10"/>
      <c r="G84" s="10"/>
      <c r="H84" s="10"/>
    </row>
    <row r="85" spans="2:15" x14ac:dyDescent="0.25">
      <c r="B85" s="21" t="s">
        <v>53</v>
      </c>
      <c r="C85" s="58">
        <f>SUM(C86:C89)</f>
        <v>74640</v>
      </c>
      <c r="D85" s="58">
        <f t="shared" ref="D85:H85" si="5">SUM(D86:D89)</f>
        <v>190800</v>
      </c>
      <c r="E85" s="58">
        <f t="shared" si="5"/>
        <v>302040</v>
      </c>
      <c r="F85" s="58">
        <f t="shared" si="5"/>
        <v>392880</v>
      </c>
      <c r="G85" s="58">
        <f t="shared" si="5"/>
        <v>441480</v>
      </c>
      <c r="H85" s="58">
        <f t="shared" si="5"/>
        <v>441480</v>
      </c>
    </row>
    <row r="86" spans="2:15" outlineLevel="1" x14ac:dyDescent="0.25">
      <c r="B86" s="20" t="s">
        <v>54</v>
      </c>
      <c r="C86" s="57">
        <f t="shared" ref="C86:H88" si="6">C71*C60*12</f>
        <v>48600</v>
      </c>
      <c r="D86" s="57">
        <f t="shared" si="6"/>
        <v>145800</v>
      </c>
      <c r="E86" s="57">
        <f t="shared" si="6"/>
        <v>218880</v>
      </c>
      <c r="F86" s="57">
        <f t="shared" si="6"/>
        <v>267480</v>
      </c>
      <c r="G86" s="57">
        <f t="shared" si="6"/>
        <v>316080</v>
      </c>
      <c r="H86" s="57">
        <f t="shared" si="6"/>
        <v>316080</v>
      </c>
    </row>
    <row r="87" spans="2:15" outlineLevel="1" x14ac:dyDescent="0.25">
      <c r="B87" s="20" t="s">
        <v>55</v>
      </c>
      <c r="C87" s="57">
        <f t="shared" si="6"/>
        <v>19680</v>
      </c>
      <c r="D87" s="57">
        <f t="shared" si="6"/>
        <v>32640</v>
      </c>
      <c r="E87" s="57">
        <f t="shared" si="6"/>
        <v>64800</v>
      </c>
      <c r="F87" s="57">
        <f t="shared" si="6"/>
        <v>97440</v>
      </c>
      <c r="G87" s="57">
        <f t="shared" si="6"/>
        <v>97440</v>
      </c>
      <c r="H87" s="57">
        <f t="shared" si="6"/>
        <v>97440</v>
      </c>
    </row>
    <row r="88" spans="2:15" outlineLevel="1" x14ac:dyDescent="0.25">
      <c r="B88" s="20" t="s">
        <v>57</v>
      </c>
      <c r="C88" s="57">
        <f t="shared" si="6"/>
        <v>3960</v>
      </c>
      <c r="D88" s="57">
        <f t="shared" si="6"/>
        <v>3960</v>
      </c>
      <c r="E88" s="57">
        <f t="shared" si="6"/>
        <v>3960</v>
      </c>
      <c r="F88" s="57">
        <f t="shared" si="6"/>
        <v>3960</v>
      </c>
      <c r="G88" s="57">
        <f t="shared" si="6"/>
        <v>3960</v>
      </c>
      <c r="H88" s="57">
        <f t="shared" si="6"/>
        <v>3960</v>
      </c>
    </row>
    <row r="89" spans="2:15" outlineLevel="1" x14ac:dyDescent="0.25">
      <c r="B89" s="20" t="s">
        <v>56</v>
      </c>
      <c r="C89" s="57">
        <f>C76*C63*12</f>
        <v>2400</v>
      </c>
      <c r="D89" s="57">
        <f t="shared" ref="D89:H89" si="7">D76*D63*12</f>
        <v>8400</v>
      </c>
      <c r="E89" s="57">
        <f t="shared" si="7"/>
        <v>14400</v>
      </c>
      <c r="F89" s="57">
        <f t="shared" si="7"/>
        <v>24000</v>
      </c>
      <c r="G89" s="57">
        <f t="shared" si="7"/>
        <v>24000</v>
      </c>
      <c r="H89" s="57">
        <f t="shared" si="7"/>
        <v>24000</v>
      </c>
    </row>
    <row r="91" spans="2:15" x14ac:dyDescent="0.25">
      <c r="B91" s="21" t="s">
        <v>58</v>
      </c>
      <c r="C91" s="58">
        <f t="shared" ref="C91:H91" si="8">SUM(C92:C99)</f>
        <v>41539.072</v>
      </c>
      <c r="D91" s="58">
        <f t="shared" si="8"/>
        <v>51161.872000000003</v>
      </c>
      <c r="E91" s="58">
        <f t="shared" si="8"/>
        <v>59909.872000000003</v>
      </c>
      <c r="F91" s="58">
        <f t="shared" si="8"/>
        <v>66470.072</v>
      </c>
      <c r="G91" s="58">
        <f t="shared" si="8"/>
        <v>70844.072</v>
      </c>
      <c r="H91" s="58">
        <f t="shared" si="8"/>
        <v>70844.072</v>
      </c>
    </row>
    <row r="92" spans="2:15" outlineLevel="1" x14ac:dyDescent="0.25">
      <c r="B92" s="20" t="s">
        <v>80</v>
      </c>
      <c r="C92" s="57">
        <f>SUMIF(OPEX!$C:$C,Dashboard!$B92,OPEX!M:M)</f>
        <v>12538</v>
      </c>
      <c r="D92" s="57">
        <f>SUMIF(OPEX!$C:$C,Dashboard!$B92,OPEX!N:N)</f>
        <v>17290</v>
      </c>
      <c r="E92" s="57">
        <f>SUMIF(OPEX!$C:$C,Dashboard!$B92,OPEX!O:O)</f>
        <v>21610</v>
      </c>
      <c r="F92" s="57">
        <f>SUMIF(OPEX!$C:$C,Dashboard!$B92,OPEX!P:P)</f>
        <v>24842</v>
      </c>
      <c r="G92" s="57">
        <f>SUMIF(OPEX!$C:$C,Dashboard!$B92,OPEX!Q:Q)</f>
        <v>27002</v>
      </c>
      <c r="H92" s="57">
        <f>SUMIF(OPEX!$C:$C,Dashboard!$B92,OPEX!R:R)</f>
        <v>27002</v>
      </c>
    </row>
    <row r="93" spans="2:15" outlineLevel="1" x14ac:dyDescent="0.25">
      <c r="B93" s="20" t="s">
        <v>155</v>
      </c>
      <c r="C93" s="57">
        <f>SUMIF(OPEX!$C:$C,Dashboard!$B93,OPEX!M:M)</f>
        <v>378</v>
      </c>
      <c r="D93" s="57">
        <f>SUMIF(OPEX!$C:$C,Dashboard!$B93,OPEX!N:N)</f>
        <v>972</v>
      </c>
      <c r="E93" s="57">
        <f>SUMIF(OPEX!$C:$C,Dashboard!$B93,OPEX!O:O)</f>
        <v>1512</v>
      </c>
      <c r="F93" s="57">
        <f>SUMIF(OPEX!$C:$C,Dashboard!$B93,OPEX!P:P)</f>
        <v>1917</v>
      </c>
      <c r="G93" s="57">
        <f>SUMIF(OPEX!$C:$C,Dashboard!$B93,OPEX!Q:Q)</f>
        <v>2187</v>
      </c>
      <c r="H93" s="57">
        <f>SUMIF(OPEX!$C:$C,Dashboard!$B93,OPEX!R:R)</f>
        <v>2187</v>
      </c>
    </row>
    <row r="94" spans="2:15" outlineLevel="1" x14ac:dyDescent="0.25">
      <c r="B94" s="20" t="s">
        <v>28</v>
      </c>
      <c r="C94" s="57">
        <f>SUMIF(OPEX!$C:$C,Dashboard!$B94,OPEX!M:M)</f>
        <v>0</v>
      </c>
      <c r="D94" s="57">
        <f>SUMIF(OPEX!$C:$C,Dashboard!$B94,OPEX!N:N)</f>
        <v>0</v>
      </c>
      <c r="E94" s="57">
        <f>SUMIF(OPEX!$C:$C,Dashboard!$B94,OPEX!O:O)</f>
        <v>0</v>
      </c>
      <c r="F94" s="57">
        <f>SUMIF(OPEX!$C:$C,Dashboard!$B94,OPEX!P:P)</f>
        <v>0</v>
      </c>
      <c r="G94" s="57">
        <f>SUMIF(OPEX!$C:$C,Dashboard!$B94,OPEX!Q:Q)</f>
        <v>0</v>
      </c>
      <c r="H94" s="57">
        <f>SUMIF(OPEX!$C:$C,Dashboard!$B94,OPEX!R:R)</f>
        <v>0</v>
      </c>
    </row>
    <row r="95" spans="2:15" outlineLevel="1" x14ac:dyDescent="0.25">
      <c r="B95" s="20" t="s">
        <v>23</v>
      </c>
      <c r="C95" s="57">
        <f>SUMIF(OPEX!$C:$C,Dashboard!$B95,OPEX!M:M)</f>
        <v>18960</v>
      </c>
      <c r="D95" s="57">
        <f>SUMIF(OPEX!$C:$C,Dashboard!$B95,OPEX!N:N)</f>
        <v>18960</v>
      </c>
      <c r="E95" s="57">
        <f>SUMIF(OPEX!$C:$C,Dashboard!$B95,OPEX!O:O)</f>
        <v>18960</v>
      </c>
      <c r="F95" s="57">
        <f>SUMIF(OPEX!$C:$C,Dashboard!$B95,OPEX!P:P)</f>
        <v>18960</v>
      </c>
      <c r="G95" s="57">
        <f>SUMIF(OPEX!$C:$C,Dashboard!$B95,OPEX!Q:Q)</f>
        <v>18960</v>
      </c>
      <c r="H95" s="57">
        <f>SUMIF(OPEX!$C:$C,Dashboard!$B95,OPEX!R:R)</f>
        <v>18960</v>
      </c>
    </row>
    <row r="96" spans="2:15" outlineLevel="1" x14ac:dyDescent="0.25">
      <c r="B96" s="20" t="s">
        <v>14</v>
      </c>
      <c r="C96" s="57">
        <f>SUMIF(OPEX!$C:$C,Dashboard!$B96,OPEX!M:M)</f>
        <v>851.47199999999998</v>
      </c>
      <c r="D96" s="57">
        <f>SUMIF(OPEX!$C:$C,Dashboard!$B96,OPEX!N:N)</f>
        <v>851.47199999999998</v>
      </c>
      <c r="E96" s="57">
        <f>SUMIF(OPEX!$C:$C,Dashboard!$B96,OPEX!O:O)</f>
        <v>851.47199999999998</v>
      </c>
      <c r="F96" s="57">
        <f>SUMIF(OPEX!$C:$C,Dashboard!$B96,OPEX!P:P)</f>
        <v>851.47199999999998</v>
      </c>
      <c r="G96" s="57">
        <f>SUMIF(OPEX!$C:$C,Dashboard!$B96,OPEX!Q:Q)</f>
        <v>851.47199999999998</v>
      </c>
      <c r="H96" s="57">
        <f>SUMIF(OPEX!$C:$C,Dashboard!$B96,OPEX!R:R)</f>
        <v>851.47199999999998</v>
      </c>
    </row>
    <row r="97" spans="2:8" outlineLevel="1" x14ac:dyDescent="0.25">
      <c r="B97" s="20" t="s">
        <v>16</v>
      </c>
      <c r="C97" s="57">
        <f>SUMIF(OPEX!$C:$C,Dashboard!$B97,OPEX!M:M)</f>
        <v>4800</v>
      </c>
      <c r="D97" s="57">
        <f>SUMIF(OPEX!$C:$C,Dashboard!$B97,OPEX!N:N)</f>
        <v>4800</v>
      </c>
      <c r="E97" s="57">
        <f>SUMIF(OPEX!$C:$C,Dashboard!$B97,OPEX!O:O)</f>
        <v>4800</v>
      </c>
      <c r="F97" s="57">
        <f>SUMIF(OPEX!$C:$C,Dashboard!$B97,OPEX!P:P)</f>
        <v>4800</v>
      </c>
      <c r="G97" s="57">
        <f>SUMIF(OPEX!$C:$C,Dashboard!$B97,OPEX!Q:Q)</f>
        <v>4800</v>
      </c>
      <c r="H97" s="57">
        <f>SUMIF(OPEX!$C:$C,Dashboard!$B97,OPEX!R:R)</f>
        <v>4800</v>
      </c>
    </row>
    <row r="98" spans="2:8" outlineLevel="1" x14ac:dyDescent="0.25">
      <c r="B98" s="20" t="s">
        <v>38</v>
      </c>
      <c r="C98" s="57">
        <f>SUMIF(OPEX!$C:$C,Dashboard!$B98,OPEX!M:M)</f>
        <v>4011.5999999999995</v>
      </c>
      <c r="D98" s="57">
        <f>SUMIF(OPEX!$C:$C,Dashboard!$B98,OPEX!N:N)</f>
        <v>8288.4</v>
      </c>
      <c r="E98" s="57">
        <f>SUMIF(OPEX!$C:$C,Dashboard!$B98,OPEX!O:O)</f>
        <v>12176.399999999998</v>
      </c>
      <c r="F98" s="57">
        <f>SUMIF(OPEX!$C:$C,Dashboard!$B98,OPEX!P:P)</f>
        <v>15099.599999999999</v>
      </c>
      <c r="G98" s="57">
        <f>SUMIF(OPEX!$C:$C,Dashboard!$B98,OPEX!Q:Q)</f>
        <v>17043.599999999999</v>
      </c>
      <c r="H98" s="57">
        <f>SUMIF(OPEX!$C:$C,Dashboard!$B98,OPEX!R:R)</f>
        <v>17043.599999999999</v>
      </c>
    </row>
    <row r="99" spans="2:8" outlineLevel="1" x14ac:dyDescent="0.25">
      <c r="B99" s="20" t="s">
        <v>15</v>
      </c>
      <c r="C99" s="57">
        <f>SUMIF(OPEX!$C:$C,Dashboard!$B99,OPEX!M:M)</f>
        <v>0</v>
      </c>
      <c r="D99" s="57">
        <f>SUMIF(OPEX!$C:$C,Dashboard!$B99,OPEX!N:N)</f>
        <v>0</v>
      </c>
      <c r="E99" s="57">
        <f>SUMIF(OPEX!$C:$C,Dashboard!$B99,OPEX!O:O)</f>
        <v>0</v>
      </c>
      <c r="F99" s="57">
        <f>SUMIF(OPEX!$C:$C,Dashboard!$B99,OPEX!P:P)</f>
        <v>0</v>
      </c>
      <c r="G99" s="57">
        <f>SUMIF(OPEX!$C:$C,Dashboard!$B99,OPEX!Q:Q)</f>
        <v>0</v>
      </c>
      <c r="H99" s="57">
        <f>SUMIF(OPEX!$C:$C,Dashboard!$B99,OPEX!R:R)</f>
        <v>0</v>
      </c>
    </row>
    <row r="100" spans="2:8" x14ac:dyDescent="0.25">
      <c r="B100" s="20"/>
    </row>
    <row r="101" spans="2:8" x14ac:dyDescent="0.25">
      <c r="B101" s="18" t="s">
        <v>195</v>
      </c>
      <c r="C101" s="57">
        <v>0</v>
      </c>
      <c r="D101" s="57">
        <f>$C$113/Asset_Life</f>
        <v>18750</v>
      </c>
      <c r="E101" s="57">
        <f>$C$113/Asset_Life</f>
        <v>18750</v>
      </c>
      <c r="F101" s="57">
        <f>$C$113/Asset_Life</f>
        <v>18750</v>
      </c>
      <c r="G101" s="57">
        <f>$C$113/Asset_Life</f>
        <v>18750</v>
      </c>
      <c r="H101" s="57">
        <f>$C$113/Asset_Life</f>
        <v>18750</v>
      </c>
    </row>
    <row r="102" spans="2:8" x14ac:dyDescent="0.25">
      <c r="B102" s="20"/>
    </row>
    <row r="103" spans="2:8" x14ac:dyDescent="0.25">
      <c r="B103" s="18" t="s">
        <v>60</v>
      </c>
      <c r="C103" s="57">
        <f t="shared" ref="C103:H103" si="9">C85-C91-C101</f>
        <v>33100.928</v>
      </c>
      <c r="D103" s="57">
        <f t="shared" si="9"/>
        <v>120888.128</v>
      </c>
      <c r="E103" s="57">
        <f t="shared" si="9"/>
        <v>223380.128</v>
      </c>
      <c r="F103" s="57">
        <f t="shared" si="9"/>
        <v>307659.92800000001</v>
      </c>
      <c r="G103" s="57">
        <f t="shared" si="9"/>
        <v>351885.92800000001</v>
      </c>
      <c r="H103" s="57">
        <f t="shared" si="9"/>
        <v>351885.92800000001</v>
      </c>
    </row>
    <row r="104" spans="2:8" x14ac:dyDescent="0.25">
      <c r="B104" s="12"/>
    </row>
    <row r="105" spans="2:8" x14ac:dyDescent="0.25">
      <c r="B105" s="18" t="s">
        <v>61</v>
      </c>
      <c r="C105" s="57">
        <f t="shared" ref="C105:H105" si="10">C103*Tax_Rate</f>
        <v>8275.232</v>
      </c>
      <c r="D105" s="57">
        <f t="shared" si="10"/>
        <v>30222.031999999999</v>
      </c>
      <c r="E105" s="57">
        <f t="shared" si="10"/>
        <v>55845.031999999999</v>
      </c>
      <c r="F105" s="57">
        <f t="shared" si="10"/>
        <v>76914.982000000004</v>
      </c>
      <c r="G105" s="57">
        <f t="shared" si="10"/>
        <v>87971.482000000004</v>
      </c>
      <c r="H105" s="57">
        <f t="shared" si="10"/>
        <v>87971.482000000004</v>
      </c>
    </row>
    <row r="106" spans="2:8" x14ac:dyDescent="0.25">
      <c r="B106" s="12"/>
    </row>
    <row r="107" spans="2:8" x14ac:dyDescent="0.25">
      <c r="B107" s="18" t="s">
        <v>62</v>
      </c>
      <c r="C107" s="57">
        <f>C103-C105</f>
        <v>24825.696</v>
      </c>
      <c r="D107" s="57">
        <f t="shared" ref="D107:H107" si="11">D103-D105</f>
        <v>90666.09599999999</v>
      </c>
      <c r="E107" s="57">
        <f t="shared" si="11"/>
        <v>167535.09599999999</v>
      </c>
      <c r="F107" s="57">
        <f t="shared" si="11"/>
        <v>230744.946</v>
      </c>
      <c r="G107" s="57">
        <f t="shared" si="11"/>
        <v>263914.446</v>
      </c>
      <c r="H107" s="57">
        <f t="shared" si="11"/>
        <v>263914.446</v>
      </c>
    </row>
    <row r="108" spans="2:8" x14ac:dyDescent="0.25">
      <c r="B108" s="12"/>
    </row>
    <row r="109" spans="2:8" ht="15" thickBot="1" x14ac:dyDescent="0.3">
      <c r="B109" s="22" t="s">
        <v>66</v>
      </c>
      <c r="C109" s="23"/>
      <c r="D109" s="23"/>
      <c r="E109" s="23"/>
      <c r="F109" s="23"/>
      <c r="G109" s="23"/>
      <c r="H109" s="23"/>
    </row>
    <row r="110" spans="2:8" x14ac:dyDescent="0.25">
      <c r="B110" s="18"/>
    </row>
    <row r="111" spans="2:8" x14ac:dyDescent="0.25">
      <c r="B111" s="12" t="s">
        <v>63</v>
      </c>
      <c r="C111" s="57">
        <v>0</v>
      </c>
      <c r="D111" s="57">
        <f>SUM($C$113:C113)/Asset_Life</f>
        <v>18750</v>
      </c>
      <c r="E111" s="57">
        <f>SUM($C$113:D113)/Asset_Life</f>
        <v>27585.75</v>
      </c>
      <c r="F111" s="57">
        <f>SUM($C$113:E113)/Asset_Life</f>
        <v>35618.25</v>
      </c>
      <c r="G111" s="57">
        <f>SUM($C$113:F113)/Asset_Life</f>
        <v>41627.75</v>
      </c>
      <c r="H111" s="57">
        <f>SUM($C$113:G113)/Asset_Life</f>
        <v>45644</v>
      </c>
    </row>
    <row r="112" spans="2:8" x14ac:dyDescent="0.25">
      <c r="B112" s="12"/>
    </row>
    <row r="113" spans="2:8" x14ac:dyDescent="0.25">
      <c r="B113" s="18" t="s">
        <v>43</v>
      </c>
      <c r="C113" s="58">
        <f>SUM(C114:C124)</f>
        <v>187500</v>
      </c>
      <c r="D113" s="58">
        <f t="shared" ref="D113:H113" si="12">SUM(D114:D124)</f>
        <v>88357.5</v>
      </c>
      <c r="E113" s="58">
        <f t="shared" si="12"/>
        <v>80325</v>
      </c>
      <c r="F113" s="58">
        <f t="shared" si="12"/>
        <v>60095</v>
      </c>
      <c r="G113" s="58">
        <f t="shared" si="12"/>
        <v>40162.5</v>
      </c>
      <c r="H113" s="58">
        <f t="shared" si="12"/>
        <v>0</v>
      </c>
    </row>
    <row r="114" spans="2:8" outlineLevel="1" x14ac:dyDescent="0.25">
      <c r="B114" s="20" t="s">
        <v>7</v>
      </c>
      <c r="C114" s="57">
        <f>SUMIF(CAPEX!$C:$C,Dashboard!$B114,CAPEX!M:M)</f>
        <v>28210</v>
      </c>
      <c r="D114" s="57">
        <f>SUMIF(CAPEX!$C:$C,Dashboard!$B114,CAPEX!N:N)</f>
        <v>46035</v>
      </c>
      <c r="E114" s="57">
        <f>SUMIF(CAPEX!$C:$C,Dashboard!$B114,CAPEX!O:O)</f>
        <v>41850</v>
      </c>
      <c r="F114" s="57">
        <f>SUMIF(CAPEX!$C:$C,Dashboard!$B114,CAPEX!P:P)</f>
        <v>31310</v>
      </c>
      <c r="G114" s="57">
        <f>SUMIF(CAPEX!$C:$C,Dashboard!$B114,CAPEX!Q:Q)</f>
        <v>20925</v>
      </c>
      <c r="H114" s="57">
        <f>SUMIF(CAPEX!$C:$C,Dashboard!$B114,CAPEX!R:R)</f>
        <v>0</v>
      </c>
    </row>
    <row r="115" spans="2:8" outlineLevel="1" x14ac:dyDescent="0.25">
      <c r="B115" s="20" t="s">
        <v>8</v>
      </c>
      <c r="C115" s="57">
        <f>SUMIF(CAPEX!$C:$C,Dashboard!$B115,CAPEX!M:M)</f>
        <v>46240</v>
      </c>
      <c r="D115" s="57">
        <f>SUMIF(CAPEX!$C:$C,Dashboard!$B115,CAPEX!N:N)</f>
        <v>42322.5</v>
      </c>
      <c r="E115" s="57">
        <f>SUMIF(CAPEX!$C:$C,Dashboard!$B115,CAPEX!O:O)</f>
        <v>38475</v>
      </c>
      <c r="F115" s="57">
        <f>SUMIF(CAPEX!$C:$C,Dashboard!$B115,CAPEX!P:P)</f>
        <v>28785</v>
      </c>
      <c r="G115" s="57">
        <f>SUMIF(CAPEX!$C:$C,Dashboard!$B115,CAPEX!Q:Q)</f>
        <v>19237.5</v>
      </c>
      <c r="H115" s="57">
        <f>SUMIF(CAPEX!$C:$C,Dashboard!$B115,CAPEX!R:R)</f>
        <v>0</v>
      </c>
    </row>
    <row r="116" spans="2:8" outlineLevel="1" x14ac:dyDescent="0.25">
      <c r="B116" s="20" t="s">
        <v>28</v>
      </c>
      <c r="C116" s="57">
        <f>SUMIF(CAPEX!$C:$C,Dashboard!$B116,CAPEX!M:M)</f>
        <v>7900</v>
      </c>
      <c r="D116" s="57">
        <f>SUMIF(CAPEX!$C:$C,Dashboard!$B116,CAPEX!N:N)</f>
        <v>0</v>
      </c>
      <c r="E116" s="57">
        <f>SUMIF(CAPEX!$C:$C,Dashboard!$B116,CAPEX!O:O)</f>
        <v>0</v>
      </c>
      <c r="F116" s="57">
        <f>SUMIF(CAPEX!$C:$C,Dashboard!$B116,CAPEX!P:P)</f>
        <v>0</v>
      </c>
      <c r="G116" s="57">
        <f>SUMIF(CAPEX!$C:$C,Dashboard!$B116,CAPEX!Q:Q)</f>
        <v>0</v>
      </c>
      <c r="H116" s="57">
        <f>SUMIF(CAPEX!$C:$C,Dashboard!$B116,CAPEX!R:R)</f>
        <v>0</v>
      </c>
    </row>
    <row r="117" spans="2:8" outlineLevel="1" x14ac:dyDescent="0.25">
      <c r="B117" s="20" t="s">
        <v>12</v>
      </c>
      <c r="C117" s="57">
        <f>SUMIF(CAPEX!$C:$C,Dashboard!$B117,CAPEX!M:M)</f>
        <v>59550</v>
      </c>
      <c r="D117" s="57">
        <f>SUMIF(CAPEX!$C:$C,Dashboard!$B117,CAPEX!N:N)</f>
        <v>0</v>
      </c>
      <c r="E117" s="57">
        <f>SUMIF(CAPEX!$C:$C,Dashboard!$B117,CAPEX!O:O)</f>
        <v>0</v>
      </c>
      <c r="F117" s="57">
        <f>SUMIF(CAPEX!$C:$C,Dashboard!$B117,CAPEX!P:P)</f>
        <v>0</v>
      </c>
      <c r="G117" s="57">
        <f>SUMIF(CAPEX!$C:$C,Dashboard!$B117,CAPEX!Q:Q)</f>
        <v>0</v>
      </c>
      <c r="H117" s="57">
        <f>SUMIF(CAPEX!$C:$C,Dashboard!$B117,CAPEX!R:R)</f>
        <v>0</v>
      </c>
    </row>
    <row r="118" spans="2:8" outlineLevel="1" x14ac:dyDescent="0.25">
      <c r="B118" s="20" t="s">
        <v>13</v>
      </c>
      <c r="C118" s="57">
        <f>SUMIF(CAPEX!$C:$C,Dashboard!$B118,CAPEX!M:M)</f>
        <v>31650</v>
      </c>
      <c r="D118" s="57">
        <f>SUMIF(CAPEX!$C:$C,Dashboard!$B118,CAPEX!N:N)</f>
        <v>0</v>
      </c>
      <c r="E118" s="57">
        <f>SUMIF(CAPEX!$C:$C,Dashboard!$B118,CAPEX!O:O)</f>
        <v>0</v>
      </c>
      <c r="F118" s="57">
        <f>SUMIF(CAPEX!$C:$C,Dashboard!$B118,CAPEX!P:P)</f>
        <v>0</v>
      </c>
      <c r="G118" s="57">
        <f>SUMIF(CAPEX!$C:$C,Dashboard!$B118,CAPEX!Q:Q)</f>
        <v>0</v>
      </c>
      <c r="H118" s="57">
        <f>SUMIF(CAPEX!$C:$C,Dashboard!$B118,CAPEX!R:R)</f>
        <v>0</v>
      </c>
    </row>
    <row r="119" spans="2:8" outlineLevel="1" x14ac:dyDescent="0.25">
      <c r="B119" s="20" t="s">
        <v>16</v>
      </c>
      <c r="C119" s="57">
        <f>SUMIF(CAPEX!$C:$C,Dashboard!$B119,CAPEX!M:M)</f>
        <v>600</v>
      </c>
      <c r="D119" s="57">
        <f>SUMIF(CAPEX!$C:$C,Dashboard!$B119,CAPEX!N:N)</f>
        <v>0</v>
      </c>
      <c r="E119" s="57">
        <f>SUMIF(CAPEX!$C:$C,Dashboard!$B119,CAPEX!O:O)</f>
        <v>0</v>
      </c>
      <c r="F119" s="57">
        <f>SUMIF(CAPEX!$C:$C,Dashboard!$B119,CAPEX!P:P)</f>
        <v>0</v>
      </c>
      <c r="G119" s="57">
        <f>SUMIF(CAPEX!$C:$C,Dashboard!$B119,CAPEX!Q:Q)</f>
        <v>0</v>
      </c>
      <c r="H119" s="57">
        <f>SUMIF(CAPEX!$C:$C,Dashboard!$B119,CAPEX!R:R)</f>
        <v>0</v>
      </c>
    </row>
    <row r="120" spans="2:8" outlineLevel="1" x14ac:dyDescent="0.25">
      <c r="B120" s="20" t="s">
        <v>14</v>
      </c>
      <c r="C120" s="57">
        <f>SUMIF(CAPEX!$C:$C,Dashboard!$B120,CAPEX!M:M)</f>
        <v>3600</v>
      </c>
      <c r="D120" s="57">
        <f>SUMIF(CAPEX!$C:$C,Dashboard!$B120,CAPEX!N:N)</f>
        <v>0</v>
      </c>
      <c r="E120" s="57">
        <f>SUMIF(CAPEX!$C:$C,Dashboard!$B120,CAPEX!O:O)</f>
        <v>0</v>
      </c>
      <c r="F120" s="57">
        <f>SUMIF(CAPEX!$C:$C,Dashboard!$B120,CAPEX!P:P)</f>
        <v>0</v>
      </c>
      <c r="G120" s="57">
        <f>SUMIF(CAPEX!$C:$C,Dashboard!$B120,CAPEX!Q:Q)</f>
        <v>0</v>
      </c>
      <c r="H120" s="57">
        <f>SUMIF(CAPEX!$C:$C,Dashboard!$B120,CAPEX!R:R)</f>
        <v>0</v>
      </c>
    </row>
    <row r="121" spans="2:8" outlineLevel="1" x14ac:dyDescent="0.25">
      <c r="B121" s="20" t="s">
        <v>23</v>
      </c>
      <c r="C121" s="57">
        <f>SUMIF(CAPEX!$C:$C,Dashboard!$B121,CAPEX!M:M)</f>
        <v>0</v>
      </c>
      <c r="D121" s="57">
        <f>SUMIF(CAPEX!$C:$C,Dashboard!$B121,CAPEX!N:N)</f>
        <v>0</v>
      </c>
      <c r="E121" s="57">
        <f>SUMIF(CAPEX!$C:$C,Dashboard!$B121,CAPEX!O:O)</f>
        <v>0</v>
      </c>
      <c r="F121" s="57">
        <f>SUMIF(CAPEX!$C:$C,Dashboard!$B121,CAPEX!P:P)</f>
        <v>0</v>
      </c>
      <c r="G121" s="57">
        <f>SUMIF(CAPEX!$C:$C,Dashboard!$B121,CAPEX!Q:Q)</f>
        <v>0</v>
      </c>
      <c r="H121" s="57">
        <f>SUMIF(CAPEX!$C:$C,Dashboard!$B121,CAPEX!R:R)</f>
        <v>0</v>
      </c>
    </row>
    <row r="122" spans="2:8" outlineLevel="1" x14ac:dyDescent="0.25">
      <c r="B122" s="20" t="s">
        <v>198</v>
      </c>
      <c r="C122" s="57">
        <f>SUMIF(CAPEX!$C:$C,Dashboard!$B122,CAPEX!M:M)</f>
        <v>0</v>
      </c>
      <c r="D122" s="57">
        <f>SUMIF(CAPEX!$C:$C,Dashboard!$B122,CAPEX!N:N)</f>
        <v>0</v>
      </c>
      <c r="E122" s="57">
        <f>SUMIF(CAPEX!$C:$C,Dashboard!$B122,CAPEX!O:O)</f>
        <v>0</v>
      </c>
      <c r="F122" s="57">
        <f>SUMIF(CAPEX!$C:$C,Dashboard!$B122,CAPEX!P:P)</f>
        <v>0</v>
      </c>
      <c r="G122" s="57">
        <f>SUMIF(CAPEX!$C:$C,Dashboard!$B122,CAPEX!Q:Q)</f>
        <v>0</v>
      </c>
      <c r="H122" s="57">
        <f>SUMIF(CAPEX!$C:$C,Dashboard!$B122,CAPEX!R:R)</f>
        <v>0</v>
      </c>
    </row>
    <row r="123" spans="2:8" outlineLevel="1" x14ac:dyDescent="0.25">
      <c r="B123" s="20" t="s">
        <v>38</v>
      </c>
      <c r="C123" s="57">
        <f>SUMIF(CAPEX!$C:$C,Dashboard!$B123,CAPEX!M:M)</f>
        <v>0</v>
      </c>
      <c r="D123" s="57">
        <f>SUMIF(CAPEX!$C:$C,Dashboard!$B123,CAPEX!N:N)</f>
        <v>0</v>
      </c>
      <c r="E123" s="57">
        <f>SUMIF(CAPEX!$C:$C,Dashboard!$B123,CAPEX!O:O)</f>
        <v>0</v>
      </c>
      <c r="F123" s="57">
        <f>SUMIF(CAPEX!$C:$C,Dashboard!$B123,CAPEX!P:P)</f>
        <v>0</v>
      </c>
      <c r="G123" s="57">
        <f>SUMIF(CAPEX!$C:$C,Dashboard!$B123,CAPEX!Q:Q)</f>
        <v>0</v>
      </c>
      <c r="H123" s="57">
        <f>SUMIF(CAPEX!$C:$C,Dashboard!$B123,CAPEX!R:R)</f>
        <v>0</v>
      </c>
    </row>
    <row r="124" spans="2:8" outlineLevel="1" x14ac:dyDescent="0.25">
      <c r="B124" s="20" t="s">
        <v>39</v>
      </c>
      <c r="C124" s="57">
        <f>SUMIF(CAPEX!$C:$C,Dashboard!$B124,CAPEX!M:M)</f>
        <v>9750</v>
      </c>
      <c r="D124" s="57">
        <f>SUMIF(CAPEX!$C:$C,Dashboard!$B124,CAPEX!N:N)</f>
        <v>0</v>
      </c>
      <c r="E124" s="57">
        <f>SUMIF(CAPEX!$C:$C,Dashboard!$B124,CAPEX!O:O)</f>
        <v>0</v>
      </c>
      <c r="F124" s="57">
        <f>SUMIF(CAPEX!$C:$C,Dashboard!$B124,CAPEX!P:P)</f>
        <v>0</v>
      </c>
      <c r="G124" s="57">
        <f>SUMIF(CAPEX!$C:$C,Dashboard!$B124,CAPEX!Q:Q)</f>
        <v>0</v>
      </c>
      <c r="H124" s="57">
        <f>SUMIF(CAPEX!$C:$C,Dashboard!$B124,CAPEX!R:R)</f>
        <v>0</v>
      </c>
    </row>
    <row r="125" spans="2:8" x14ac:dyDescent="0.25">
      <c r="B125" s="12"/>
    </row>
    <row r="126" spans="2:8" x14ac:dyDescent="0.25">
      <c r="B126" s="18" t="s">
        <v>64</v>
      </c>
      <c r="C126" s="57">
        <f>C107+C111-C113</f>
        <v>-162674.304</v>
      </c>
      <c r="D126" s="57">
        <f t="shared" ref="D126:H126" si="13">D107+D111-D113</f>
        <v>21058.59599999999</v>
      </c>
      <c r="E126" s="57">
        <f t="shared" si="13"/>
        <v>114795.84599999999</v>
      </c>
      <c r="F126" s="57">
        <f t="shared" si="13"/>
        <v>206268.196</v>
      </c>
      <c r="G126" s="57">
        <f t="shared" si="13"/>
        <v>265379.696</v>
      </c>
      <c r="H126" s="57">
        <f t="shared" si="13"/>
        <v>309558.446</v>
      </c>
    </row>
    <row r="127" spans="2:8" x14ac:dyDescent="0.25">
      <c r="B127" s="12"/>
    </row>
    <row r="128" spans="2:8" ht="15" thickBot="1" x14ac:dyDescent="0.3">
      <c r="B128" s="22" t="s">
        <v>67</v>
      </c>
      <c r="C128" s="23"/>
      <c r="D128" s="23"/>
      <c r="E128" s="23"/>
      <c r="F128" s="23"/>
      <c r="G128" s="23"/>
      <c r="H128" s="23"/>
    </row>
    <row r="129" spans="2:8" x14ac:dyDescent="0.25">
      <c r="B129" s="18"/>
    </row>
    <row r="130" spans="2:8" x14ac:dyDescent="0.25">
      <c r="B130" s="18" t="s">
        <v>65</v>
      </c>
      <c r="C130" s="57">
        <f>C126</f>
        <v>-162674.304</v>
      </c>
      <c r="D130" s="57">
        <f>D126/((1+Hurdle_Rate)^1)</f>
        <v>20055.805714285703</v>
      </c>
      <c r="E130" s="57">
        <f>E126/((1+Hurdle_Rate)^2)</f>
        <v>104123.2163265306</v>
      </c>
      <c r="F130" s="57">
        <f>F126/((1+Hurdle_Rate)^3)</f>
        <v>178182.22308605979</v>
      </c>
      <c r="G130" s="57">
        <f>G126/((1+Hurdle_Rate)^4)</f>
        <v>218328.5326587173</v>
      </c>
      <c r="H130" s="57">
        <f>H126/((1+Hurdle_Rate)^5)</f>
        <v>242547.14249231346</v>
      </c>
    </row>
    <row r="131" spans="2:8" x14ac:dyDescent="0.25">
      <c r="B131" s="18" t="s">
        <v>68</v>
      </c>
      <c r="C131" s="57">
        <f>NPV(Hurdle_Rate,D126:H126)+C126</f>
        <v>600562.61627790681</v>
      </c>
    </row>
    <row r="132" spans="2:8" x14ac:dyDescent="0.25">
      <c r="B132" s="18" t="s">
        <v>69</v>
      </c>
      <c r="C132" s="90">
        <f>IRR(C126:H126)</f>
        <v>0.64767822419373822</v>
      </c>
    </row>
  </sheetData>
  <mergeCells count="26">
    <mergeCell ref="C10:D10"/>
    <mergeCell ref="C34:E34"/>
    <mergeCell ref="B27:O27"/>
    <mergeCell ref="F18:H18"/>
    <mergeCell ref="F19:G19"/>
    <mergeCell ref="F20:G20"/>
    <mergeCell ref="F21:G21"/>
    <mergeCell ref="C32:E32"/>
    <mergeCell ref="C31:E31"/>
    <mergeCell ref="C33:E33"/>
    <mergeCell ref="B2:O2"/>
    <mergeCell ref="F14:G14"/>
    <mergeCell ref="F15:G15"/>
    <mergeCell ref="F16:G16"/>
    <mergeCell ref="F9:G9"/>
    <mergeCell ref="F10:G10"/>
    <mergeCell ref="F11:G11"/>
    <mergeCell ref="F8:H8"/>
    <mergeCell ref="F13:H13"/>
    <mergeCell ref="F4:G4"/>
    <mergeCell ref="C11:D11"/>
    <mergeCell ref="C12:D12"/>
    <mergeCell ref="F5:G5"/>
    <mergeCell ref="C4:D4"/>
    <mergeCell ref="C8:D8"/>
    <mergeCell ref="C9:D9"/>
  </mergeCells>
  <dataValidations count="5">
    <dataValidation allowBlank="1" showDropDown="1" showInputMessage="1" showErrorMessage="1" sqref="C12" xr:uid="{BAB76FD0-AB21-454A-B13E-CBE7A258BE08}"/>
    <dataValidation type="list" allowBlank="1" showInputMessage="1" showErrorMessage="1" sqref="C8" xr:uid="{6B3A68F9-5978-4FB6-B03C-D46740E3F0B0}">
      <formula1>"LTE,TDMA"</formula1>
    </dataValidation>
    <dataValidation type="list" allowBlank="1" showInputMessage="1" showErrorMessage="1" sqref="C9" xr:uid="{9BE51E38-6459-4F4E-B930-0435AE4ADE6C}">
      <formula1>"Centralized,Distributed"</formula1>
    </dataValidation>
    <dataValidation type="list" allowBlank="1" showInputMessage="1" showErrorMessage="1" sqref="C10:C11" xr:uid="{E4739AEE-30A9-44CB-8D9E-9293590A7A70}">
      <formula1>"Cloud,On-Premise"</formula1>
    </dataValidation>
    <dataValidation type="list" allowBlank="1" showInputMessage="1" showErrorMessage="1" sqref="C4" xr:uid="{715D36C7-3419-4DC0-B6EC-81703E2CC6BE}">
      <formula1>"Selected Sites, Full Network"</formula1>
    </dataValidation>
  </dataValidation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847AD-7A05-42E8-9926-D5E0F08A5B75}">
  <dimension ref="B1:AA22"/>
  <sheetViews>
    <sheetView showGridLines="0" zoomScale="80" zoomScaleNormal="80" workbookViewId="0">
      <pane xSplit="5" ySplit="2" topLeftCell="Q3" activePane="bottomRight" state="frozen"/>
      <selection pane="topRight" activeCell="D1" sqref="D1"/>
      <selection pane="bottomLeft" activeCell="A3" sqref="A3"/>
      <selection pane="bottomRight" activeCell="E18" sqref="E18"/>
    </sheetView>
  </sheetViews>
  <sheetFormatPr defaultRowHeight="15" x14ac:dyDescent="0.25"/>
  <cols>
    <col min="1" max="1" width="4.7109375" style="26" customWidth="1"/>
    <col min="3" max="3" width="11" style="34" hidden="1" customWidth="1"/>
    <col min="4" max="4" width="11" style="34" customWidth="1"/>
    <col min="5" max="5" width="12.85546875" style="34" bestFit="1" customWidth="1"/>
    <col min="6" max="16" width="18.7109375" style="34" customWidth="1"/>
    <col min="17" max="18" width="20.5703125" style="34" bestFit="1" customWidth="1"/>
    <col min="19" max="24" width="18.7109375" style="34" customWidth="1"/>
    <col min="25" max="25" width="20" bestFit="1" customWidth="1"/>
    <col min="26" max="26" width="22.85546875" style="34" customWidth="1"/>
    <col min="27" max="27" width="18.7109375" style="34" customWidth="1"/>
    <col min="28" max="16384" width="9.140625" style="26"/>
  </cols>
  <sheetData>
    <row r="1" spans="2:27" ht="12.75" x14ac:dyDescent="0.2">
      <c r="B1" s="34"/>
      <c r="Y1" s="34"/>
      <c r="Z1" s="26"/>
      <c r="AA1" s="26"/>
    </row>
    <row r="2" spans="2:27" ht="28.5" x14ac:dyDescent="0.2">
      <c r="B2" s="27" t="s">
        <v>199</v>
      </c>
      <c r="C2" s="27" t="s">
        <v>174</v>
      </c>
      <c r="D2" s="27" t="s">
        <v>78</v>
      </c>
      <c r="E2" s="28" t="s">
        <v>107</v>
      </c>
      <c r="F2" s="28" t="s">
        <v>105</v>
      </c>
      <c r="G2" s="28" t="s">
        <v>127</v>
      </c>
      <c r="H2" s="28" t="s">
        <v>180</v>
      </c>
      <c r="I2" s="28" t="s">
        <v>181</v>
      </c>
      <c r="J2" s="28" t="s">
        <v>106</v>
      </c>
      <c r="K2" s="28" t="s">
        <v>108</v>
      </c>
      <c r="L2" s="28" t="s">
        <v>126</v>
      </c>
      <c r="M2" s="28" t="s">
        <v>158</v>
      </c>
      <c r="N2" s="28" t="s">
        <v>51</v>
      </c>
      <c r="O2" s="28" t="s">
        <v>73</v>
      </c>
      <c r="P2" s="28" t="s">
        <v>103</v>
      </c>
      <c r="Q2" s="28" t="s">
        <v>112</v>
      </c>
      <c r="R2" s="28" t="s">
        <v>185</v>
      </c>
      <c r="S2" s="28" t="s">
        <v>113</v>
      </c>
      <c r="T2" s="28" t="s">
        <v>128</v>
      </c>
      <c r="U2" s="28" t="s">
        <v>183</v>
      </c>
      <c r="V2" s="28" t="s">
        <v>186</v>
      </c>
      <c r="W2" s="28" t="s">
        <v>190</v>
      </c>
      <c r="X2" s="28" t="s">
        <v>114</v>
      </c>
      <c r="Y2" s="29" t="s">
        <v>123</v>
      </c>
      <c r="Z2" s="26"/>
      <c r="AA2" s="26"/>
    </row>
    <row r="3" spans="2:27" ht="14.25" x14ac:dyDescent="0.25">
      <c r="B3" s="53" t="s">
        <v>175</v>
      </c>
      <c r="C3" s="53" t="str">
        <f>IF(Scope="Selected Sites",HLD[[#This Row],[Selected Site]],"Y")</f>
        <v>Y</v>
      </c>
      <c r="D3" s="30" t="s">
        <v>160</v>
      </c>
      <c r="E3" s="32" t="s">
        <v>169</v>
      </c>
      <c r="F3" s="31" t="s">
        <v>153</v>
      </c>
      <c r="G3" s="31">
        <v>10</v>
      </c>
      <c r="H3" s="31">
        <v>9</v>
      </c>
      <c r="I3" s="31">
        <v>8</v>
      </c>
      <c r="J3" s="32" t="s">
        <v>169</v>
      </c>
      <c r="K3" s="32" t="s">
        <v>169</v>
      </c>
      <c r="L3" s="32" t="s">
        <v>109</v>
      </c>
      <c r="M3" s="32">
        <v>2.5</v>
      </c>
      <c r="N3" s="32">
        <v>148</v>
      </c>
      <c r="O3" s="32">
        <v>0</v>
      </c>
      <c r="P3" s="154">
        <v>1</v>
      </c>
      <c r="Q3" s="32" t="s">
        <v>238</v>
      </c>
      <c r="R3" s="32" t="s">
        <v>244</v>
      </c>
      <c r="S3" s="32">
        <v>1</v>
      </c>
      <c r="T3" s="32">
        <v>0</v>
      </c>
      <c r="U3" s="32" t="s">
        <v>343</v>
      </c>
      <c r="V3" s="32">
        <v>100</v>
      </c>
      <c r="W3" s="32">
        <v>100</v>
      </c>
      <c r="X3" s="32" t="s">
        <v>29</v>
      </c>
      <c r="Y3" s="33">
        <v>100</v>
      </c>
      <c r="Z3" s="26"/>
      <c r="AA3" s="26"/>
    </row>
    <row r="4" spans="2:27" ht="14.25" x14ac:dyDescent="0.25">
      <c r="B4" s="53" t="s">
        <v>175</v>
      </c>
      <c r="C4" s="53" t="str">
        <f>IF(Scope="Selected Sites",HLD[[#This Row],[Selected Site]],"Y")</f>
        <v>Y</v>
      </c>
      <c r="D4" s="30" t="s">
        <v>161</v>
      </c>
      <c r="E4" s="32" t="s">
        <v>169</v>
      </c>
      <c r="F4" s="31" t="s">
        <v>153</v>
      </c>
      <c r="G4" s="31">
        <v>10</v>
      </c>
      <c r="H4" s="31">
        <v>9</v>
      </c>
      <c r="I4" s="31">
        <v>8</v>
      </c>
      <c r="J4" s="32" t="s">
        <v>169</v>
      </c>
      <c r="K4" s="32" t="s">
        <v>169</v>
      </c>
      <c r="L4" s="32" t="s">
        <v>109</v>
      </c>
      <c r="M4" s="32">
        <v>3.5</v>
      </c>
      <c r="N4" s="32">
        <v>100</v>
      </c>
      <c r="O4" s="32">
        <v>0</v>
      </c>
      <c r="P4" s="154">
        <v>1</v>
      </c>
      <c r="Q4" s="32" t="s">
        <v>238</v>
      </c>
      <c r="R4" s="32" t="s">
        <v>244</v>
      </c>
      <c r="S4" s="32">
        <v>1</v>
      </c>
      <c r="T4" s="32">
        <v>0</v>
      </c>
      <c r="U4" s="32" t="s">
        <v>343</v>
      </c>
      <c r="V4" s="32">
        <v>100</v>
      </c>
      <c r="W4" s="32">
        <v>100</v>
      </c>
      <c r="X4" s="32" t="s">
        <v>29</v>
      </c>
      <c r="Y4" s="33">
        <v>100</v>
      </c>
      <c r="Z4" s="26"/>
      <c r="AA4" s="26"/>
    </row>
    <row r="5" spans="2:27" ht="14.25" x14ac:dyDescent="0.25">
      <c r="B5" s="53" t="s">
        <v>175</v>
      </c>
      <c r="C5" s="53" t="str">
        <f>IF(Scope="Selected Sites",HLD[[#This Row],[Selected Site]],"Y")</f>
        <v>Y</v>
      </c>
      <c r="D5" s="30" t="s">
        <v>162</v>
      </c>
      <c r="E5" s="32" t="s">
        <v>169</v>
      </c>
      <c r="F5" s="31" t="s">
        <v>153</v>
      </c>
      <c r="G5" s="31">
        <v>10</v>
      </c>
      <c r="H5" s="31">
        <v>9</v>
      </c>
      <c r="I5" s="31">
        <v>8</v>
      </c>
      <c r="J5" s="32" t="s">
        <v>169</v>
      </c>
      <c r="K5" s="32" t="s">
        <v>169</v>
      </c>
      <c r="L5" s="32" t="s">
        <v>110</v>
      </c>
      <c r="M5" s="32">
        <v>4.5</v>
      </c>
      <c r="N5" s="32">
        <v>174</v>
      </c>
      <c r="O5" s="32">
        <v>0</v>
      </c>
      <c r="P5" s="154">
        <v>1</v>
      </c>
      <c r="Q5" s="32" t="s">
        <v>238</v>
      </c>
      <c r="R5" s="32" t="s">
        <v>244</v>
      </c>
      <c r="S5" s="32">
        <v>1</v>
      </c>
      <c r="T5" s="32">
        <v>0</v>
      </c>
      <c r="U5" s="32" t="s">
        <v>343</v>
      </c>
      <c r="V5" s="32">
        <v>100</v>
      </c>
      <c r="W5" s="32">
        <v>100</v>
      </c>
      <c r="X5" s="32" t="s">
        <v>29</v>
      </c>
      <c r="Y5" s="33">
        <v>100</v>
      </c>
      <c r="Z5" s="26"/>
      <c r="AA5" s="26"/>
    </row>
    <row r="6" spans="2:27" ht="14.25" x14ac:dyDescent="0.25">
      <c r="B6" s="53" t="s">
        <v>176</v>
      </c>
      <c r="C6" s="53" t="str">
        <f>IF(Scope="Selected Sites",HLD[[#This Row],[Selected Site]],"Y")</f>
        <v>Y</v>
      </c>
      <c r="D6" s="30" t="s">
        <v>163</v>
      </c>
      <c r="E6" s="32" t="s">
        <v>169</v>
      </c>
      <c r="F6" s="31" t="s">
        <v>153</v>
      </c>
      <c r="G6" s="31">
        <v>10</v>
      </c>
      <c r="H6" s="31">
        <v>9</v>
      </c>
      <c r="I6" s="31">
        <v>8</v>
      </c>
      <c r="J6" s="32" t="s">
        <v>169</v>
      </c>
      <c r="K6" s="32" t="s">
        <v>169</v>
      </c>
      <c r="L6" s="32" t="s">
        <v>109</v>
      </c>
      <c r="M6" s="32">
        <v>5.5</v>
      </c>
      <c r="N6" s="32">
        <v>76</v>
      </c>
      <c r="O6" s="32">
        <v>0</v>
      </c>
      <c r="P6" s="154">
        <v>1</v>
      </c>
      <c r="Q6" s="32" t="s">
        <v>238</v>
      </c>
      <c r="R6" s="32" t="s">
        <v>244</v>
      </c>
      <c r="S6" s="32">
        <v>1</v>
      </c>
      <c r="T6" s="32">
        <v>0</v>
      </c>
      <c r="U6" s="32" t="s">
        <v>343</v>
      </c>
      <c r="V6" s="32">
        <v>100</v>
      </c>
      <c r="W6" s="32">
        <v>100</v>
      </c>
      <c r="X6" s="32" t="s">
        <v>29</v>
      </c>
      <c r="Y6" s="33">
        <v>100</v>
      </c>
      <c r="Z6" s="26"/>
      <c r="AA6" s="26"/>
    </row>
    <row r="7" spans="2:27" ht="14.25" x14ac:dyDescent="0.25">
      <c r="B7" s="53" t="s">
        <v>175</v>
      </c>
      <c r="C7" s="53" t="str">
        <f>IF(Scope="Selected Sites",HLD[[#This Row],[Selected Site]],"Y")</f>
        <v>Y</v>
      </c>
      <c r="D7" s="30" t="s">
        <v>173</v>
      </c>
      <c r="E7" s="32" t="s">
        <v>168</v>
      </c>
      <c r="F7" s="31" t="s">
        <v>153</v>
      </c>
      <c r="G7" s="31">
        <v>10</v>
      </c>
      <c r="H7" s="31">
        <v>9</v>
      </c>
      <c r="I7" s="31">
        <v>8</v>
      </c>
      <c r="J7" s="32" t="s">
        <v>169</v>
      </c>
      <c r="K7" s="32" t="s">
        <v>169</v>
      </c>
      <c r="L7" s="32" t="s">
        <v>109</v>
      </c>
      <c r="M7" s="32">
        <v>6.5</v>
      </c>
      <c r="N7" s="32">
        <v>188</v>
      </c>
      <c r="O7" s="32">
        <v>2</v>
      </c>
      <c r="P7" s="154">
        <v>1</v>
      </c>
      <c r="Q7" s="32" t="s">
        <v>77</v>
      </c>
      <c r="R7" s="32" t="s">
        <v>246</v>
      </c>
      <c r="S7" s="32">
        <v>1</v>
      </c>
      <c r="T7" s="32">
        <v>0</v>
      </c>
      <c r="U7" s="32" t="s">
        <v>343</v>
      </c>
      <c r="V7" s="32">
        <v>100</v>
      </c>
      <c r="W7" s="32">
        <v>900</v>
      </c>
      <c r="X7" s="32" t="s">
        <v>29</v>
      </c>
      <c r="Y7" s="33">
        <v>100</v>
      </c>
      <c r="Z7" s="26"/>
      <c r="AA7" s="26"/>
    </row>
    <row r="8" spans="2:27" ht="14.25" x14ac:dyDescent="0.25">
      <c r="B8" s="53" t="s">
        <v>175</v>
      </c>
      <c r="C8" s="53" t="str">
        <f>IF(Scope="Selected Sites",HLD[[#This Row],[Selected Site]],"Y")</f>
        <v>Y</v>
      </c>
      <c r="D8" s="30" t="s">
        <v>164</v>
      </c>
      <c r="E8" s="32" t="s">
        <v>169</v>
      </c>
      <c r="F8" s="31" t="s">
        <v>153</v>
      </c>
      <c r="G8" s="31">
        <v>10</v>
      </c>
      <c r="H8" s="31">
        <v>9</v>
      </c>
      <c r="I8" s="31">
        <v>8</v>
      </c>
      <c r="J8" s="32" t="s">
        <v>169</v>
      </c>
      <c r="K8" s="32" t="s">
        <v>169</v>
      </c>
      <c r="L8" s="32" t="s">
        <v>109</v>
      </c>
      <c r="M8" s="32">
        <v>7.5</v>
      </c>
      <c r="N8" s="32">
        <v>254</v>
      </c>
      <c r="O8" s="32">
        <v>1</v>
      </c>
      <c r="P8" s="154">
        <v>1</v>
      </c>
      <c r="Q8" s="32" t="s">
        <v>238</v>
      </c>
      <c r="R8" s="32" t="s">
        <v>244</v>
      </c>
      <c r="S8" s="32">
        <v>1</v>
      </c>
      <c r="T8" s="32">
        <v>0</v>
      </c>
      <c r="U8" s="32" t="s">
        <v>343</v>
      </c>
      <c r="V8" s="32">
        <v>100</v>
      </c>
      <c r="W8" s="32">
        <v>100</v>
      </c>
      <c r="X8" s="32" t="s">
        <v>29</v>
      </c>
      <c r="Y8" s="33">
        <v>100</v>
      </c>
      <c r="Z8" s="26"/>
      <c r="AA8" s="26"/>
    </row>
    <row r="9" spans="2:27" ht="14.25" x14ac:dyDescent="0.25">
      <c r="B9" s="53" t="s">
        <v>175</v>
      </c>
      <c r="C9" s="53" t="str">
        <f>IF(Scope="Selected Sites",HLD[[#This Row],[Selected Site]],"Y")</f>
        <v>Y</v>
      </c>
      <c r="D9" s="30" t="s">
        <v>165</v>
      </c>
      <c r="E9" s="32" t="s">
        <v>169</v>
      </c>
      <c r="F9" s="31" t="s">
        <v>153</v>
      </c>
      <c r="G9" s="31">
        <v>10</v>
      </c>
      <c r="H9" s="31">
        <v>9</v>
      </c>
      <c r="I9" s="31">
        <v>8</v>
      </c>
      <c r="J9" s="32" t="s">
        <v>169</v>
      </c>
      <c r="K9" s="32" t="s">
        <v>169</v>
      </c>
      <c r="L9" s="32" t="s">
        <v>109</v>
      </c>
      <c r="M9" s="32">
        <v>8.5</v>
      </c>
      <c r="N9" s="32">
        <v>172</v>
      </c>
      <c r="O9" s="32">
        <v>0</v>
      </c>
      <c r="P9" s="154">
        <v>1</v>
      </c>
      <c r="Q9" s="32" t="s">
        <v>238</v>
      </c>
      <c r="R9" s="32" t="s">
        <v>244</v>
      </c>
      <c r="S9" s="32">
        <v>1</v>
      </c>
      <c r="T9" s="32">
        <v>0</v>
      </c>
      <c r="U9" s="32" t="s">
        <v>343</v>
      </c>
      <c r="V9" s="32">
        <v>100</v>
      </c>
      <c r="W9" s="32">
        <v>100</v>
      </c>
      <c r="X9" s="32" t="s">
        <v>29</v>
      </c>
      <c r="Y9" s="33">
        <v>100</v>
      </c>
      <c r="Z9" s="26"/>
      <c r="AA9" s="26"/>
    </row>
    <row r="10" spans="2:27" ht="14.25" customHeight="1" x14ac:dyDescent="0.25">
      <c r="B10" s="53" t="s">
        <v>175</v>
      </c>
      <c r="C10" s="53" t="str">
        <f>IF(Scope="Selected Sites",HLD[[#This Row],[Selected Site]],"Y")</f>
        <v>Y</v>
      </c>
      <c r="D10" s="30" t="s">
        <v>166</v>
      </c>
      <c r="E10" s="32" t="s">
        <v>169</v>
      </c>
      <c r="F10" s="31" t="s">
        <v>153</v>
      </c>
      <c r="G10" s="31">
        <v>10</v>
      </c>
      <c r="H10" s="31">
        <v>9</v>
      </c>
      <c r="I10" s="31">
        <v>8</v>
      </c>
      <c r="J10" s="32" t="s">
        <v>169</v>
      </c>
      <c r="K10" s="32" t="s">
        <v>169</v>
      </c>
      <c r="L10" s="32" t="s">
        <v>109</v>
      </c>
      <c r="M10" s="32">
        <v>9.5</v>
      </c>
      <c r="N10" s="32">
        <v>92</v>
      </c>
      <c r="O10" s="32">
        <v>3</v>
      </c>
      <c r="P10" s="154">
        <v>1</v>
      </c>
      <c r="Q10" s="32" t="s">
        <v>238</v>
      </c>
      <c r="R10" s="32" t="s">
        <v>244</v>
      </c>
      <c r="S10" s="32">
        <v>1</v>
      </c>
      <c r="T10" s="32">
        <v>0</v>
      </c>
      <c r="U10" s="32" t="s">
        <v>343</v>
      </c>
      <c r="V10" s="32">
        <v>100</v>
      </c>
      <c r="W10" s="32">
        <v>100</v>
      </c>
      <c r="X10" s="32" t="s">
        <v>29</v>
      </c>
      <c r="Y10" s="33">
        <v>100</v>
      </c>
      <c r="Z10" s="26"/>
      <c r="AA10" s="26"/>
    </row>
    <row r="11" spans="2:27" ht="14.25" x14ac:dyDescent="0.25">
      <c r="B11" s="53" t="s">
        <v>175</v>
      </c>
      <c r="C11" s="53" t="str">
        <f>IF(Scope="Selected Sites",HLD[[#This Row],[Selected Site]],"Y")</f>
        <v>Y</v>
      </c>
      <c r="D11" s="30" t="s">
        <v>167</v>
      </c>
      <c r="E11" s="32" t="s">
        <v>169</v>
      </c>
      <c r="F11" s="31" t="s">
        <v>153</v>
      </c>
      <c r="G11" s="31">
        <v>10</v>
      </c>
      <c r="H11" s="31">
        <v>9</v>
      </c>
      <c r="I11" s="31">
        <v>8</v>
      </c>
      <c r="J11" s="32" t="s">
        <v>169</v>
      </c>
      <c r="K11" s="32" t="s">
        <v>169</v>
      </c>
      <c r="L11" s="32" t="s">
        <v>109</v>
      </c>
      <c r="M11" s="32">
        <v>10.5</v>
      </c>
      <c r="N11" s="32">
        <v>146</v>
      </c>
      <c r="O11" s="32">
        <v>0</v>
      </c>
      <c r="P11" s="154">
        <v>1</v>
      </c>
      <c r="Q11" s="32" t="s">
        <v>238</v>
      </c>
      <c r="R11" s="32" t="s">
        <v>244</v>
      </c>
      <c r="S11" s="32">
        <v>1</v>
      </c>
      <c r="T11" s="32">
        <v>0</v>
      </c>
      <c r="U11" s="32" t="s">
        <v>343</v>
      </c>
      <c r="V11" s="32">
        <v>100</v>
      </c>
      <c r="W11" s="32">
        <v>100</v>
      </c>
      <c r="X11" s="32" t="s">
        <v>29</v>
      </c>
      <c r="Y11" s="33">
        <v>100</v>
      </c>
      <c r="Z11" s="26"/>
      <c r="AA11" s="26"/>
    </row>
    <row r="12" spans="2:27" x14ac:dyDescent="0.25">
      <c r="C12"/>
      <c r="D12"/>
      <c r="E12"/>
      <c r="F12"/>
      <c r="G12"/>
      <c r="H12"/>
      <c r="I12"/>
      <c r="J12"/>
      <c r="K12"/>
      <c r="L12"/>
      <c r="M12"/>
      <c r="N12"/>
      <c r="O12"/>
      <c r="P12"/>
      <c r="Q12"/>
      <c r="R12"/>
      <c r="S12"/>
      <c r="T12"/>
      <c r="U12"/>
      <c r="V12"/>
      <c r="W12"/>
      <c r="X12"/>
    </row>
    <row r="13" spans="2:27" x14ac:dyDescent="0.25">
      <c r="C13"/>
      <c r="D13"/>
      <c r="E13"/>
      <c r="F13"/>
      <c r="G13"/>
      <c r="H13"/>
      <c r="I13"/>
      <c r="J13"/>
      <c r="K13"/>
      <c r="L13"/>
      <c r="M13"/>
      <c r="N13"/>
      <c r="O13"/>
      <c r="P13"/>
      <c r="Q13"/>
      <c r="R13"/>
      <c r="S13"/>
      <c r="T13"/>
      <c r="U13"/>
      <c r="V13"/>
      <c r="W13"/>
      <c r="X13"/>
    </row>
    <row r="14" spans="2:27" x14ac:dyDescent="0.25">
      <c r="C14"/>
      <c r="D14"/>
      <c r="E14"/>
      <c r="F14"/>
      <c r="G14"/>
      <c r="H14"/>
      <c r="I14"/>
      <c r="J14"/>
      <c r="K14"/>
      <c r="L14"/>
      <c r="M14"/>
      <c r="N14"/>
      <c r="O14"/>
      <c r="P14"/>
      <c r="Q14"/>
      <c r="R14"/>
      <c r="S14"/>
      <c r="T14"/>
      <c r="U14"/>
      <c r="V14"/>
      <c r="W14"/>
      <c r="X14"/>
    </row>
    <row r="15" spans="2:27" x14ac:dyDescent="0.25">
      <c r="D15"/>
      <c r="E15"/>
      <c r="F15"/>
      <c r="G15"/>
      <c r="H15"/>
      <c r="I15"/>
      <c r="J15"/>
      <c r="K15"/>
      <c r="L15"/>
      <c r="M15"/>
      <c r="N15"/>
      <c r="O15"/>
      <c r="P15"/>
      <c r="Q15"/>
      <c r="R15"/>
      <c r="S15"/>
      <c r="T15"/>
      <c r="U15"/>
      <c r="V15"/>
      <c r="W15"/>
      <c r="X15"/>
    </row>
    <row r="16" spans="2:27" x14ac:dyDescent="0.25">
      <c r="D16"/>
      <c r="E16"/>
      <c r="F16"/>
      <c r="G16"/>
      <c r="H16"/>
      <c r="I16"/>
      <c r="J16"/>
      <c r="K16"/>
      <c r="L16"/>
      <c r="M16"/>
      <c r="N16"/>
      <c r="O16"/>
      <c r="P16"/>
      <c r="Q16"/>
      <c r="R16"/>
      <c r="S16"/>
      <c r="T16"/>
      <c r="U16"/>
      <c r="V16"/>
      <c r="W16"/>
      <c r="X16"/>
    </row>
    <row r="17" spans="4:24" x14ac:dyDescent="0.25">
      <c r="D17"/>
      <c r="E17"/>
      <c r="F17"/>
      <c r="G17"/>
      <c r="H17"/>
      <c r="I17"/>
      <c r="J17"/>
      <c r="K17"/>
      <c r="L17"/>
      <c r="M17"/>
      <c r="N17"/>
      <c r="O17"/>
      <c r="P17"/>
      <c r="Q17"/>
      <c r="R17"/>
      <c r="S17"/>
      <c r="T17"/>
      <c r="U17"/>
      <c r="V17"/>
      <c r="W17"/>
      <c r="X17"/>
    </row>
    <row r="18" spans="4:24" x14ac:dyDescent="0.25">
      <c r="D18"/>
      <c r="E18"/>
      <c r="F18"/>
      <c r="G18"/>
      <c r="H18"/>
      <c r="I18"/>
      <c r="J18"/>
      <c r="K18"/>
      <c r="L18"/>
      <c r="M18"/>
      <c r="N18"/>
      <c r="O18"/>
      <c r="P18"/>
      <c r="Q18"/>
      <c r="R18"/>
      <c r="S18"/>
      <c r="T18"/>
      <c r="U18"/>
      <c r="V18"/>
      <c r="W18"/>
      <c r="X18"/>
    </row>
    <row r="19" spans="4:24" x14ac:dyDescent="0.25">
      <c r="D19"/>
      <c r="E19"/>
      <c r="F19"/>
      <c r="G19"/>
      <c r="H19"/>
      <c r="I19"/>
      <c r="J19"/>
      <c r="K19"/>
      <c r="L19"/>
      <c r="M19"/>
      <c r="N19"/>
      <c r="O19"/>
      <c r="P19"/>
      <c r="Q19"/>
      <c r="R19"/>
      <c r="S19"/>
      <c r="T19"/>
      <c r="U19"/>
      <c r="V19"/>
      <c r="W19"/>
      <c r="X19"/>
    </row>
    <row r="20" spans="4:24" x14ac:dyDescent="0.25">
      <c r="D20"/>
      <c r="E20"/>
      <c r="F20"/>
      <c r="G20"/>
      <c r="H20"/>
      <c r="I20"/>
      <c r="J20"/>
      <c r="K20"/>
      <c r="L20"/>
      <c r="M20"/>
      <c r="N20"/>
      <c r="O20"/>
      <c r="P20"/>
      <c r="Q20"/>
      <c r="R20"/>
      <c r="S20"/>
      <c r="T20"/>
      <c r="U20"/>
      <c r="V20"/>
      <c r="W20"/>
      <c r="X20"/>
    </row>
    <row r="21" spans="4:24" x14ac:dyDescent="0.25">
      <c r="D21"/>
      <c r="E21"/>
      <c r="F21"/>
      <c r="G21"/>
      <c r="H21"/>
      <c r="I21"/>
      <c r="J21"/>
      <c r="K21"/>
      <c r="L21"/>
      <c r="M21"/>
      <c r="N21"/>
      <c r="O21"/>
      <c r="P21"/>
      <c r="Q21"/>
      <c r="R21"/>
      <c r="S21"/>
      <c r="T21"/>
      <c r="U21"/>
      <c r="V21"/>
      <c r="W21"/>
      <c r="X21"/>
    </row>
    <row r="22" spans="4:24" x14ac:dyDescent="0.25">
      <c r="D22"/>
      <c r="E22"/>
      <c r="F22"/>
      <c r="G22"/>
      <c r="H22"/>
      <c r="I22"/>
      <c r="J22"/>
      <c r="K22"/>
      <c r="L22"/>
      <c r="M22"/>
      <c r="N22"/>
      <c r="O22"/>
      <c r="P22"/>
      <c r="Q22"/>
      <c r="R22"/>
      <c r="S22"/>
      <c r="T22"/>
      <c r="U22"/>
      <c r="V22"/>
      <c r="W22"/>
      <c r="X22"/>
    </row>
  </sheetData>
  <phoneticPr fontId="15" type="noConversion"/>
  <pageMargins left="0.7" right="0.7" top="0.75" bottom="0.75" header="0.3" footer="0.3"/>
  <pageSetup orientation="portrait" horizontalDpi="360" verticalDpi="36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C8194-B31D-4278-96E8-8A705A0C0168}">
  <dimension ref="A2:T85"/>
  <sheetViews>
    <sheetView showGridLines="0" topLeftCell="B1" zoomScale="80" zoomScaleNormal="80" workbookViewId="0">
      <selection activeCell="D12" sqref="D12"/>
    </sheetView>
  </sheetViews>
  <sheetFormatPr defaultRowHeight="14.25" x14ac:dyDescent="0.25"/>
  <cols>
    <col min="1" max="1" width="4.7109375" style="2" customWidth="1"/>
    <col min="2" max="2" width="24.85546875" style="2" customWidth="1"/>
    <col min="3" max="3" width="25.85546875" style="2" customWidth="1"/>
    <col min="4" max="4" width="42.5703125" style="2" bestFit="1" customWidth="1"/>
    <col min="5" max="5" width="16.28515625" style="2" bestFit="1" customWidth="1"/>
    <col min="6" max="11" width="11.28515625" style="2" customWidth="1"/>
    <col min="12" max="12" width="13" style="2" customWidth="1"/>
    <col min="13" max="13" width="10.28515625" style="2" customWidth="1"/>
    <col min="14" max="18" width="11.28515625" style="2" customWidth="1"/>
    <col min="19" max="19" width="13" style="2" customWidth="1"/>
    <col min="20" max="20" width="98.42578125" style="2" customWidth="1"/>
    <col min="21" max="16384" width="9.140625" style="2"/>
  </cols>
  <sheetData>
    <row r="2" spans="2:20" x14ac:dyDescent="0.25">
      <c r="B2" s="181" t="s">
        <v>150</v>
      </c>
      <c r="C2" s="181"/>
      <c r="D2" s="181"/>
      <c r="E2" s="39"/>
      <c r="F2" s="179" t="s">
        <v>149</v>
      </c>
      <c r="G2" s="180"/>
      <c r="H2" s="180"/>
      <c r="I2" s="180"/>
      <c r="J2" s="180"/>
      <c r="K2" s="180"/>
      <c r="L2" s="179"/>
      <c r="M2" s="179" t="s">
        <v>151</v>
      </c>
      <c r="N2" s="180"/>
      <c r="O2" s="180"/>
      <c r="P2" s="180"/>
      <c r="Q2" s="180"/>
      <c r="R2" s="180"/>
      <c r="S2" s="180"/>
      <c r="T2" s="40"/>
    </row>
    <row r="3" spans="2:20" x14ac:dyDescent="0.25">
      <c r="B3" s="41" t="s">
        <v>0</v>
      </c>
      <c r="C3" s="41" t="s">
        <v>5</v>
      </c>
      <c r="D3" s="41" t="s">
        <v>6</v>
      </c>
      <c r="E3" s="42" t="s">
        <v>98</v>
      </c>
      <c r="F3" s="43">
        <v>2020</v>
      </c>
      <c r="G3" s="44">
        <v>2021</v>
      </c>
      <c r="H3" s="44">
        <v>2022</v>
      </c>
      <c r="I3" s="44">
        <v>2023</v>
      </c>
      <c r="J3" s="44">
        <v>2024</v>
      </c>
      <c r="K3" s="44">
        <v>2025</v>
      </c>
      <c r="L3" s="45" t="s">
        <v>99</v>
      </c>
      <c r="M3" s="41">
        <v>2020</v>
      </c>
      <c r="N3" s="41">
        <v>2021</v>
      </c>
      <c r="O3" s="41">
        <v>2022</v>
      </c>
      <c r="P3" s="41">
        <v>2023</v>
      </c>
      <c r="Q3" s="41">
        <v>2024</v>
      </c>
      <c r="R3" s="41">
        <v>2025</v>
      </c>
      <c r="S3" s="46" t="s">
        <v>99</v>
      </c>
      <c r="T3" s="7" t="s">
        <v>97</v>
      </c>
    </row>
    <row r="4" spans="2:20" x14ac:dyDescent="0.25">
      <c r="B4" s="47" t="s">
        <v>1</v>
      </c>
      <c r="C4" s="47" t="s">
        <v>7</v>
      </c>
      <c r="D4" s="48" t="s">
        <v>9</v>
      </c>
      <c r="E4" s="62">
        <v>210</v>
      </c>
      <c r="F4" s="36" cm="1">
        <f t="array" ref="F4">ROUNDUP(SUMPRODUCT(HLD[Outdoor Subscriber Ratio],HLD[Covered Homes],--(HLD[Analysis Flag]="Y"))*Dashboard!C68+SUMPRODUCT(HLD[Outdoor Subscriber Ratio],HLD[Priority Targets Covered],--(HLD[Analysis Flag]="Y")),0)</f>
        <v>182</v>
      </c>
      <c r="G4" s="37" cm="1">
        <f t="array" ref="G4">ROUNDUP(SUMPRODUCT(HLD[Outdoor Subscriber Ratio],HLD[Covered Homes],--(HLD[Analysis Flag]="Y"))*Dashboard!D68+SUMPRODUCT(HLD[Outdoor Subscriber Ratio],HLD[Priority Targets Covered],--(HLD[Analysis Flag]="Y")),0)-SUM($F$4:F4)</f>
        <v>297</v>
      </c>
      <c r="H4" s="37" cm="1">
        <f t="array" ref="H4">ROUNDUP(SUMPRODUCT(HLD[Outdoor Subscriber Ratio],HLD[Covered Homes],--(HLD[Analysis Flag]="Y"))*Dashboard!E68+SUMPRODUCT(HLD[Outdoor Subscriber Ratio],HLD[Priority Targets Covered],--(HLD[Analysis Flag]="Y")),0)-SUM($F$4:G4)</f>
        <v>270</v>
      </c>
      <c r="I4" s="37" cm="1">
        <f t="array" ref="I4">ROUNDUP(SUMPRODUCT(HLD[Outdoor Subscriber Ratio],HLD[Covered Homes],--(HLD[Analysis Flag]="Y"))*Dashboard!F68+SUMPRODUCT(HLD[Outdoor Subscriber Ratio],HLD[Priority Targets Covered],--(HLD[Analysis Flag]="Y")),0)-SUM($F$4:H4)</f>
        <v>202</v>
      </c>
      <c r="J4" s="37" cm="1">
        <f t="array" ref="J4">ROUNDUP(SUMPRODUCT(HLD[Outdoor Subscriber Ratio],HLD[Covered Homes],--(HLD[Analysis Flag]="Y"))*Dashboard!G68+SUMPRODUCT(HLD[Outdoor Subscriber Ratio],HLD[Priority Targets Covered],--(HLD[Analysis Flag]="Y")),0)-SUM($F$4:I4)</f>
        <v>135</v>
      </c>
      <c r="K4" s="38" cm="1">
        <f t="array" ref="K4">ROUNDUP(SUMPRODUCT(HLD[Outdoor Subscriber Ratio],HLD[Covered Homes],--(HLD[Analysis Flag]="Y"))*Dashboard!H68+SUMPRODUCT(HLD[Outdoor Subscriber Ratio],HLD[Priority Targets Covered],--(HLD[Analysis Flag]="Y")),0)-SUM($F$4:J4)</f>
        <v>0</v>
      </c>
      <c r="L4" s="83">
        <f t="shared" ref="L4:L40" si="0">SUM(F4:K4)</f>
        <v>1086</v>
      </c>
      <c r="M4" s="75">
        <f t="shared" ref="M4:R8" si="1">F4*$E4*(CPE_Subsidy)</f>
        <v>19110</v>
      </c>
      <c r="N4" s="75">
        <f t="shared" si="1"/>
        <v>31185</v>
      </c>
      <c r="O4" s="75">
        <f t="shared" si="1"/>
        <v>28350</v>
      </c>
      <c r="P4" s="75">
        <f t="shared" si="1"/>
        <v>21210</v>
      </c>
      <c r="Q4" s="75">
        <f t="shared" si="1"/>
        <v>14175</v>
      </c>
      <c r="R4" s="75">
        <f t="shared" si="1"/>
        <v>0</v>
      </c>
      <c r="S4" s="86">
        <f t="shared" ref="S4:S31" si="2">SUM(M4:R4)</f>
        <v>114030</v>
      </c>
      <c r="T4" s="49" t="s">
        <v>301</v>
      </c>
    </row>
    <row r="5" spans="2:20" x14ac:dyDescent="0.25">
      <c r="B5" s="47" t="s">
        <v>1</v>
      </c>
      <c r="C5" s="47" t="s">
        <v>7</v>
      </c>
      <c r="D5" s="48" t="s">
        <v>11</v>
      </c>
      <c r="E5" s="62">
        <v>100</v>
      </c>
      <c r="F5" s="36">
        <f t="shared" ref="F5:K5" si="3">F4</f>
        <v>182</v>
      </c>
      <c r="G5" s="37">
        <f t="shared" si="3"/>
        <v>297</v>
      </c>
      <c r="H5" s="37">
        <f t="shared" si="3"/>
        <v>270</v>
      </c>
      <c r="I5" s="37">
        <f t="shared" si="3"/>
        <v>202</v>
      </c>
      <c r="J5" s="37">
        <f t="shared" si="3"/>
        <v>135</v>
      </c>
      <c r="K5" s="38">
        <f t="shared" si="3"/>
        <v>0</v>
      </c>
      <c r="L5" s="83">
        <f t="shared" si="0"/>
        <v>1086</v>
      </c>
      <c r="M5" s="75">
        <f t="shared" si="1"/>
        <v>9100</v>
      </c>
      <c r="N5" s="75">
        <f t="shared" si="1"/>
        <v>14850</v>
      </c>
      <c r="O5" s="75">
        <f t="shared" si="1"/>
        <v>13500</v>
      </c>
      <c r="P5" s="75">
        <f t="shared" si="1"/>
        <v>10100</v>
      </c>
      <c r="Q5" s="75">
        <f t="shared" si="1"/>
        <v>6750</v>
      </c>
      <c r="R5" s="75">
        <f t="shared" si="1"/>
        <v>0</v>
      </c>
      <c r="S5" s="86">
        <f t="shared" si="2"/>
        <v>54300</v>
      </c>
      <c r="T5" s="49" t="s">
        <v>302</v>
      </c>
    </row>
    <row r="6" spans="2:20" x14ac:dyDescent="0.25">
      <c r="B6" s="47" t="s">
        <v>1</v>
      </c>
      <c r="C6" s="47" t="s">
        <v>7</v>
      </c>
      <c r="D6" s="48" t="s">
        <v>10</v>
      </c>
      <c r="E6" s="62">
        <v>175</v>
      </c>
      <c r="F6" s="36" cm="1">
        <f t="array" ref="F6">ROUNDUP(SUMPRODUCT(1-HLD[Outdoor Subscriber Ratio],HLD[Covered Homes],--(HLD[Analysis Flag]="Y"))*Dashboard!C68+SUMPRODUCT(1-HLD[Outdoor Subscriber Ratio],HLD[Priority Targets Covered],--(HLD[Analysis Flag]="Y")),0)</f>
        <v>0</v>
      </c>
      <c r="G6" s="37" cm="1">
        <f t="array" ref="G6">ROUNDUP(SUMPRODUCT(1-HLD[Outdoor Subscriber Ratio],HLD[Covered Homes],--(HLD[Analysis Flag]="Y"))*Dashboard!D68+SUMPRODUCT(1-HLD[Outdoor Subscriber Ratio],HLD[Priority Targets Covered],--(HLD[Analysis Flag]="Y")),0)-SUM($F$6:F6)</f>
        <v>0</v>
      </c>
      <c r="H6" s="37" cm="1">
        <f t="array" ref="H6">ROUNDUP(SUMPRODUCT(1-HLD[Outdoor Subscriber Ratio],HLD[Covered Homes],--(HLD[Analysis Flag]="Y"))*Dashboard!E68+SUMPRODUCT(1-HLD[Outdoor Subscriber Ratio],HLD[Priority Targets Covered],--(HLD[Analysis Flag]="Y")),0)-SUM($F$6:G6)</f>
        <v>0</v>
      </c>
      <c r="I6" s="37" cm="1">
        <f t="array" ref="I6">ROUNDUP(SUMPRODUCT(1-HLD[Outdoor Subscriber Ratio],HLD[Covered Homes],--(HLD[Analysis Flag]="Y"))*Dashboard!F68+SUMPRODUCT(1-HLD[Outdoor Subscriber Ratio],HLD[Priority Targets Covered],--(HLD[Analysis Flag]="Y")),0)-SUM($F$6:H6)</f>
        <v>0</v>
      </c>
      <c r="J6" s="37" cm="1">
        <f t="array" ref="J6">ROUNDUP(SUMPRODUCT(1-HLD[Outdoor Subscriber Ratio],HLD[Covered Homes],--(HLD[Analysis Flag]="Y"))*Dashboard!G68+SUMPRODUCT(1-HLD[Outdoor Subscriber Ratio],HLD[Priority Targets Covered],--(HLD[Analysis Flag]="Y")),0)-SUM($F$6:I6)</f>
        <v>0</v>
      </c>
      <c r="K6" s="38" cm="1">
        <f t="array" ref="K6">ROUNDUP(SUMPRODUCT(1-HLD[Outdoor Subscriber Ratio],HLD[Covered Homes],--(HLD[Analysis Flag]="Y"))*Dashboard!H68+SUMPRODUCT(1-HLD[Outdoor Subscriber Ratio],HLD[Priority Targets Covered],--(HLD[Analysis Flag]="Y")),0)-SUM($F$6:J6)</f>
        <v>0</v>
      </c>
      <c r="L6" s="83">
        <f t="shared" si="0"/>
        <v>0</v>
      </c>
      <c r="M6" s="75">
        <f t="shared" si="1"/>
        <v>0</v>
      </c>
      <c r="N6" s="75">
        <f t="shared" si="1"/>
        <v>0</v>
      </c>
      <c r="O6" s="75">
        <f t="shared" si="1"/>
        <v>0</v>
      </c>
      <c r="P6" s="75">
        <f t="shared" si="1"/>
        <v>0</v>
      </c>
      <c r="Q6" s="75">
        <f t="shared" si="1"/>
        <v>0</v>
      </c>
      <c r="R6" s="75">
        <f t="shared" si="1"/>
        <v>0</v>
      </c>
      <c r="S6" s="86">
        <f t="shared" si="2"/>
        <v>0</v>
      </c>
      <c r="T6" s="49" t="s">
        <v>303</v>
      </c>
    </row>
    <row r="7" spans="2:20" x14ac:dyDescent="0.25">
      <c r="B7" s="47" t="s">
        <v>1</v>
      </c>
      <c r="C7" s="47" t="s">
        <v>8</v>
      </c>
      <c r="D7" s="48" t="s">
        <v>101</v>
      </c>
      <c r="E7" s="62">
        <v>95</v>
      </c>
      <c r="F7" s="36">
        <f t="shared" ref="F7:K7" si="4">F4</f>
        <v>182</v>
      </c>
      <c r="G7" s="37">
        <f t="shared" si="4"/>
        <v>297</v>
      </c>
      <c r="H7" s="37">
        <f t="shared" si="4"/>
        <v>270</v>
      </c>
      <c r="I7" s="37">
        <f t="shared" si="4"/>
        <v>202</v>
      </c>
      <c r="J7" s="37">
        <f t="shared" si="4"/>
        <v>135</v>
      </c>
      <c r="K7" s="38">
        <f t="shared" si="4"/>
        <v>0</v>
      </c>
      <c r="L7" s="83">
        <f t="shared" si="0"/>
        <v>1086</v>
      </c>
      <c r="M7" s="75">
        <f t="shared" si="1"/>
        <v>8645</v>
      </c>
      <c r="N7" s="75">
        <f t="shared" si="1"/>
        <v>14107.5</v>
      </c>
      <c r="O7" s="75">
        <f t="shared" si="1"/>
        <v>12825</v>
      </c>
      <c r="P7" s="75">
        <f t="shared" si="1"/>
        <v>9595</v>
      </c>
      <c r="Q7" s="75">
        <f t="shared" si="1"/>
        <v>6412.5</v>
      </c>
      <c r="R7" s="75">
        <f t="shared" si="1"/>
        <v>0</v>
      </c>
      <c r="S7" s="86">
        <f t="shared" si="2"/>
        <v>51585</v>
      </c>
      <c r="T7" s="49" t="s">
        <v>304</v>
      </c>
    </row>
    <row r="8" spans="2:20" ht="15" thickBot="1" x14ac:dyDescent="0.3">
      <c r="B8" s="69" t="s">
        <v>1</v>
      </c>
      <c r="C8" s="69" t="s">
        <v>8</v>
      </c>
      <c r="D8" s="70" t="s">
        <v>33</v>
      </c>
      <c r="E8" s="82">
        <v>190</v>
      </c>
      <c r="F8" s="71">
        <f t="shared" ref="F8:K8" si="5">F4</f>
        <v>182</v>
      </c>
      <c r="G8" s="72">
        <f t="shared" si="5"/>
        <v>297</v>
      </c>
      <c r="H8" s="72">
        <f t="shared" si="5"/>
        <v>270</v>
      </c>
      <c r="I8" s="72">
        <f t="shared" si="5"/>
        <v>202</v>
      </c>
      <c r="J8" s="72">
        <f t="shared" si="5"/>
        <v>135</v>
      </c>
      <c r="K8" s="73">
        <f t="shared" si="5"/>
        <v>0</v>
      </c>
      <c r="L8" s="84">
        <f t="shared" si="0"/>
        <v>1086</v>
      </c>
      <c r="M8" s="76">
        <f t="shared" si="1"/>
        <v>17290</v>
      </c>
      <c r="N8" s="76">
        <f t="shared" si="1"/>
        <v>28215</v>
      </c>
      <c r="O8" s="76">
        <f t="shared" si="1"/>
        <v>25650</v>
      </c>
      <c r="P8" s="76">
        <f t="shared" si="1"/>
        <v>19190</v>
      </c>
      <c r="Q8" s="76">
        <f t="shared" si="1"/>
        <v>12825</v>
      </c>
      <c r="R8" s="76">
        <f t="shared" si="1"/>
        <v>0</v>
      </c>
      <c r="S8" s="87">
        <f t="shared" si="2"/>
        <v>103170</v>
      </c>
      <c r="T8" s="74" t="s">
        <v>305</v>
      </c>
    </row>
    <row r="9" spans="2:20" x14ac:dyDescent="0.25">
      <c r="B9" s="63" t="s">
        <v>2</v>
      </c>
      <c r="C9" s="63" t="s">
        <v>28</v>
      </c>
      <c r="D9" s="64" t="s">
        <v>102</v>
      </c>
      <c r="E9" s="81">
        <v>500</v>
      </c>
      <c r="F9" s="65">
        <f>COUNTIFS(HLD[Analysis Flag],"Y",HLD[Core Site],"No",HLD[Site Type],"Rooftop")</f>
        <v>8</v>
      </c>
      <c r="G9" s="66">
        <v>0</v>
      </c>
      <c r="H9" s="66">
        <v>0</v>
      </c>
      <c r="I9" s="66">
        <v>0</v>
      </c>
      <c r="J9" s="66">
        <v>0</v>
      </c>
      <c r="K9" s="67">
        <v>0</v>
      </c>
      <c r="L9" s="85">
        <f t="shared" si="0"/>
        <v>8</v>
      </c>
      <c r="M9" s="77">
        <f t="shared" ref="M9:M43" si="6">F9*$E9</f>
        <v>4000</v>
      </c>
      <c r="N9" s="77">
        <f t="shared" ref="N9:N43" si="7">G9*$E9</f>
        <v>0</v>
      </c>
      <c r="O9" s="77">
        <f t="shared" ref="O9:O43" si="8">H9*$E9</f>
        <v>0</v>
      </c>
      <c r="P9" s="77">
        <f t="shared" ref="P9:P43" si="9">I9*$E9</f>
        <v>0</v>
      </c>
      <c r="Q9" s="77">
        <f t="shared" ref="Q9:Q43" si="10">J9*$E9</f>
        <v>0</v>
      </c>
      <c r="R9" s="77">
        <f t="shared" ref="R9:R43" si="11">K9*$E9</f>
        <v>0</v>
      </c>
      <c r="S9" s="88">
        <f t="shared" si="2"/>
        <v>4000</v>
      </c>
      <c r="T9" s="68" t="s">
        <v>306</v>
      </c>
    </row>
    <row r="10" spans="2:20" x14ac:dyDescent="0.25">
      <c r="B10" s="47" t="s">
        <v>2</v>
      </c>
      <c r="C10" s="47" t="s">
        <v>28</v>
      </c>
      <c r="D10" s="48" t="s">
        <v>280</v>
      </c>
      <c r="E10" s="62">
        <v>3500</v>
      </c>
      <c r="F10" s="36">
        <f>COUNTIFS(HLD[Analysis Flag],"Y",HLD[Core Site],"No",HLD[Tower Mods Required],"Minor")</f>
        <v>0</v>
      </c>
      <c r="G10" s="37">
        <v>0</v>
      </c>
      <c r="H10" s="37">
        <v>0</v>
      </c>
      <c r="I10" s="37">
        <v>0</v>
      </c>
      <c r="J10" s="37">
        <v>0</v>
      </c>
      <c r="K10" s="38">
        <v>0</v>
      </c>
      <c r="L10" s="83">
        <f t="shared" si="0"/>
        <v>0</v>
      </c>
      <c r="M10" s="75">
        <f t="shared" si="6"/>
        <v>0</v>
      </c>
      <c r="N10" s="75">
        <f t="shared" si="7"/>
        <v>0</v>
      </c>
      <c r="O10" s="75">
        <f t="shared" si="8"/>
        <v>0</v>
      </c>
      <c r="P10" s="75">
        <f t="shared" si="9"/>
        <v>0</v>
      </c>
      <c r="Q10" s="75">
        <f t="shared" si="10"/>
        <v>0</v>
      </c>
      <c r="R10" s="75">
        <f t="shared" si="11"/>
        <v>0</v>
      </c>
      <c r="S10" s="86">
        <f t="shared" si="2"/>
        <v>0</v>
      </c>
      <c r="T10" s="49" t="s">
        <v>307</v>
      </c>
    </row>
    <row r="11" spans="2:20" x14ac:dyDescent="0.25">
      <c r="B11" s="47" t="s">
        <v>2</v>
      </c>
      <c r="C11" s="47" t="s">
        <v>28</v>
      </c>
      <c r="D11" s="48" t="s">
        <v>281</v>
      </c>
      <c r="E11" s="62">
        <v>5000</v>
      </c>
      <c r="F11" s="36">
        <f>COUNTIFS(HLD[Analysis Flag],"Y",HLD[Core Site],"No",HLD[Tower Mods Required],"Major")</f>
        <v>0</v>
      </c>
      <c r="G11" s="37">
        <v>0</v>
      </c>
      <c r="H11" s="37">
        <v>0</v>
      </c>
      <c r="I11" s="37">
        <v>0</v>
      </c>
      <c r="J11" s="37">
        <v>0</v>
      </c>
      <c r="K11" s="38">
        <v>0</v>
      </c>
      <c r="L11" s="83">
        <f t="shared" ref="L11" si="12">SUM(F11:K11)</f>
        <v>0</v>
      </c>
      <c r="M11" s="75">
        <f t="shared" ref="M11" si="13">F11*$E11</f>
        <v>0</v>
      </c>
      <c r="N11" s="75">
        <f t="shared" ref="N11" si="14">G11*$E11</f>
        <v>0</v>
      </c>
      <c r="O11" s="75">
        <f t="shared" ref="O11" si="15">H11*$E11</f>
        <v>0</v>
      </c>
      <c r="P11" s="75">
        <f t="shared" ref="P11" si="16">I11*$E11</f>
        <v>0</v>
      </c>
      <c r="Q11" s="75">
        <f t="shared" ref="Q11" si="17">J11*$E11</f>
        <v>0</v>
      </c>
      <c r="R11" s="75">
        <f t="shared" ref="R11" si="18">K11*$E11</f>
        <v>0</v>
      </c>
      <c r="S11" s="86">
        <f t="shared" ref="S11" si="19">SUM(M11:R11)</f>
        <v>0</v>
      </c>
      <c r="T11" s="49" t="s">
        <v>308</v>
      </c>
    </row>
    <row r="12" spans="2:20" x14ac:dyDescent="0.25">
      <c r="B12" s="47" t="s">
        <v>2</v>
      </c>
      <c r="C12" s="47" t="s">
        <v>28</v>
      </c>
      <c r="D12" s="48" t="s">
        <v>25</v>
      </c>
      <c r="E12" s="62">
        <v>14000</v>
      </c>
      <c r="F12" s="36">
        <f>COUNTIFS(HLD[Analysis Flag],"Y",HLD[Core Site],"No",HLD[Site Type],"New Tower",HLD[Tower Height],10)</f>
        <v>0</v>
      </c>
      <c r="G12" s="37">
        <v>0</v>
      </c>
      <c r="H12" s="37">
        <v>0</v>
      </c>
      <c r="I12" s="37">
        <v>0</v>
      </c>
      <c r="J12" s="37">
        <v>0</v>
      </c>
      <c r="K12" s="38">
        <v>0</v>
      </c>
      <c r="L12" s="83">
        <f t="shared" si="0"/>
        <v>0</v>
      </c>
      <c r="M12" s="75">
        <f t="shared" si="6"/>
        <v>0</v>
      </c>
      <c r="N12" s="75">
        <f t="shared" si="7"/>
        <v>0</v>
      </c>
      <c r="O12" s="75">
        <f t="shared" si="8"/>
        <v>0</v>
      </c>
      <c r="P12" s="75">
        <f t="shared" si="9"/>
        <v>0</v>
      </c>
      <c r="Q12" s="75">
        <f t="shared" si="10"/>
        <v>0</v>
      </c>
      <c r="R12" s="75">
        <f t="shared" si="11"/>
        <v>0</v>
      </c>
      <c r="S12" s="86">
        <f t="shared" si="2"/>
        <v>0</v>
      </c>
      <c r="T12" s="49" t="s">
        <v>309</v>
      </c>
    </row>
    <row r="13" spans="2:20" x14ac:dyDescent="0.25">
      <c r="B13" s="47" t="s">
        <v>2</v>
      </c>
      <c r="C13" s="47" t="s">
        <v>28</v>
      </c>
      <c r="D13" s="48" t="s">
        <v>26</v>
      </c>
      <c r="E13" s="62">
        <v>26000</v>
      </c>
      <c r="F13" s="36">
        <f>COUNTIFS(HLD[Analysis Flag],"Y",HLD[Core Site],"No",HLD[Site Type],"New Tower",HLD[Tower Height],20)</f>
        <v>0</v>
      </c>
      <c r="G13" s="37">
        <v>0</v>
      </c>
      <c r="H13" s="37">
        <v>0</v>
      </c>
      <c r="I13" s="37">
        <v>0</v>
      </c>
      <c r="J13" s="37">
        <v>0</v>
      </c>
      <c r="K13" s="38">
        <v>0</v>
      </c>
      <c r="L13" s="83">
        <f t="shared" si="0"/>
        <v>0</v>
      </c>
      <c r="M13" s="75">
        <f t="shared" si="6"/>
        <v>0</v>
      </c>
      <c r="N13" s="75">
        <f t="shared" si="7"/>
        <v>0</v>
      </c>
      <c r="O13" s="75">
        <f t="shared" si="8"/>
        <v>0</v>
      </c>
      <c r="P13" s="75">
        <f t="shared" si="9"/>
        <v>0</v>
      </c>
      <c r="Q13" s="75">
        <f t="shared" si="10"/>
        <v>0</v>
      </c>
      <c r="R13" s="75">
        <f t="shared" si="11"/>
        <v>0</v>
      </c>
      <c r="S13" s="86">
        <f t="shared" si="2"/>
        <v>0</v>
      </c>
      <c r="T13" s="49" t="s">
        <v>309</v>
      </c>
    </row>
    <row r="14" spans="2:20" x14ac:dyDescent="0.25">
      <c r="B14" s="47" t="s">
        <v>2</v>
      </c>
      <c r="C14" s="47" t="s">
        <v>28</v>
      </c>
      <c r="D14" s="48" t="s">
        <v>27</v>
      </c>
      <c r="E14" s="62">
        <v>38000</v>
      </c>
      <c r="F14" s="36">
        <f>COUNTIFS(HLD[Analysis Flag],"Y",HLD[Core Site],"No",HLD[Site Type],"New Tower",HLD[Tower Height],30)</f>
        <v>0</v>
      </c>
      <c r="G14" s="37">
        <v>0</v>
      </c>
      <c r="H14" s="37">
        <v>0</v>
      </c>
      <c r="I14" s="37">
        <v>0</v>
      </c>
      <c r="J14" s="37">
        <v>0</v>
      </c>
      <c r="K14" s="38">
        <v>0</v>
      </c>
      <c r="L14" s="83">
        <f t="shared" si="0"/>
        <v>0</v>
      </c>
      <c r="M14" s="75">
        <f t="shared" si="6"/>
        <v>0</v>
      </c>
      <c r="N14" s="75">
        <f t="shared" si="7"/>
        <v>0</v>
      </c>
      <c r="O14" s="75">
        <f t="shared" si="8"/>
        <v>0</v>
      </c>
      <c r="P14" s="75">
        <f t="shared" si="9"/>
        <v>0</v>
      </c>
      <c r="Q14" s="75">
        <f t="shared" si="10"/>
        <v>0</v>
      </c>
      <c r="R14" s="75">
        <f t="shared" si="11"/>
        <v>0</v>
      </c>
      <c r="S14" s="86">
        <f t="shared" si="2"/>
        <v>0</v>
      </c>
      <c r="T14" s="49" t="s">
        <v>309</v>
      </c>
    </row>
    <row r="15" spans="2:20" x14ac:dyDescent="0.25">
      <c r="B15" s="47" t="s">
        <v>2</v>
      </c>
      <c r="C15" s="47" t="s">
        <v>28</v>
      </c>
      <c r="D15" s="48" t="s">
        <v>34</v>
      </c>
      <c r="E15" s="62">
        <v>200</v>
      </c>
      <c r="F15" s="36">
        <f>COUNTIFS(HLD[Analysis Flag],"Y",HLD[Core Site],"No")</f>
        <v>8</v>
      </c>
      <c r="G15" s="37">
        <v>0</v>
      </c>
      <c r="H15" s="37">
        <v>0</v>
      </c>
      <c r="I15" s="37">
        <v>0</v>
      </c>
      <c r="J15" s="37">
        <v>0</v>
      </c>
      <c r="K15" s="38">
        <v>0</v>
      </c>
      <c r="L15" s="83">
        <f t="shared" si="0"/>
        <v>8</v>
      </c>
      <c r="M15" s="75">
        <f t="shared" si="6"/>
        <v>1600</v>
      </c>
      <c r="N15" s="75">
        <f t="shared" si="7"/>
        <v>0</v>
      </c>
      <c r="O15" s="75">
        <f t="shared" si="8"/>
        <v>0</v>
      </c>
      <c r="P15" s="75">
        <f t="shared" si="9"/>
        <v>0</v>
      </c>
      <c r="Q15" s="75">
        <f t="shared" si="10"/>
        <v>0</v>
      </c>
      <c r="R15" s="75">
        <f t="shared" si="11"/>
        <v>0</v>
      </c>
      <c r="S15" s="86">
        <f t="shared" si="2"/>
        <v>1600</v>
      </c>
      <c r="T15" s="49" t="s">
        <v>310</v>
      </c>
    </row>
    <row r="16" spans="2:20" x14ac:dyDescent="0.25">
      <c r="B16" s="47" t="s">
        <v>2</v>
      </c>
      <c r="C16" s="47" t="s">
        <v>12</v>
      </c>
      <c r="D16" s="48" t="s">
        <v>109</v>
      </c>
      <c r="E16" s="137">
        <f>RAN_Config_1_CAPEX</f>
        <v>5450</v>
      </c>
      <c r="F16" s="36">
        <f>COUNTIFS(HLD[Analysis Flag],"Y",HLD[Core Site],"No",HLD[RAN Configuration],"RAN Config 1")</f>
        <v>7</v>
      </c>
      <c r="G16" s="37">
        <v>0</v>
      </c>
      <c r="H16" s="37">
        <v>0</v>
      </c>
      <c r="I16" s="37">
        <v>0</v>
      </c>
      <c r="J16" s="37">
        <v>0</v>
      </c>
      <c r="K16" s="38">
        <v>0</v>
      </c>
      <c r="L16" s="83">
        <f t="shared" si="0"/>
        <v>7</v>
      </c>
      <c r="M16" s="75">
        <f t="shared" si="6"/>
        <v>38150</v>
      </c>
      <c r="N16" s="75">
        <f t="shared" si="7"/>
        <v>0</v>
      </c>
      <c r="O16" s="75">
        <f t="shared" si="8"/>
        <v>0</v>
      </c>
      <c r="P16" s="75">
        <f t="shared" si="9"/>
        <v>0</v>
      </c>
      <c r="Q16" s="75">
        <f t="shared" si="10"/>
        <v>0</v>
      </c>
      <c r="R16" s="75">
        <f t="shared" si="11"/>
        <v>0</v>
      </c>
      <c r="S16" s="86">
        <f t="shared" si="2"/>
        <v>38150</v>
      </c>
      <c r="T16" s="49" t="s">
        <v>311</v>
      </c>
    </row>
    <row r="17" spans="1:20" x14ac:dyDescent="0.25">
      <c r="B17" s="47" t="s">
        <v>2</v>
      </c>
      <c r="C17" s="47" t="s">
        <v>12</v>
      </c>
      <c r="D17" s="48" t="s">
        <v>110</v>
      </c>
      <c r="E17" s="138">
        <f>RAN_Config_2_CAPEX</f>
        <v>15950</v>
      </c>
      <c r="F17" s="36">
        <f>COUNTIFS(HLD[Analysis Flag],"Y",HLD[Core Site],"No",HLD[RAN Configuration],"RAN Config 2")</f>
        <v>1</v>
      </c>
      <c r="G17" s="37">
        <v>0</v>
      </c>
      <c r="H17" s="37">
        <v>0</v>
      </c>
      <c r="I17" s="37">
        <v>0</v>
      </c>
      <c r="J17" s="37">
        <v>0</v>
      </c>
      <c r="K17" s="38">
        <v>0</v>
      </c>
      <c r="L17" s="83">
        <f t="shared" si="0"/>
        <v>1</v>
      </c>
      <c r="M17" s="75">
        <f t="shared" si="6"/>
        <v>15950</v>
      </c>
      <c r="N17" s="75">
        <f t="shared" si="7"/>
        <v>0</v>
      </c>
      <c r="O17" s="75">
        <f t="shared" si="8"/>
        <v>0</v>
      </c>
      <c r="P17" s="75">
        <f t="shared" si="9"/>
        <v>0</v>
      </c>
      <c r="Q17" s="75">
        <f t="shared" si="10"/>
        <v>0</v>
      </c>
      <c r="R17" s="75">
        <f t="shared" si="11"/>
        <v>0</v>
      </c>
      <c r="S17" s="86">
        <f t="shared" si="2"/>
        <v>15950</v>
      </c>
      <c r="T17" s="49" t="s">
        <v>312</v>
      </c>
    </row>
    <row r="18" spans="1:20" x14ac:dyDescent="0.25">
      <c r="B18" s="47" t="s">
        <v>2</v>
      </c>
      <c r="C18" s="47" t="s">
        <v>12</v>
      </c>
      <c r="D18" s="48" t="s">
        <v>111</v>
      </c>
      <c r="E18" s="138">
        <f>RAN_Config_3_CAPEX</f>
        <v>21200</v>
      </c>
      <c r="F18" s="36">
        <f>COUNTIFS(HLD[Analysis Flag],"Y",HLD[Core Site],"No",HLD[RAN Configuration],"RAN Config 3")</f>
        <v>0</v>
      </c>
      <c r="G18" s="37">
        <v>0</v>
      </c>
      <c r="H18" s="37">
        <v>0</v>
      </c>
      <c r="I18" s="37">
        <v>0</v>
      </c>
      <c r="J18" s="37">
        <v>0</v>
      </c>
      <c r="K18" s="38">
        <v>0</v>
      </c>
      <c r="L18" s="83">
        <f t="shared" si="0"/>
        <v>0</v>
      </c>
      <c r="M18" s="75">
        <f t="shared" si="6"/>
        <v>0</v>
      </c>
      <c r="N18" s="75">
        <f t="shared" si="7"/>
        <v>0</v>
      </c>
      <c r="O18" s="75">
        <f t="shared" si="8"/>
        <v>0</v>
      </c>
      <c r="P18" s="75">
        <f t="shared" si="9"/>
        <v>0</v>
      </c>
      <c r="Q18" s="75">
        <f t="shared" si="10"/>
        <v>0</v>
      </c>
      <c r="R18" s="75">
        <f t="shared" si="11"/>
        <v>0</v>
      </c>
      <c r="S18" s="86">
        <f t="shared" si="2"/>
        <v>0</v>
      </c>
      <c r="T18" s="49" t="s">
        <v>312</v>
      </c>
    </row>
    <row r="19" spans="1:20" x14ac:dyDescent="0.25">
      <c r="A19" s="146"/>
      <c r="B19" s="47" t="s">
        <v>2</v>
      </c>
      <c r="C19" s="47" t="s">
        <v>13</v>
      </c>
      <c r="D19" s="48" t="s">
        <v>218</v>
      </c>
      <c r="E19" s="139">
        <f>BH_Config_1_CAPEX</f>
        <v>6000</v>
      </c>
      <c r="F19" s="36" cm="1">
        <f t="array" ref="F19">SUMPRODUCT(--(HLD[Analysis Flag]="Y"),--(HLD[Core Site]="No"),--(HLD[Backhaul Configuration]="Backhaul Config 1"),HLD['# of Backhaul Links])</f>
        <v>0</v>
      </c>
      <c r="G19" s="37">
        <v>0</v>
      </c>
      <c r="H19" s="37">
        <v>0</v>
      </c>
      <c r="I19" s="37">
        <v>0</v>
      </c>
      <c r="J19" s="37">
        <v>0</v>
      </c>
      <c r="K19" s="38">
        <v>0</v>
      </c>
      <c r="L19" s="83">
        <f t="shared" si="0"/>
        <v>0</v>
      </c>
      <c r="M19" s="75">
        <f t="shared" si="6"/>
        <v>0</v>
      </c>
      <c r="N19" s="75">
        <f t="shared" si="7"/>
        <v>0</v>
      </c>
      <c r="O19" s="75">
        <f t="shared" si="8"/>
        <v>0</v>
      </c>
      <c r="P19" s="75">
        <f t="shared" si="9"/>
        <v>0</v>
      </c>
      <c r="Q19" s="75">
        <f t="shared" si="10"/>
        <v>0</v>
      </c>
      <c r="R19" s="75">
        <f t="shared" si="11"/>
        <v>0</v>
      </c>
      <c r="S19" s="86">
        <f t="shared" si="2"/>
        <v>0</v>
      </c>
      <c r="T19" s="49" t="s">
        <v>313</v>
      </c>
    </row>
    <row r="20" spans="1:20" x14ac:dyDescent="0.25">
      <c r="A20" s="146"/>
      <c r="B20" s="47" t="s">
        <v>2</v>
      </c>
      <c r="C20" s="47" t="s">
        <v>13</v>
      </c>
      <c r="D20" s="48" t="s">
        <v>244</v>
      </c>
      <c r="E20" s="139">
        <f>BH_Config_2_CAPEX</f>
        <v>3900</v>
      </c>
      <c r="F20" s="36" cm="1">
        <f t="array" ref="F20">SUMPRODUCT(--(HLD[Analysis Flag]="Y"),--(HLD[Core Site]="No"),--(HLD[Backhaul Configuration]="Backhaul Config 2"),HLD['# of Backhaul Links])</f>
        <v>8</v>
      </c>
      <c r="G20" s="37">
        <v>0</v>
      </c>
      <c r="H20" s="37">
        <v>0</v>
      </c>
      <c r="I20" s="37">
        <v>0</v>
      </c>
      <c r="J20" s="37">
        <v>0</v>
      </c>
      <c r="K20" s="38">
        <v>0</v>
      </c>
      <c r="L20" s="83">
        <f t="shared" si="0"/>
        <v>8</v>
      </c>
      <c r="M20" s="75">
        <f t="shared" si="6"/>
        <v>31200</v>
      </c>
      <c r="N20" s="75">
        <f t="shared" si="7"/>
        <v>0</v>
      </c>
      <c r="O20" s="75">
        <f t="shared" si="8"/>
        <v>0</v>
      </c>
      <c r="P20" s="75">
        <f t="shared" si="9"/>
        <v>0</v>
      </c>
      <c r="Q20" s="75">
        <f t="shared" si="10"/>
        <v>0</v>
      </c>
      <c r="R20" s="75">
        <f t="shared" si="11"/>
        <v>0</v>
      </c>
      <c r="S20" s="86">
        <f t="shared" si="2"/>
        <v>31200</v>
      </c>
      <c r="T20" s="49" t="s">
        <v>314</v>
      </c>
    </row>
    <row r="21" spans="1:20" x14ac:dyDescent="0.25">
      <c r="A21" s="146"/>
      <c r="B21" s="47" t="s">
        <v>2</v>
      </c>
      <c r="C21" s="47" t="s">
        <v>13</v>
      </c>
      <c r="D21" s="48" t="s">
        <v>246</v>
      </c>
      <c r="E21" s="139">
        <f>BH_Config_3_CAPEX</f>
        <v>450</v>
      </c>
      <c r="F21" s="36" cm="1">
        <f t="array" ref="F21">SUMPRODUCT(--(HLD[Analysis Flag]="Y"),--(HLD[Core Site]="No"),--(HLD[Backhaul Configuration]="Backhaul Config 3"),HLD['# of Backhaul Links])</f>
        <v>0</v>
      </c>
      <c r="G21" s="37">
        <v>0</v>
      </c>
      <c r="H21" s="37">
        <v>0</v>
      </c>
      <c r="I21" s="37">
        <v>0</v>
      </c>
      <c r="J21" s="37">
        <v>0</v>
      </c>
      <c r="K21" s="38">
        <v>0</v>
      </c>
      <c r="L21" s="83">
        <f t="shared" si="0"/>
        <v>0</v>
      </c>
      <c r="M21" s="75">
        <f t="shared" si="6"/>
        <v>0</v>
      </c>
      <c r="N21" s="75">
        <f t="shared" si="7"/>
        <v>0</v>
      </c>
      <c r="O21" s="75">
        <f t="shared" si="8"/>
        <v>0</v>
      </c>
      <c r="P21" s="75">
        <f t="shared" si="9"/>
        <v>0</v>
      </c>
      <c r="Q21" s="75">
        <f t="shared" si="10"/>
        <v>0</v>
      </c>
      <c r="R21" s="75">
        <f t="shared" si="11"/>
        <v>0</v>
      </c>
      <c r="S21" s="86">
        <f t="shared" si="2"/>
        <v>0</v>
      </c>
      <c r="T21" s="49" t="s">
        <v>314</v>
      </c>
    </row>
    <row r="22" spans="1:20" x14ac:dyDescent="0.25">
      <c r="A22" s="146"/>
      <c r="B22" s="47" t="s">
        <v>2</v>
      </c>
      <c r="C22" s="47" t="s">
        <v>13</v>
      </c>
      <c r="D22" s="48" t="s">
        <v>249</v>
      </c>
      <c r="E22" s="139">
        <f>BH_Config_4_CAPEX</f>
        <v>3100</v>
      </c>
      <c r="F22" s="36" cm="1">
        <f t="array" ref="F22">SUMPRODUCT(--(HLD[Analysis Flag]="Y"),--(HLD[Core Site]="No"),--(HLD[Backhaul Configuration]="Backhaul Config 4"),HLD['# of Backhaul Links])</f>
        <v>0</v>
      </c>
      <c r="G22" s="37">
        <v>0</v>
      </c>
      <c r="H22" s="37">
        <v>0</v>
      </c>
      <c r="I22" s="37">
        <v>0</v>
      </c>
      <c r="J22" s="37">
        <v>0</v>
      </c>
      <c r="K22" s="38">
        <v>0</v>
      </c>
      <c r="L22" s="83">
        <f t="shared" si="0"/>
        <v>0</v>
      </c>
      <c r="M22" s="75">
        <f t="shared" si="6"/>
        <v>0</v>
      </c>
      <c r="N22" s="75">
        <f t="shared" si="7"/>
        <v>0</v>
      </c>
      <c r="O22" s="75">
        <f t="shared" si="8"/>
        <v>0</v>
      </c>
      <c r="P22" s="75">
        <f t="shared" si="9"/>
        <v>0</v>
      </c>
      <c r="Q22" s="75">
        <f t="shared" si="10"/>
        <v>0</v>
      </c>
      <c r="R22" s="75">
        <f t="shared" si="11"/>
        <v>0</v>
      </c>
      <c r="S22" s="86">
        <f t="shared" si="2"/>
        <v>0</v>
      </c>
      <c r="T22" s="49" t="s">
        <v>314</v>
      </c>
    </row>
    <row r="23" spans="1:20" x14ac:dyDescent="0.25">
      <c r="B23" s="47" t="s">
        <v>2</v>
      </c>
      <c r="C23" s="47" t="s">
        <v>13</v>
      </c>
      <c r="D23" s="48" t="s">
        <v>129</v>
      </c>
      <c r="E23" s="62">
        <v>15000</v>
      </c>
      <c r="F23" s="36" cm="1">
        <f t="array" ref="F23">SUMPRODUCT(--(HLD[Analysis Flag]="Y"),--(HLD[Core Site]="No"),--(HLD[Backhaul Type]="Fiber"),HLD[Fiber Length])</f>
        <v>0</v>
      </c>
      <c r="G23" s="37">
        <v>0</v>
      </c>
      <c r="H23" s="37">
        <v>0</v>
      </c>
      <c r="I23" s="37">
        <v>0</v>
      </c>
      <c r="J23" s="37">
        <v>0</v>
      </c>
      <c r="K23" s="38">
        <v>0</v>
      </c>
      <c r="L23" s="83">
        <f t="shared" si="0"/>
        <v>0</v>
      </c>
      <c r="M23" s="75">
        <f t="shared" si="6"/>
        <v>0</v>
      </c>
      <c r="N23" s="75">
        <f t="shared" si="7"/>
        <v>0</v>
      </c>
      <c r="O23" s="75">
        <f t="shared" si="8"/>
        <v>0</v>
      </c>
      <c r="P23" s="75">
        <f t="shared" si="9"/>
        <v>0</v>
      </c>
      <c r="Q23" s="75">
        <f t="shared" si="10"/>
        <v>0</v>
      </c>
      <c r="R23" s="75">
        <f t="shared" si="11"/>
        <v>0</v>
      </c>
      <c r="S23" s="86">
        <f t="shared" si="2"/>
        <v>0</v>
      </c>
      <c r="T23" s="49" t="s">
        <v>315</v>
      </c>
    </row>
    <row r="24" spans="1:20" x14ac:dyDescent="0.25">
      <c r="B24" s="47" t="s">
        <v>2</v>
      </c>
      <c r="C24" s="47" t="s">
        <v>16</v>
      </c>
      <c r="D24" s="48" t="s">
        <v>36</v>
      </c>
      <c r="E24" s="62">
        <v>450</v>
      </c>
      <c r="F24" s="36">
        <f>IF(EPC_Arch="Distributed",COUNTIFS(HLD[Analysis Flag],"Y",HLD[Core Site],"No"),0)</f>
        <v>0</v>
      </c>
      <c r="G24" s="37">
        <v>0</v>
      </c>
      <c r="H24" s="37">
        <v>0</v>
      </c>
      <c r="I24" s="37">
        <v>0</v>
      </c>
      <c r="J24" s="37">
        <v>0</v>
      </c>
      <c r="K24" s="38">
        <v>0</v>
      </c>
      <c r="L24" s="83">
        <f t="shared" si="0"/>
        <v>0</v>
      </c>
      <c r="M24" s="75">
        <f t="shared" si="6"/>
        <v>0</v>
      </c>
      <c r="N24" s="75">
        <f t="shared" si="7"/>
        <v>0</v>
      </c>
      <c r="O24" s="75">
        <f t="shared" si="8"/>
        <v>0</v>
      </c>
      <c r="P24" s="75">
        <f t="shared" si="9"/>
        <v>0</v>
      </c>
      <c r="Q24" s="75">
        <f t="shared" si="10"/>
        <v>0</v>
      </c>
      <c r="R24" s="75">
        <f t="shared" si="11"/>
        <v>0</v>
      </c>
      <c r="S24" s="86">
        <f t="shared" si="2"/>
        <v>0</v>
      </c>
      <c r="T24" s="49" t="s">
        <v>316</v>
      </c>
    </row>
    <row r="25" spans="1:20" x14ac:dyDescent="0.25">
      <c r="B25" s="47" t="s">
        <v>2</v>
      </c>
      <c r="C25" s="47" t="s">
        <v>14</v>
      </c>
      <c r="D25" s="48" t="s">
        <v>30</v>
      </c>
      <c r="E25" s="62">
        <v>35</v>
      </c>
      <c r="F25" s="36">
        <f>COUNTIFS(HLD[Analysis Flag],"Y",HLD[Core Site],"No",HLD[Power Supply],"PoE Injector")</f>
        <v>0</v>
      </c>
      <c r="G25" s="37">
        <v>0</v>
      </c>
      <c r="H25" s="37">
        <v>0</v>
      </c>
      <c r="I25" s="37">
        <v>0</v>
      </c>
      <c r="J25" s="37">
        <v>0</v>
      </c>
      <c r="K25" s="38">
        <v>0</v>
      </c>
      <c r="L25" s="83">
        <f t="shared" si="0"/>
        <v>0</v>
      </c>
      <c r="M25" s="75">
        <f t="shared" si="6"/>
        <v>0</v>
      </c>
      <c r="N25" s="75">
        <f t="shared" si="7"/>
        <v>0</v>
      </c>
      <c r="O25" s="75">
        <f t="shared" si="8"/>
        <v>0</v>
      </c>
      <c r="P25" s="75">
        <f t="shared" si="9"/>
        <v>0</v>
      </c>
      <c r="Q25" s="75">
        <f t="shared" si="10"/>
        <v>0</v>
      </c>
      <c r="R25" s="75">
        <f t="shared" si="11"/>
        <v>0</v>
      </c>
      <c r="S25" s="86">
        <f t="shared" si="2"/>
        <v>0</v>
      </c>
      <c r="T25" s="49" t="s">
        <v>317</v>
      </c>
    </row>
    <row r="26" spans="1:20" x14ac:dyDescent="0.25">
      <c r="B26" s="47" t="s">
        <v>2</v>
      </c>
      <c r="C26" s="47" t="s">
        <v>14</v>
      </c>
      <c r="D26" s="48" t="s">
        <v>31</v>
      </c>
      <c r="E26" s="62">
        <v>500</v>
      </c>
      <c r="F26" s="36">
        <f>COUNTIFS(HLD[Analysis Flag],"Y",HLD[Core Site],"No",HLD[Power Supply],"PSU")</f>
        <v>0</v>
      </c>
      <c r="G26" s="37">
        <v>0</v>
      </c>
      <c r="H26" s="37">
        <v>0</v>
      </c>
      <c r="I26" s="37">
        <v>0</v>
      </c>
      <c r="J26" s="37">
        <v>0</v>
      </c>
      <c r="K26" s="38">
        <v>0</v>
      </c>
      <c r="L26" s="83">
        <f t="shared" si="0"/>
        <v>0</v>
      </c>
      <c r="M26" s="75">
        <f t="shared" si="6"/>
        <v>0</v>
      </c>
      <c r="N26" s="75">
        <f t="shared" si="7"/>
        <v>0</v>
      </c>
      <c r="O26" s="75">
        <f t="shared" si="8"/>
        <v>0</v>
      </c>
      <c r="P26" s="75">
        <f t="shared" si="9"/>
        <v>0</v>
      </c>
      <c r="Q26" s="75">
        <f t="shared" si="10"/>
        <v>0</v>
      </c>
      <c r="R26" s="75">
        <f t="shared" si="11"/>
        <v>0</v>
      </c>
      <c r="S26" s="86">
        <f t="shared" si="2"/>
        <v>0</v>
      </c>
      <c r="T26" s="49" t="s">
        <v>318</v>
      </c>
    </row>
    <row r="27" spans="1:20" x14ac:dyDescent="0.25">
      <c r="B27" s="47" t="s">
        <v>2</v>
      </c>
      <c r="C27" s="47" t="s">
        <v>14</v>
      </c>
      <c r="D27" s="48" t="s">
        <v>32</v>
      </c>
      <c r="E27" s="62">
        <v>400</v>
      </c>
      <c r="F27" s="36">
        <f>COUNTIFS(HLD[Analysis Flag],"Y",HLD[Core Site],"No")</f>
        <v>8</v>
      </c>
      <c r="G27" s="37">
        <v>0</v>
      </c>
      <c r="H27" s="37">
        <v>0</v>
      </c>
      <c r="I27" s="37">
        <v>0</v>
      </c>
      <c r="J27" s="37">
        <v>0</v>
      </c>
      <c r="K27" s="38">
        <v>0</v>
      </c>
      <c r="L27" s="83">
        <f t="shared" si="0"/>
        <v>8</v>
      </c>
      <c r="M27" s="75">
        <f t="shared" si="6"/>
        <v>3200</v>
      </c>
      <c r="N27" s="75">
        <f t="shared" si="7"/>
        <v>0</v>
      </c>
      <c r="O27" s="75">
        <f t="shared" si="8"/>
        <v>0</v>
      </c>
      <c r="P27" s="75">
        <f t="shared" si="9"/>
        <v>0</v>
      </c>
      <c r="Q27" s="75">
        <f t="shared" si="10"/>
        <v>0</v>
      </c>
      <c r="R27" s="75">
        <f t="shared" si="11"/>
        <v>0</v>
      </c>
      <c r="S27" s="86">
        <f t="shared" si="2"/>
        <v>3200</v>
      </c>
      <c r="T27" s="49" t="s">
        <v>319</v>
      </c>
    </row>
    <row r="28" spans="1:20" x14ac:dyDescent="0.25">
      <c r="B28" s="47" t="s">
        <v>2</v>
      </c>
      <c r="C28" s="47" t="s">
        <v>8</v>
      </c>
      <c r="D28" s="48" t="s">
        <v>115</v>
      </c>
      <c r="E28" s="62">
        <v>120</v>
      </c>
      <c r="F28" s="36">
        <f>F16</f>
        <v>7</v>
      </c>
      <c r="G28" s="37">
        <v>0</v>
      </c>
      <c r="H28" s="37">
        <v>0</v>
      </c>
      <c r="I28" s="37">
        <v>0</v>
      </c>
      <c r="J28" s="37">
        <v>0</v>
      </c>
      <c r="K28" s="38">
        <v>0</v>
      </c>
      <c r="L28" s="83">
        <f t="shared" si="0"/>
        <v>7</v>
      </c>
      <c r="M28" s="75">
        <f t="shared" si="6"/>
        <v>840</v>
      </c>
      <c r="N28" s="75">
        <f t="shared" si="7"/>
        <v>0</v>
      </c>
      <c r="O28" s="75">
        <f t="shared" si="8"/>
        <v>0</v>
      </c>
      <c r="P28" s="75">
        <f t="shared" si="9"/>
        <v>0</v>
      </c>
      <c r="Q28" s="75">
        <f t="shared" si="10"/>
        <v>0</v>
      </c>
      <c r="R28" s="75">
        <f t="shared" si="11"/>
        <v>0</v>
      </c>
      <c r="S28" s="86">
        <f t="shared" si="2"/>
        <v>840</v>
      </c>
      <c r="T28" s="49" t="s">
        <v>320</v>
      </c>
    </row>
    <row r="29" spans="1:20" x14ac:dyDescent="0.25">
      <c r="B29" s="47" t="s">
        <v>2</v>
      </c>
      <c r="C29" s="47" t="s">
        <v>8</v>
      </c>
      <c r="D29" s="48" t="s">
        <v>116</v>
      </c>
      <c r="E29" s="62">
        <v>240</v>
      </c>
      <c r="F29" s="36">
        <f>F17</f>
        <v>1</v>
      </c>
      <c r="G29" s="37">
        <v>0</v>
      </c>
      <c r="H29" s="37">
        <v>0</v>
      </c>
      <c r="I29" s="37">
        <v>0</v>
      </c>
      <c r="J29" s="37">
        <v>0</v>
      </c>
      <c r="K29" s="38">
        <v>0</v>
      </c>
      <c r="L29" s="83">
        <f t="shared" si="0"/>
        <v>1</v>
      </c>
      <c r="M29" s="75">
        <f t="shared" si="6"/>
        <v>240</v>
      </c>
      <c r="N29" s="75">
        <f t="shared" si="7"/>
        <v>0</v>
      </c>
      <c r="O29" s="75">
        <f t="shared" si="8"/>
        <v>0</v>
      </c>
      <c r="P29" s="75">
        <f t="shared" si="9"/>
        <v>0</v>
      </c>
      <c r="Q29" s="75">
        <f t="shared" si="10"/>
        <v>0</v>
      </c>
      <c r="R29" s="75">
        <f t="shared" si="11"/>
        <v>0</v>
      </c>
      <c r="S29" s="86">
        <f t="shared" si="2"/>
        <v>240</v>
      </c>
      <c r="T29" s="49" t="s">
        <v>321</v>
      </c>
    </row>
    <row r="30" spans="1:20" x14ac:dyDescent="0.25">
      <c r="B30" s="47" t="s">
        <v>2</v>
      </c>
      <c r="C30" s="47" t="s">
        <v>8</v>
      </c>
      <c r="D30" s="48" t="s">
        <v>117</v>
      </c>
      <c r="E30" s="62">
        <v>300</v>
      </c>
      <c r="F30" s="36">
        <f>F18</f>
        <v>0</v>
      </c>
      <c r="G30" s="37">
        <v>0</v>
      </c>
      <c r="H30" s="37">
        <v>0</v>
      </c>
      <c r="I30" s="37">
        <v>0</v>
      </c>
      <c r="J30" s="37">
        <v>0</v>
      </c>
      <c r="K30" s="38">
        <v>0</v>
      </c>
      <c r="L30" s="83">
        <f t="shared" si="0"/>
        <v>0</v>
      </c>
      <c r="M30" s="75">
        <f t="shared" si="6"/>
        <v>0</v>
      </c>
      <c r="N30" s="75">
        <f t="shared" si="7"/>
        <v>0</v>
      </c>
      <c r="O30" s="75">
        <f t="shared" si="8"/>
        <v>0</v>
      </c>
      <c r="P30" s="75">
        <f t="shared" si="9"/>
        <v>0</v>
      </c>
      <c r="Q30" s="75">
        <f t="shared" si="10"/>
        <v>0</v>
      </c>
      <c r="R30" s="75">
        <f t="shared" si="11"/>
        <v>0</v>
      </c>
      <c r="S30" s="86">
        <f t="shared" si="2"/>
        <v>0</v>
      </c>
      <c r="T30" s="49" t="s">
        <v>322</v>
      </c>
    </row>
    <row r="31" spans="1:20" x14ac:dyDescent="0.25">
      <c r="A31" s="146"/>
      <c r="B31" s="47" t="s">
        <v>2</v>
      </c>
      <c r="C31" s="47" t="s">
        <v>8</v>
      </c>
      <c r="D31" s="48" t="s">
        <v>255</v>
      </c>
      <c r="E31" s="62">
        <v>60</v>
      </c>
      <c r="F31" s="36">
        <f>F19</f>
        <v>0</v>
      </c>
      <c r="G31" s="37">
        <v>0</v>
      </c>
      <c r="H31" s="37">
        <v>0</v>
      </c>
      <c r="I31" s="37">
        <v>0</v>
      </c>
      <c r="J31" s="37">
        <v>0</v>
      </c>
      <c r="K31" s="38">
        <v>0</v>
      </c>
      <c r="L31" s="83">
        <f t="shared" si="0"/>
        <v>0</v>
      </c>
      <c r="M31" s="75">
        <f t="shared" si="6"/>
        <v>0</v>
      </c>
      <c r="N31" s="75">
        <f t="shared" si="7"/>
        <v>0</v>
      </c>
      <c r="O31" s="75">
        <f t="shared" si="8"/>
        <v>0</v>
      </c>
      <c r="P31" s="75">
        <f t="shared" si="9"/>
        <v>0</v>
      </c>
      <c r="Q31" s="75">
        <f t="shared" si="10"/>
        <v>0</v>
      </c>
      <c r="R31" s="75">
        <f t="shared" si="11"/>
        <v>0</v>
      </c>
      <c r="S31" s="86">
        <f t="shared" si="2"/>
        <v>0</v>
      </c>
      <c r="T31" s="49" t="s">
        <v>323</v>
      </c>
    </row>
    <row r="32" spans="1:20" x14ac:dyDescent="0.25">
      <c r="A32" s="146"/>
      <c r="B32" s="47" t="s">
        <v>2</v>
      </c>
      <c r="C32" s="47" t="s">
        <v>8</v>
      </c>
      <c r="D32" s="48" t="s">
        <v>256</v>
      </c>
      <c r="E32" s="62">
        <v>60</v>
      </c>
      <c r="F32" s="36">
        <f t="shared" ref="F32:F33" si="20">F20</f>
        <v>8</v>
      </c>
      <c r="G32" s="37">
        <v>0</v>
      </c>
      <c r="H32" s="37">
        <v>0</v>
      </c>
      <c r="I32" s="37">
        <v>0</v>
      </c>
      <c r="J32" s="37">
        <v>0</v>
      </c>
      <c r="K32" s="38">
        <v>0</v>
      </c>
      <c r="L32" s="83">
        <f t="shared" si="0"/>
        <v>8</v>
      </c>
      <c r="M32" s="75">
        <f t="shared" ref="M32:M41" si="21">F32*$E32</f>
        <v>480</v>
      </c>
      <c r="N32" s="75">
        <f t="shared" ref="N32:N41" si="22">G32*$E32</f>
        <v>0</v>
      </c>
      <c r="O32" s="75">
        <f t="shared" ref="O32:O41" si="23">H32*$E32</f>
        <v>0</v>
      </c>
      <c r="P32" s="75">
        <f t="shared" ref="P32:P41" si="24">I32*$E32</f>
        <v>0</v>
      </c>
      <c r="Q32" s="75">
        <f t="shared" ref="Q32:Q41" si="25">J32*$E32</f>
        <v>0</v>
      </c>
      <c r="R32" s="75">
        <f t="shared" ref="R32:R41" si="26">K32*$E32</f>
        <v>0</v>
      </c>
      <c r="S32" s="86">
        <f t="shared" ref="S32:S41" si="27">SUM(M32:R32)</f>
        <v>480</v>
      </c>
      <c r="T32" s="49" t="s">
        <v>324</v>
      </c>
    </row>
    <row r="33" spans="1:20" x14ac:dyDescent="0.25">
      <c r="A33" s="146"/>
      <c r="B33" s="47" t="s">
        <v>2</v>
      </c>
      <c r="C33" s="47" t="s">
        <v>8</v>
      </c>
      <c r="D33" s="48" t="s">
        <v>257</v>
      </c>
      <c r="E33" s="62">
        <v>30</v>
      </c>
      <c r="F33" s="36">
        <f t="shared" si="20"/>
        <v>0</v>
      </c>
      <c r="G33" s="37">
        <v>0</v>
      </c>
      <c r="H33" s="37">
        <v>0</v>
      </c>
      <c r="I33" s="37">
        <v>0</v>
      </c>
      <c r="J33" s="37">
        <v>0</v>
      </c>
      <c r="K33" s="38">
        <v>0</v>
      </c>
      <c r="L33" s="83">
        <f t="shared" si="0"/>
        <v>0</v>
      </c>
      <c r="M33" s="75">
        <f t="shared" si="21"/>
        <v>0</v>
      </c>
      <c r="N33" s="75">
        <f t="shared" si="22"/>
        <v>0</v>
      </c>
      <c r="O33" s="75">
        <f t="shared" si="23"/>
        <v>0</v>
      </c>
      <c r="P33" s="75">
        <f t="shared" si="24"/>
        <v>0</v>
      </c>
      <c r="Q33" s="75">
        <f t="shared" si="25"/>
        <v>0</v>
      </c>
      <c r="R33" s="75">
        <f t="shared" si="26"/>
        <v>0</v>
      </c>
      <c r="S33" s="86">
        <f t="shared" si="27"/>
        <v>0</v>
      </c>
      <c r="T33" s="49" t="s">
        <v>325</v>
      </c>
    </row>
    <row r="34" spans="1:20" x14ac:dyDescent="0.25">
      <c r="A34" s="146"/>
      <c r="B34" s="47" t="s">
        <v>2</v>
      </c>
      <c r="C34" s="47" t="s">
        <v>8</v>
      </c>
      <c r="D34" s="48" t="s">
        <v>258</v>
      </c>
      <c r="E34" s="62">
        <v>120</v>
      </c>
      <c r="F34" s="36">
        <f>F22</f>
        <v>0</v>
      </c>
      <c r="G34" s="37">
        <v>0</v>
      </c>
      <c r="H34" s="37">
        <v>0</v>
      </c>
      <c r="I34" s="37">
        <v>0</v>
      </c>
      <c r="J34" s="37">
        <v>0</v>
      </c>
      <c r="K34" s="38">
        <v>0</v>
      </c>
      <c r="L34" s="83">
        <f t="shared" si="0"/>
        <v>0</v>
      </c>
      <c r="M34" s="75">
        <f t="shared" si="21"/>
        <v>0</v>
      </c>
      <c r="N34" s="75">
        <f t="shared" si="22"/>
        <v>0</v>
      </c>
      <c r="O34" s="75">
        <f t="shared" si="23"/>
        <v>0</v>
      </c>
      <c r="P34" s="75">
        <f t="shared" si="24"/>
        <v>0</v>
      </c>
      <c r="Q34" s="75">
        <f t="shared" si="25"/>
        <v>0</v>
      </c>
      <c r="R34" s="75">
        <f t="shared" si="26"/>
        <v>0</v>
      </c>
      <c r="S34" s="86">
        <f t="shared" si="27"/>
        <v>0</v>
      </c>
      <c r="T34" s="49" t="s">
        <v>326</v>
      </c>
    </row>
    <row r="35" spans="1:20" x14ac:dyDescent="0.25">
      <c r="B35" s="47" t="s">
        <v>2</v>
      </c>
      <c r="C35" s="47" t="s">
        <v>8</v>
      </c>
      <c r="D35" s="48" t="s">
        <v>118</v>
      </c>
      <c r="E35" s="62">
        <v>1090</v>
      </c>
      <c r="F35" s="36">
        <f>F16</f>
        <v>7</v>
      </c>
      <c r="G35" s="37">
        <v>0</v>
      </c>
      <c r="H35" s="37">
        <v>0</v>
      </c>
      <c r="I35" s="37">
        <v>0</v>
      </c>
      <c r="J35" s="37">
        <v>0</v>
      </c>
      <c r="K35" s="38">
        <v>0</v>
      </c>
      <c r="L35" s="83">
        <f t="shared" si="0"/>
        <v>7</v>
      </c>
      <c r="M35" s="75">
        <f t="shared" si="21"/>
        <v>7630</v>
      </c>
      <c r="N35" s="75">
        <f t="shared" si="22"/>
        <v>0</v>
      </c>
      <c r="O35" s="75">
        <f t="shared" si="23"/>
        <v>0</v>
      </c>
      <c r="P35" s="75">
        <f t="shared" si="24"/>
        <v>0</v>
      </c>
      <c r="Q35" s="75">
        <f t="shared" si="25"/>
        <v>0</v>
      </c>
      <c r="R35" s="75">
        <f t="shared" si="26"/>
        <v>0</v>
      </c>
      <c r="S35" s="86">
        <f t="shared" si="27"/>
        <v>7630</v>
      </c>
      <c r="T35" s="49" t="s">
        <v>327</v>
      </c>
    </row>
    <row r="36" spans="1:20" x14ac:dyDescent="0.25">
      <c r="B36" s="47" t="s">
        <v>2</v>
      </c>
      <c r="C36" s="47" t="s">
        <v>8</v>
      </c>
      <c r="D36" s="48" t="s">
        <v>119</v>
      </c>
      <c r="E36" s="62">
        <v>1500</v>
      </c>
      <c r="F36" s="36">
        <f>F17</f>
        <v>1</v>
      </c>
      <c r="G36" s="37">
        <v>0</v>
      </c>
      <c r="H36" s="37">
        <v>0</v>
      </c>
      <c r="I36" s="37">
        <v>0</v>
      </c>
      <c r="J36" s="37">
        <v>0</v>
      </c>
      <c r="K36" s="38">
        <v>0</v>
      </c>
      <c r="L36" s="83">
        <f t="shared" si="0"/>
        <v>1</v>
      </c>
      <c r="M36" s="75">
        <f t="shared" si="21"/>
        <v>1500</v>
      </c>
      <c r="N36" s="75">
        <f t="shared" si="22"/>
        <v>0</v>
      </c>
      <c r="O36" s="75">
        <f t="shared" si="23"/>
        <v>0</v>
      </c>
      <c r="P36" s="75">
        <f t="shared" si="24"/>
        <v>0</v>
      </c>
      <c r="Q36" s="75">
        <f t="shared" si="25"/>
        <v>0</v>
      </c>
      <c r="R36" s="75">
        <f t="shared" si="26"/>
        <v>0</v>
      </c>
      <c r="S36" s="86">
        <f t="shared" si="27"/>
        <v>1500</v>
      </c>
      <c r="T36" s="49" t="s">
        <v>328</v>
      </c>
    </row>
    <row r="37" spans="1:20" x14ac:dyDescent="0.25">
      <c r="B37" s="47" t="s">
        <v>2</v>
      </c>
      <c r="C37" s="47" t="s">
        <v>8</v>
      </c>
      <c r="D37" s="48" t="s">
        <v>120</v>
      </c>
      <c r="E37" s="62">
        <v>1800</v>
      </c>
      <c r="F37" s="36">
        <f>F18</f>
        <v>0</v>
      </c>
      <c r="G37" s="37">
        <v>0</v>
      </c>
      <c r="H37" s="37">
        <v>0</v>
      </c>
      <c r="I37" s="37">
        <v>0</v>
      </c>
      <c r="J37" s="37">
        <v>0</v>
      </c>
      <c r="K37" s="38">
        <v>0</v>
      </c>
      <c r="L37" s="83">
        <f t="shared" si="0"/>
        <v>0</v>
      </c>
      <c r="M37" s="75">
        <f t="shared" si="21"/>
        <v>0</v>
      </c>
      <c r="N37" s="75">
        <f t="shared" si="22"/>
        <v>0</v>
      </c>
      <c r="O37" s="75">
        <f t="shared" si="23"/>
        <v>0</v>
      </c>
      <c r="P37" s="75">
        <f t="shared" si="24"/>
        <v>0</v>
      </c>
      <c r="Q37" s="75">
        <f t="shared" si="25"/>
        <v>0</v>
      </c>
      <c r="R37" s="75">
        <f t="shared" si="26"/>
        <v>0</v>
      </c>
      <c r="S37" s="86">
        <f t="shared" si="27"/>
        <v>0</v>
      </c>
      <c r="T37" s="49" t="s">
        <v>329</v>
      </c>
    </row>
    <row r="38" spans="1:20" x14ac:dyDescent="0.25">
      <c r="A38" s="146"/>
      <c r="B38" s="47" t="s">
        <v>2</v>
      </c>
      <c r="C38" s="47" t="s">
        <v>8</v>
      </c>
      <c r="D38" s="48" t="s">
        <v>330</v>
      </c>
      <c r="E38" s="62">
        <v>1000</v>
      </c>
      <c r="F38" s="36">
        <f>F31</f>
        <v>0</v>
      </c>
      <c r="G38" s="37">
        <v>0</v>
      </c>
      <c r="H38" s="37">
        <v>0</v>
      </c>
      <c r="I38" s="37">
        <v>0</v>
      </c>
      <c r="J38" s="37">
        <v>0</v>
      </c>
      <c r="K38" s="38">
        <v>0</v>
      </c>
      <c r="L38" s="83">
        <f t="shared" si="0"/>
        <v>0</v>
      </c>
      <c r="M38" s="75">
        <f t="shared" si="21"/>
        <v>0</v>
      </c>
      <c r="N38" s="75">
        <f t="shared" si="22"/>
        <v>0</v>
      </c>
      <c r="O38" s="75">
        <f t="shared" si="23"/>
        <v>0</v>
      </c>
      <c r="P38" s="75">
        <f t="shared" si="24"/>
        <v>0</v>
      </c>
      <c r="Q38" s="75">
        <f t="shared" si="25"/>
        <v>0</v>
      </c>
      <c r="R38" s="75">
        <f t="shared" si="26"/>
        <v>0</v>
      </c>
      <c r="S38" s="86">
        <f t="shared" si="27"/>
        <v>0</v>
      </c>
      <c r="T38" s="49" t="s">
        <v>331</v>
      </c>
    </row>
    <row r="39" spans="1:20" x14ac:dyDescent="0.25">
      <c r="A39" s="146"/>
      <c r="B39" s="47" t="s">
        <v>2</v>
      </c>
      <c r="C39" s="47" t="s">
        <v>8</v>
      </c>
      <c r="D39" s="140" t="s">
        <v>260</v>
      </c>
      <c r="E39" s="141">
        <v>1000</v>
      </c>
      <c r="F39" s="36">
        <f t="shared" ref="F39:F41" si="28">F32</f>
        <v>8</v>
      </c>
      <c r="G39" s="142">
        <v>0</v>
      </c>
      <c r="H39" s="142">
        <v>0</v>
      </c>
      <c r="I39" s="142">
        <v>0</v>
      </c>
      <c r="J39" s="142">
        <v>0</v>
      </c>
      <c r="K39" s="143">
        <v>0</v>
      </c>
      <c r="L39" s="83">
        <f t="shared" si="0"/>
        <v>8</v>
      </c>
      <c r="M39" s="144">
        <f t="shared" si="21"/>
        <v>8000</v>
      </c>
      <c r="N39" s="144">
        <f t="shared" si="22"/>
        <v>0</v>
      </c>
      <c r="O39" s="144">
        <f t="shared" si="23"/>
        <v>0</v>
      </c>
      <c r="P39" s="144">
        <f t="shared" si="24"/>
        <v>0</v>
      </c>
      <c r="Q39" s="144">
        <f t="shared" si="25"/>
        <v>0</v>
      </c>
      <c r="R39" s="144">
        <f t="shared" si="26"/>
        <v>0</v>
      </c>
      <c r="S39" s="145">
        <f t="shared" si="27"/>
        <v>8000</v>
      </c>
      <c r="T39" s="49" t="s">
        <v>333</v>
      </c>
    </row>
    <row r="40" spans="1:20" x14ac:dyDescent="0.25">
      <c r="A40" s="146"/>
      <c r="B40" s="47" t="s">
        <v>2</v>
      </c>
      <c r="C40" s="47" t="s">
        <v>8</v>
      </c>
      <c r="D40" s="140" t="s">
        <v>261</v>
      </c>
      <c r="E40" s="141">
        <v>375</v>
      </c>
      <c r="F40" s="36">
        <f t="shared" si="28"/>
        <v>0</v>
      </c>
      <c r="G40" s="142">
        <v>0</v>
      </c>
      <c r="H40" s="142">
        <v>0</v>
      </c>
      <c r="I40" s="142">
        <v>0</v>
      </c>
      <c r="J40" s="142">
        <v>0</v>
      </c>
      <c r="K40" s="143">
        <v>0</v>
      </c>
      <c r="L40" s="83">
        <f t="shared" si="0"/>
        <v>0</v>
      </c>
      <c r="M40" s="144">
        <f t="shared" si="21"/>
        <v>0</v>
      </c>
      <c r="N40" s="144">
        <f t="shared" si="22"/>
        <v>0</v>
      </c>
      <c r="O40" s="144">
        <f t="shared" si="23"/>
        <v>0</v>
      </c>
      <c r="P40" s="144">
        <f t="shared" si="24"/>
        <v>0</v>
      </c>
      <c r="Q40" s="144">
        <f t="shared" si="25"/>
        <v>0</v>
      </c>
      <c r="R40" s="144">
        <f t="shared" si="26"/>
        <v>0</v>
      </c>
      <c r="S40" s="145">
        <f t="shared" si="27"/>
        <v>0</v>
      </c>
      <c r="T40" s="49" t="s">
        <v>334</v>
      </c>
    </row>
    <row r="41" spans="1:20" ht="15" thickBot="1" x14ac:dyDescent="0.3">
      <c r="A41" s="146"/>
      <c r="B41" s="69" t="s">
        <v>2</v>
      </c>
      <c r="C41" s="69" t="s">
        <v>8</v>
      </c>
      <c r="D41" s="70" t="s">
        <v>262</v>
      </c>
      <c r="E41" s="82">
        <v>750</v>
      </c>
      <c r="F41" s="71">
        <f t="shared" si="28"/>
        <v>0</v>
      </c>
      <c r="G41" s="72">
        <v>0</v>
      </c>
      <c r="H41" s="72">
        <v>0</v>
      </c>
      <c r="I41" s="72">
        <v>0</v>
      </c>
      <c r="J41" s="72">
        <v>0</v>
      </c>
      <c r="K41" s="73">
        <v>0</v>
      </c>
      <c r="L41" s="84">
        <f t="shared" ref="L41:L77" si="29">SUM(F41:K41)</f>
        <v>0</v>
      </c>
      <c r="M41" s="76">
        <f t="shared" si="21"/>
        <v>0</v>
      </c>
      <c r="N41" s="76">
        <f t="shared" si="22"/>
        <v>0</v>
      </c>
      <c r="O41" s="76">
        <f t="shared" si="23"/>
        <v>0</v>
      </c>
      <c r="P41" s="76">
        <f t="shared" si="24"/>
        <v>0</v>
      </c>
      <c r="Q41" s="76">
        <f t="shared" si="25"/>
        <v>0</v>
      </c>
      <c r="R41" s="76">
        <f t="shared" si="26"/>
        <v>0</v>
      </c>
      <c r="S41" s="87">
        <f t="shared" si="27"/>
        <v>0</v>
      </c>
      <c r="T41" s="74" t="s">
        <v>332</v>
      </c>
    </row>
    <row r="42" spans="1:20" x14ac:dyDescent="0.25">
      <c r="B42" s="63" t="s">
        <v>3</v>
      </c>
      <c r="C42" s="63" t="s">
        <v>28</v>
      </c>
      <c r="D42" s="64" t="s">
        <v>24</v>
      </c>
      <c r="E42" s="81">
        <v>500</v>
      </c>
      <c r="F42" s="65">
        <f>COUNTIFS(HLD[Analysis Flag],"Y",HLD[Core Site],"Yes",HLD[Site Type],"Rooftop")</f>
        <v>1</v>
      </c>
      <c r="G42" s="66">
        <v>0</v>
      </c>
      <c r="H42" s="66">
        <v>0</v>
      </c>
      <c r="I42" s="66">
        <v>0</v>
      </c>
      <c r="J42" s="66">
        <v>0</v>
      </c>
      <c r="K42" s="67">
        <v>0</v>
      </c>
      <c r="L42" s="85">
        <f t="shared" si="29"/>
        <v>1</v>
      </c>
      <c r="M42" s="77">
        <f t="shared" si="6"/>
        <v>500</v>
      </c>
      <c r="N42" s="77">
        <f t="shared" si="7"/>
        <v>0</v>
      </c>
      <c r="O42" s="77">
        <f t="shared" si="8"/>
        <v>0</v>
      </c>
      <c r="P42" s="77">
        <f t="shared" si="9"/>
        <v>0</v>
      </c>
      <c r="Q42" s="77">
        <f t="shared" si="10"/>
        <v>0</v>
      </c>
      <c r="R42" s="77">
        <f t="shared" si="11"/>
        <v>0</v>
      </c>
      <c r="S42" s="88">
        <f t="shared" ref="S42:S77" si="30">SUM(M42:R42)</f>
        <v>500</v>
      </c>
      <c r="T42" s="68" t="s">
        <v>306</v>
      </c>
    </row>
    <row r="43" spans="1:20" x14ac:dyDescent="0.25">
      <c r="B43" s="47" t="s">
        <v>3</v>
      </c>
      <c r="C43" s="47" t="s">
        <v>28</v>
      </c>
      <c r="D43" s="48" t="s">
        <v>280</v>
      </c>
      <c r="E43" s="62">
        <v>3500</v>
      </c>
      <c r="F43" s="36">
        <f>COUNTIFS(HLD[Analysis Flag],"Y",HLD[Core Site],"Yes",HLD[Tower Mods Required],"Minor")</f>
        <v>0</v>
      </c>
      <c r="G43" s="37">
        <v>0</v>
      </c>
      <c r="H43" s="37">
        <v>0</v>
      </c>
      <c r="I43" s="37">
        <v>0</v>
      </c>
      <c r="J43" s="37">
        <v>0</v>
      </c>
      <c r="K43" s="38">
        <v>0</v>
      </c>
      <c r="L43" s="83">
        <f t="shared" si="29"/>
        <v>0</v>
      </c>
      <c r="M43" s="75">
        <f t="shared" si="6"/>
        <v>0</v>
      </c>
      <c r="N43" s="75">
        <f t="shared" si="7"/>
        <v>0</v>
      </c>
      <c r="O43" s="75">
        <f t="shared" si="8"/>
        <v>0</v>
      </c>
      <c r="P43" s="75">
        <f t="shared" si="9"/>
        <v>0</v>
      </c>
      <c r="Q43" s="75">
        <f t="shared" si="10"/>
        <v>0</v>
      </c>
      <c r="R43" s="75">
        <f t="shared" si="11"/>
        <v>0</v>
      </c>
      <c r="S43" s="86">
        <f t="shared" si="30"/>
        <v>0</v>
      </c>
      <c r="T43" s="49" t="s">
        <v>307</v>
      </c>
    </row>
    <row r="44" spans="1:20" x14ac:dyDescent="0.25">
      <c r="B44" s="47" t="s">
        <v>3</v>
      </c>
      <c r="C44" s="47" t="s">
        <v>28</v>
      </c>
      <c r="D44" s="48" t="s">
        <v>281</v>
      </c>
      <c r="E44" s="62">
        <v>5000</v>
      </c>
      <c r="F44" s="36">
        <f>COUNTIFS(HLD[Analysis Flag],"Y",HLD[Core Site],"Yes",HLD[Tower Mods Required],"Major")</f>
        <v>0</v>
      </c>
      <c r="G44" s="37">
        <v>0</v>
      </c>
      <c r="H44" s="37">
        <v>0</v>
      </c>
      <c r="I44" s="37">
        <v>0</v>
      </c>
      <c r="J44" s="37">
        <v>0</v>
      </c>
      <c r="K44" s="38">
        <v>0</v>
      </c>
      <c r="L44" s="83">
        <f t="shared" ref="L44" si="31">SUM(F44:K44)</f>
        <v>0</v>
      </c>
      <c r="M44" s="75">
        <f t="shared" ref="M44" si="32">F44*$E44</f>
        <v>0</v>
      </c>
      <c r="N44" s="75">
        <f t="shared" ref="N44" si="33">G44*$E44</f>
        <v>0</v>
      </c>
      <c r="O44" s="75">
        <f t="shared" ref="O44" si="34">H44*$E44</f>
        <v>0</v>
      </c>
      <c r="P44" s="75">
        <f t="shared" ref="P44" si="35">I44*$E44</f>
        <v>0</v>
      </c>
      <c r="Q44" s="75">
        <f t="shared" ref="Q44" si="36">J44*$E44</f>
        <v>0</v>
      </c>
      <c r="R44" s="75">
        <f t="shared" ref="R44" si="37">K44*$E44</f>
        <v>0</v>
      </c>
      <c r="S44" s="86">
        <f t="shared" ref="S44" si="38">SUM(M44:R44)</f>
        <v>0</v>
      </c>
      <c r="T44" s="49" t="s">
        <v>308</v>
      </c>
    </row>
    <row r="45" spans="1:20" x14ac:dyDescent="0.25">
      <c r="B45" s="47" t="s">
        <v>3</v>
      </c>
      <c r="C45" s="47" t="s">
        <v>28</v>
      </c>
      <c r="D45" s="48" t="s">
        <v>25</v>
      </c>
      <c r="E45" s="62">
        <v>14000</v>
      </c>
      <c r="F45" s="36">
        <f>COUNTIFS(HLD[Analysis Flag],"Y",HLD[Core Site],"Yes",HLD[Site Type],"New Tower",HLD[Tower Height],10)</f>
        <v>0</v>
      </c>
      <c r="G45" s="37">
        <v>0</v>
      </c>
      <c r="H45" s="37">
        <v>0</v>
      </c>
      <c r="I45" s="37">
        <v>0</v>
      </c>
      <c r="J45" s="37">
        <v>0</v>
      </c>
      <c r="K45" s="38">
        <v>0</v>
      </c>
      <c r="L45" s="83">
        <f t="shared" si="29"/>
        <v>0</v>
      </c>
      <c r="M45" s="75">
        <f t="shared" ref="M45:M80" si="39">F45*$E45</f>
        <v>0</v>
      </c>
      <c r="N45" s="75">
        <f t="shared" ref="N45:N80" si="40">G45*$E45</f>
        <v>0</v>
      </c>
      <c r="O45" s="75">
        <f t="shared" ref="O45:O80" si="41">H45*$E45</f>
        <v>0</v>
      </c>
      <c r="P45" s="75">
        <f t="shared" ref="P45:P80" si="42">I45*$E45</f>
        <v>0</v>
      </c>
      <c r="Q45" s="75">
        <f t="shared" ref="Q45:Q80" si="43">J45*$E45</f>
        <v>0</v>
      </c>
      <c r="R45" s="75">
        <f t="shared" ref="R45:R80" si="44">K45*$E45</f>
        <v>0</v>
      </c>
      <c r="S45" s="86">
        <f t="shared" si="30"/>
        <v>0</v>
      </c>
      <c r="T45" s="49" t="s">
        <v>309</v>
      </c>
    </row>
    <row r="46" spans="1:20" x14ac:dyDescent="0.25">
      <c r="B46" s="47" t="s">
        <v>3</v>
      </c>
      <c r="C46" s="47" t="s">
        <v>28</v>
      </c>
      <c r="D46" s="48" t="s">
        <v>26</v>
      </c>
      <c r="E46" s="62">
        <v>26000</v>
      </c>
      <c r="F46" s="36">
        <f>COUNTIFS(HLD[Analysis Flag],"Y",HLD[Core Site],"Yes",HLD[Site Type],"New Tower",HLD[Tower Height],20)</f>
        <v>0</v>
      </c>
      <c r="G46" s="37">
        <v>0</v>
      </c>
      <c r="H46" s="37">
        <v>0</v>
      </c>
      <c r="I46" s="37">
        <v>0</v>
      </c>
      <c r="J46" s="37">
        <v>0</v>
      </c>
      <c r="K46" s="38">
        <v>0</v>
      </c>
      <c r="L46" s="83">
        <f t="shared" si="29"/>
        <v>0</v>
      </c>
      <c r="M46" s="75">
        <f t="shared" si="39"/>
        <v>0</v>
      </c>
      <c r="N46" s="75">
        <f t="shared" si="40"/>
        <v>0</v>
      </c>
      <c r="O46" s="75">
        <f t="shared" si="41"/>
        <v>0</v>
      </c>
      <c r="P46" s="75">
        <f t="shared" si="42"/>
        <v>0</v>
      </c>
      <c r="Q46" s="75">
        <f t="shared" si="43"/>
        <v>0</v>
      </c>
      <c r="R46" s="75">
        <f t="shared" si="44"/>
        <v>0</v>
      </c>
      <c r="S46" s="86">
        <f t="shared" si="30"/>
        <v>0</v>
      </c>
      <c r="T46" s="49" t="s">
        <v>309</v>
      </c>
    </row>
    <row r="47" spans="1:20" x14ac:dyDescent="0.25">
      <c r="B47" s="47" t="s">
        <v>3</v>
      </c>
      <c r="C47" s="47" t="s">
        <v>28</v>
      </c>
      <c r="D47" s="48" t="s">
        <v>27</v>
      </c>
      <c r="E47" s="62">
        <v>38000</v>
      </c>
      <c r="F47" s="36">
        <f>COUNTIFS(HLD[Analysis Flag],"Y",HLD[Core Site],"Yes",HLD[Site Type],"New Tower",HLD[Tower Height],30)</f>
        <v>0</v>
      </c>
      <c r="G47" s="37">
        <v>0</v>
      </c>
      <c r="H47" s="37">
        <v>0</v>
      </c>
      <c r="I47" s="37">
        <v>0</v>
      </c>
      <c r="J47" s="37">
        <v>0</v>
      </c>
      <c r="K47" s="38">
        <v>0</v>
      </c>
      <c r="L47" s="83">
        <f t="shared" si="29"/>
        <v>0</v>
      </c>
      <c r="M47" s="75">
        <f t="shared" si="39"/>
        <v>0</v>
      </c>
      <c r="N47" s="75">
        <f t="shared" si="40"/>
        <v>0</v>
      </c>
      <c r="O47" s="75">
        <f t="shared" si="41"/>
        <v>0</v>
      </c>
      <c r="P47" s="75">
        <f t="shared" si="42"/>
        <v>0</v>
      </c>
      <c r="Q47" s="75">
        <f t="shared" si="43"/>
        <v>0</v>
      </c>
      <c r="R47" s="75">
        <f t="shared" si="44"/>
        <v>0</v>
      </c>
      <c r="S47" s="86">
        <f t="shared" si="30"/>
        <v>0</v>
      </c>
      <c r="T47" s="49" t="s">
        <v>309</v>
      </c>
    </row>
    <row r="48" spans="1:20" x14ac:dyDescent="0.25">
      <c r="B48" s="47" t="s">
        <v>3</v>
      </c>
      <c r="C48" s="47" t="s">
        <v>28</v>
      </c>
      <c r="D48" s="48" t="s">
        <v>121</v>
      </c>
      <c r="E48" s="62">
        <v>1800</v>
      </c>
      <c r="F48" s="36">
        <f>COUNTIFS(HLD[Analysis Flag],"Y",HLD[Core Site],"Yes")</f>
        <v>1</v>
      </c>
      <c r="G48" s="37">
        <v>0</v>
      </c>
      <c r="H48" s="37">
        <v>0</v>
      </c>
      <c r="I48" s="37">
        <v>0</v>
      </c>
      <c r="J48" s="37">
        <v>0</v>
      </c>
      <c r="K48" s="38">
        <v>0</v>
      </c>
      <c r="L48" s="83">
        <f t="shared" si="29"/>
        <v>1</v>
      </c>
      <c r="M48" s="75">
        <f t="shared" si="39"/>
        <v>1800</v>
      </c>
      <c r="N48" s="75">
        <f t="shared" si="40"/>
        <v>0</v>
      </c>
      <c r="O48" s="75">
        <f t="shared" si="41"/>
        <v>0</v>
      </c>
      <c r="P48" s="75">
        <f t="shared" si="42"/>
        <v>0</v>
      </c>
      <c r="Q48" s="75">
        <f t="shared" si="43"/>
        <v>0</v>
      </c>
      <c r="R48" s="75">
        <f t="shared" si="44"/>
        <v>0</v>
      </c>
      <c r="S48" s="86">
        <f t="shared" si="30"/>
        <v>1800</v>
      </c>
      <c r="T48" s="49" t="s">
        <v>335</v>
      </c>
    </row>
    <row r="49" spans="1:20" x14ac:dyDescent="0.25">
      <c r="A49" s="146"/>
      <c r="B49" s="47" t="s">
        <v>3</v>
      </c>
      <c r="C49" s="47" t="s">
        <v>12</v>
      </c>
      <c r="D49" s="48" t="s">
        <v>109</v>
      </c>
      <c r="E49" s="137">
        <f>RAN_Config_1_CAPEX</f>
        <v>5450</v>
      </c>
      <c r="F49" s="36">
        <f>COUNTIFS(HLD[Analysis Flag],"Y",HLD[Core Site],"Yes",HLD[RAN Configuration],"RAN Config 1")</f>
        <v>1</v>
      </c>
      <c r="G49" s="37">
        <v>0</v>
      </c>
      <c r="H49" s="37">
        <v>0</v>
      </c>
      <c r="I49" s="37">
        <v>0</v>
      </c>
      <c r="J49" s="37">
        <v>0</v>
      </c>
      <c r="K49" s="38">
        <v>0</v>
      </c>
      <c r="L49" s="83">
        <f t="shared" si="29"/>
        <v>1</v>
      </c>
      <c r="M49" s="75">
        <f t="shared" si="39"/>
        <v>5450</v>
      </c>
      <c r="N49" s="75">
        <f t="shared" si="40"/>
        <v>0</v>
      </c>
      <c r="O49" s="75">
        <f t="shared" si="41"/>
        <v>0</v>
      </c>
      <c r="P49" s="75">
        <f t="shared" si="42"/>
        <v>0</v>
      </c>
      <c r="Q49" s="75">
        <f t="shared" si="43"/>
        <v>0</v>
      </c>
      <c r="R49" s="75">
        <f t="shared" si="44"/>
        <v>0</v>
      </c>
      <c r="S49" s="86">
        <f t="shared" si="30"/>
        <v>5450</v>
      </c>
      <c r="T49" s="49" t="s">
        <v>311</v>
      </c>
    </row>
    <row r="50" spans="1:20" x14ac:dyDescent="0.25">
      <c r="A50" s="146"/>
      <c r="B50" s="47" t="s">
        <v>3</v>
      </c>
      <c r="C50" s="47" t="s">
        <v>12</v>
      </c>
      <c r="D50" s="48" t="s">
        <v>110</v>
      </c>
      <c r="E50" s="138">
        <f>RAN_Config_2_CAPEX</f>
        <v>15950</v>
      </c>
      <c r="F50" s="36">
        <f>COUNTIFS(HLD[Analysis Flag],"Y",HLD[Core Site],"Yes",HLD[RAN Configuration],"RAN Config 2")</f>
        <v>0</v>
      </c>
      <c r="G50" s="37">
        <v>0</v>
      </c>
      <c r="H50" s="37">
        <v>0</v>
      </c>
      <c r="I50" s="37">
        <v>0</v>
      </c>
      <c r="J50" s="37">
        <v>0</v>
      </c>
      <c r="K50" s="38">
        <v>0</v>
      </c>
      <c r="L50" s="83">
        <f t="shared" si="29"/>
        <v>0</v>
      </c>
      <c r="M50" s="75">
        <f t="shared" si="39"/>
        <v>0</v>
      </c>
      <c r="N50" s="75">
        <f t="shared" si="40"/>
        <v>0</v>
      </c>
      <c r="O50" s="75">
        <f t="shared" si="41"/>
        <v>0</v>
      </c>
      <c r="P50" s="75">
        <f t="shared" si="42"/>
        <v>0</v>
      </c>
      <c r="Q50" s="75">
        <f t="shared" si="43"/>
        <v>0</v>
      </c>
      <c r="R50" s="75">
        <f t="shared" si="44"/>
        <v>0</v>
      </c>
      <c r="S50" s="86">
        <f t="shared" si="30"/>
        <v>0</v>
      </c>
      <c r="T50" s="49" t="s">
        <v>312</v>
      </c>
    </row>
    <row r="51" spans="1:20" x14ac:dyDescent="0.25">
      <c r="A51" s="146"/>
      <c r="B51" s="47" t="s">
        <v>3</v>
      </c>
      <c r="C51" s="47" t="s">
        <v>12</v>
      </c>
      <c r="D51" s="48" t="s">
        <v>111</v>
      </c>
      <c r="E51" s="138">
        <f>RAN_Config_3_CAPEX</f>
        <v>21200</v>
      </c>
      <c r="F51" s="36">
        <f>COUNTIFS(HLD[Analysis Flag],"Y",HLD[Core Site],"Yes",HLD[RAN Configuration],"RAN Config 3")</f>
        <v>0</v>
      </c>
      <c r="G51" s="37">
        <v>0</v>
      </c>
      <c r="H51" s="37">
        <v>0</v>
      </c>
      <c r="I51" s="37">
        <v>0</v>
      </c>
      <c r="J51" s="37">
        <v>0</v>
      </c>
      <c r="K51" s="38">
        <v>0</v>
      </c>
      <c r="L51" s="83">
        <f t="shared" si="29"/>
        <v>0</v>
      </c>
      <c r="M51" s="75">
        <f t="shared" si="39"/>
        <v>0</v>
      </c>
      <c r="N51" s="75">
        <f t="shared" si="40"/>
        <v>0</v>
      </c>
      <c r="O51" s="75">
        <f t="shared" si="41"/>
        <v>0</v>
      </c>
      <c r="P51" s="75">
        <f t="shared" si="42"/>
        <v>0</v>
      </c>
      <c r="Q51" s="75">
        <f t="shared" si="43"/>
        <v>0</v>
      </c>
      <c r="R51" s="75">
        <f t="shared" si="44"/>
        <v>0</v>
      </c>
      <c r="S51" s="86">
        <f t="shared" si="30"/>
        <v>0</v>
      </c>
      <c r="T51" s="49" t="s">
        <v>312</v>
      </c>
    </row>
    <row r="52" spans="1:20" x14ac:dyDescent="0.25">
      <c r="A52" s="146"/>
      <c r="B52" s="47" t="s">
        <v>3</v>
      </c>
      <c r="C52" s="47" t="s">
        <v>13</v>
      </c>
      <c r="D52" s="48" t="s">
        <v>218</v>
      </c>
      <c r="E52" s="139">
        <f>BH_Config_1_CAPEX</f>
        <v>6000</v>
      </c>
      <c r="F52" s="36" cm="1">
        <f t="array" ref="F52">SUMPRODUCT(--(HLD[Analysis Flag]="Y"),--(HLD[Core Site]="Yes"),--(HLD[Backhaul Configuration]="Backhaul Config 1"),HLD['# of Backhaul Links])</f>
        <v>0</v>
      </c>
      <c r="G52" s="37">
        <v>0</v>
      </c>
      <c r="H52" s="37">
        <v>0</v>
      </c>
      <c r="I52" s="37">
        <v>0</v>
      </c>
      <c r="J52" s="37">
        <v>0</v>
      </c>
      <c r="K52" s="38">
        <v>0</v>
      </c>
      <c r="L52" s="83">
        <f t="shared" ref="L52:L54" si="45">SUM(F52:K52)</f>
        <v>0</v>
      </c>
      <c r="M52" s="75">
        <f t="shared" ref="M52:M54" si="46">F52*$E52</f>
        <v>0</v>
      </c>
      <c r="N52" s="75">
        <f t="shared" ref="N52:N54" si="47">G52*$E52</f>
        <v>0</v>
      </c>
      <c r="O52" s="75">
        <f t="shared" ref="O52:O54" si="48">H52*$E52</f>
        <v>0</v>
      </c>
      <c r="P52" s="75">
        <f t="shared" ref="P52:P54" si="49">I52*$E52</f>
        <v>0</v>
      </c>
      <c r="Q52" s="75">
        <f t="shared" ref="Q52:Q54" si="50">J52*$E52</f>
        <v>0</v>
      </c>
      <c r="R52" s="75">
        <f t="shared" ref="R52:R54" si="51">K52*$E52</f>
        <v>0</v>
      </c>
      <c r="S52" s="86">
        <f t="shared" ref="S52:S54" si="52">SUM(M52:R52)</f>
        <v>0</v>
      </c>
      <c r="T52" s="49" t="s">
        <v>313</v>
      </c>
    </row>
    <row r="53" spans="1:20" x14ac:dyDescent="0.25">
      <c r="A53" s="146"/>
      <c r="B53" s="47" t="s">
        <v>3</v>
      </c>
      <c r="C53" s="47" t="s">
        <v>13</v>
      </c>
      <c r="D53" s="48" t="s">
        <v>244</v>
      </c>
      <c r="E53" s="139">
        <f>BH_Config_2_CAPEX</f>
        <v>3900</v>
      </c>
      <c r="F53" s="36" cm="1">
        <f t="array" ref="F53">SUMPRODUCT(--(HLD[Analysis Flag]="Y"),--(HLD[Core Site]="Yes"),--(HLD[Backhaul Configuration]="Backhaul Config 2"),HLD['# of Backhaul Links])</f>
        <v>0</v>
      </c>
      <c r="G53" s="37">
        <v>0</v>
      </c>
      <c r="H53" s="37">
        <v>0</v>
      </c>
      <c r="I53" s="37">
        <v>0</v>
      </c>
      <c r="J53" s="37">
        <v>0</v>
      </c>
      <c r="K53" s="38">
        <v>0</v>
      </c>
      <c r="L53" s="83">
        <f t="shared" si="45"/>
        <v>0</v>
      </c>
      <c r="M53" s="75">
        <f t="shared" si="46"/>
        <v>0</v>
      </c>
      <c r="N53" s="75">
        <f t="shared" si="47"/>
        <v>0</v>
      </c>
      <c r="O53" s="75">
        <f t="shared" si="48"/>
        <v>0</v>
      </c>
      <c r="P53" s="75">
        <f t="shared" si="49"/>
        <v>0</v>
      </c>
      <c r="Q53" s="75">
        <f t="shared" si="50"/>
        <v>0</v>
      </c>
      <c r="R53" s="75">
        <f t="shared" si="51"/>
        <v>0</v>
      </c>
      <c r="S53" s="86">
        <f t="shared" si="52"/>
        <v>0</v>
      </c>
      <c r="T53" s="49" t="s">
        <v>314</v>
      </c>
    </row>
    <row r="54" spans="1:20" x14ac:dyDescent="0.25">
      <c r="A54" s="146"/>
      <c r="B54" s="47" t="s">
        <v>3</v>
      </c>
      <c r="C54" s="47" t="s">
        <v>13</v>
      </c>
      <c r="D54" s="48" t="s">
        <v>246</v>
      </c>
      <c r="E54" s="139">
        <f>BH_Config_3_CAPEX</f>
        <v>450</v>
      </c>
      <c r="F54" s="36" cm="1">
        <f t="array" ref="F54">SUMPRODUCT(--(HLD[Analysis Flag]="Y"),--(HLD[Core Site]="Yes"),--(HLD[Backhaul Configuration]="Backhaul Config 3"),HLD['# of Backhaul Links])</f>
        <v>1</v>
      </c>
      <c r="G54" s="37">
        <v>0</v>
      </c>
      <c r="H54" s="37">
        <v>0</v>
      </c>
      <c r="I54" s="37">
        <v>0</v>
      </c>
      <c r="J54" s="37">
        <v>0</v>
      </c>
      <c r="K54" s="38">
        <v>0</v>
      </c>
      <c r="L54" s="83">
        <f t="shared" si="45"/>
        <v>1</v>
      </c>
      <c r="M54" s="75">
        <f t="shared" si="46"/>
        <v>450</v>
      </c>
      <c r="N54" s="75">
        <f t="shared" si="47"/>
        <v>0</v>
      </c>
      <c r="O54" s="75">
        <f t="shared" si="48"/>
        <v>0</v>
      </c>
      <c r="P54" s="75">
        <f t="shared" si="49"/>
        <v>0</v>
      </c>
      <c r="Q54" s="75">
        <f t="shared" si="50"/>
        <v>0</v>
      </c>
      <c r="R54" s="75">
        <f t="shared" si="51"/>
        <v>0</v>
      </c>
      <c r="S54" s="86">
        <f t="shared" si="52"/>
        <v>450</v>
      </c>
      <c r="T54" s="49" t="s">
        <v>314</v>
      </c>
    </row>
    <row r="55" spans="1:20" x14ac:dyDescent="0.25">
      <c r="A55" s="146"/>
      <c r="B55" s="47" t="s">
        <v>3</v>
      </c>
      <c r="C55" s="47" t="s">
        <v>13</v>
      </c>
      <c r="D55" s="48" t="s">
        <v>249</v>
      </c>
      <c r="E55" s="139">
        <f>BH_Config_4_CAPEX</f>
        <v>3100</v>
      </c>
      <c r="F55" s="36" cm="1">
        <f t="array" ref="F55">SUMPRODUCT(--(HLD[Analysis Flag]="Y"),--(HLD[Core Site]="Yes"),--(HLD[Backhaul Configuration]="Backhaul Config 4"),HLD['# of Backhaul Links])</f>
        <v>0</v>
      </c>
      <c r="G55" s="37">
        <v>0</v>
      </c>
      <c r="H55" s="37">
        <v>0</v>
      </c>
      <c r="I55" s="37">
        <v>0</v>
      </c>
      <c r="J55" s="37">
        <v>0</v>
      </c>
      <c r="K55" s="38">
        <v>0</v>
      </c>
      <c r="L55" s="83">
        <f t="shared" si="29"/>
        <v>0</v>
      </c>
      <c r="M55" s="75">
        <f t="shared" si="39"/>
        <v>0</v>
      </c>
      <c r="N55" s="75">
        <f t="shared" si="40"/>
        <v>0</v>
      </c>
      <c r="O55" s="75">
        <f t="shared" si="41"/>
        <v>0</v>
      </c>
      <c r="P55" s="75">
        <f t="shared" si="42"/>
        <v>0</v>
      </c>
      <c r="Q55" s="75">
        <f t="shared" si="43"/>
        <v>0</v>
      </c>
      <c r="R55" s="75">
        <f t="shared" si="44"/>
        <v>0</v>
      </c>
      <c r="S55" s="86">
        <f t="shared" si="30"/>
        <v>0</v>
      </c>
      <c r="T55" s="49" t="s">
        <v>314</v>
      </c>
    </row>
    <row r="56" spans="1:20" x14ac:dyDescent="0.25">
      <c r="B56" s="47" t="s">
        <v>3</v>
      </c>
      <c r="C56" s="47" t="s">
        <v>16</v>
      </c>
      <c r="D56" s="48" t="s">
        <v>36</v>
      </c>
      <c r="E56" s="62">
        <v>450</v>
      </c>
      <c r="F56" s="36">
        <f>IF(EPC_Arch="Distributed",COUNTIFS(HLD[Analysis Flag],"Y",HLD[Core Site],"Yes"),0)</f>
        <v>0</v>
      </c>
      <c r="G56" s="37">
        <v>0</v>
      </c>
      <c r="H56" s="37">
        <v>0</v>
      </c>
      <c r="I56" s="37">
        <v>0</v>
      </c>
      <c r="J56" s="37">
        <v>0</v>
      </c>
      <c r="K56" s="38">
        <v>0</v>
      </c>
      <c r="L56" s="83">
        <f t="shared" si="29"/>
        <v>0</v>
      </c>
      <c r="M56" s="75">
        <f t="shared" si="39"/>
        <v>0</v>
      </c>
      <c r="N56" s="75">
        <f t="shared" si="40"/>
        <v>0</v>
      </c>
      <c r="O56" s="75">
        <f t="shared" si="41"/>
        <v>0</v>
      </c>
      <c r="P56" s="75">
        <f t="shared" si="42"/>
        <v>0</v>
      </c>
      <c r="Q56" s="75">
        <f t="shared" si="43"/>
        <v>0</v>
      </c>
      <c r="R56" s="75">
        <f t="shared" si="44"/>
        <v>0</v>
      </c>
      <c r="S56" s="86">
        <f t="shared" si="30"/>
        <v>0</v>
      </c>
      <c r="T56" s="49" t="s">
        <v>316</v>
      </c>
    </row>
    <row r="57" spans="1:20" x14ac:dyDescent="0.25">
      <c r="B57" s="47" t="s">
        <v>3</v>
      </c>
      <c r="C57" s="47" t="s">
        <v>16</v>
      </c>
      <c r="D57" s="48" t="s">
        <v>188</v>
      </c>
      <c r="E57" s="62">
        <v>3000</v>
      </c>
      <c r="F57" s="36">
        <f>IF(AND(EPC_Arch="Centralized",EPC_Deployment="On-Premise"),COUNTIFS(HLD[Analysis Flag],"Y",HLD[Core Site],"Yes"),0)</f>
        <v>0</v>
      </c>
      <c r="G57" s="37">
        <v>0</v>
      </c>
      <c r="H57" s="37">
        <v>0</v>
      </c>
      <c r="I57" s="37">
        <v>0</v>
      </c>
      <c r="J57" s="37">
        <v>0</v>
      </c>
      <c r="K57" s="38">
        <v>0</v>
      </c>
      <c r="L57" s="83">
        <f t="shared" si="29"/>
        <v>0</v>
      </c>
      <c r="M57" s="75">
        <f t="shared" si="39"/>
        <v>0</v>
      </c>
      <c r="N57" s="75">
        <f t="shared" si="40"/>
        <v>0</v>
      </c>
      <c r="O57" s="75">
        <f t="shared" si="41"/>
        <v>0</v>
      </c>
      <c r="P57" s="75">
        <f t="shared" si="42"/>
        <v>0</v>
      </c>
      <c r="Q57" s="75">
        <f t="shared" si="43"/>
        <v>0</v>
      </c>
      <c r="R57" s="75">
        <f t="shared" si="44"/>
        <v>0</v>
      </c>
      <c r="S57" s="86">
        <f t="shared" si="30"/>
        <v>0</v>
      </c>
      <c r="T57" s="49" t="s">
        <v>336</v>
      </c>
    </row>
    <row r="58" spans="1:20" x14ac:dyDescent="0.25">
      <c r="B58" s="47" t="s">
        <v>3</v>
      </c>
      <c r="C58" s="47" t="s">
        <v>16</v>
      </c>
      <c r="D58" s="48" t="s">
        <v>35</v>
      </c>
      <c r="E58" s="62">
        <v>600</v>
      </c>
      <c r="F58" s="36">
        <f>COUNTIFS(HLD[Analysis Flag],"Y",HLD[Core Site],"Yes")</f>
        <v>1</v>
      </c>
      <c r="G58" s="37">
        <v>0</v>
      </c>
      <c r="H58" s="37">
        <v>0</v>
      </c>
      <c r="I58" s="37">
        <v>0</v>
      </c>
      <c r="J58" s="37">
        <v>0</v>
      </c>
      <c r="K58" s="38">
        <v>0</v>
      </c>
      <c r="L58" s="83">
        <f t="shared" si="29"/>
        <v>1</v>
      </c>
      <c r="M58" s="75">
        <f t="shared" si="39"/>
        <v>600</v>
      </c>
      <c r="N58" s="75">
        <f t="shared" si="40"/>
        <v>0</v>
      </c>
      <c r="O58" s="75">
        <f t="shared" si="41"/>
        <v>0</v>
      </c>
      <c r="P58" s="75">
        <f t="shared" si="42"/>
        <v>0</v>
      </c>
      <c r="Q58" s="75">
        <f t="shared" si="43"/>
        <v>0</v>
      </c>
      <c r="R58" s="75">
        <f t="shared" si="44"/>
        <v>0</v>
      </c>
      <c r="S58" s="86">
        <f t="shared" si="30"/>
        <v>600</v>
      </c>
      <c r="T58" s="49" t="s">
        <v>337</v>
      </c>
    </row>
    <row r="59" spans="1:20" x14ac:dyDescent="0.25">
      <c r="B59" s="47" t="s">
        <v>3</v>
      </c>
      <c r="C59" s="47" t="s">
        <v>14</v>
      </c>
      <c r="D59" s="48" t="s">
        <v>30</v>
      </c>
      <c r="E59" s="62">
        <v>35</v>
      </c>
      <c r="F59" s="36">
        <f>COUNTIFS(HLD[Analysis Flag],"Y",HLD[Core Site],"Yes",HLD[Power Supply],"PoE Injector")</f>
        <v>0</v>
      </c>
      <c r="G59" s="37">
        <v>0</v>
      </c>
      <c r="H59" s="37">
        <v>0</v>
      </c>
      <c r="I59" s="37">
        <v>0</v>
      </c>
      <c r="J59" s="37">
        <v>0</v>
      </c>
      <c r="K59" s="38">
        <v>0</v>
      </c>
      <c r="L59" s="83">
        <f t="shared" si="29"/>
        <v>0</v>
      </c>
      <c r="M59" s="75">
        <f t="shared" si="39"/>
        <v>0</v>
      </c>
      <c r="N59" s="75">
        <f t="shared" si="40"/>
        <v>0</v>
      </c>
      <c r="O59" s="75">
        <f t="shared" si="41"/>
        <v>0</v>
      </c>
      <c r="P59" s="75">
        <f t="shared" si="42"/>
        <v>0</v>
      </c>
      <c r="Q59" s="75">
        <f t="shared" si="43"/>
        <v>0</v>
      </c>
      <c r="R59" s="75">
        <f t="shared" si="44"/>
        <v>0</v>
      </c>
      <c r="S59" s="86">
        <f t="shared" si="30"/>
        <v>0</v>
      </c>
      <c r="T59" s="49" t="s">
        <v>317</v>
      </c>
    </row>
    <row r="60" spans="1:20" x14ac:dyDescent="0.25">
      <c r="B60" s="47" t="s">
        <v>3</v>
      </c>
      <c r="C60" s="47" t="s">
        <v>14</v>
      </c>
      <c r="D60" s="48" t="s">
        <v>31</v>
      </c>
      <c r="E60" s="62">
        <v>500</v>
      </c>
      <c r="F60" s="36">
        <f>COUNTIFS(HLD[Analysis Flag],"Y",HLD[Core Site],"Yes",HLD[Power Supply],"PSU")</f>
        <v>0</v>
      </c>
      <c r="G60" s="37">
        <v>0</v>
      </c>
      <c r="H60" s="37">
        <v>0</v>
      </c>
      <c r="I60" s="37">
        <v>0</v>
      </c>
      <c r="J60" s="37">
        <v>0</v>
      </c>
      <c r="K60" s="38">
        <v>0</v>
      </c>
      <c r="L60" s="83">
        <f t="shared" si="29"/>
        <v>0</v>
      </c>
      <c r="M60" s="75">
        <f t="shared" si="39"/>
        <v>0</v>
      </c>
      <c r="N60" s="75">
        <f t="shared" si="40"/>
        <v>0</v>
      </c>
      <c r="O60" s="75">
        <f t="shared" si="41"/>
        <v>0</v>
      </c>
      <c r="P60" s="75">
        <f t="shared" si="42"/>
        <v>0</v>
      </c>
      <c r="Q60" s="75">
        <f t="shared" si="43"/>
        <v>0</v>
      </c>
      <c r="R60" s="75">
        <f t="shared" si="44"/>
        <v>0</v>
      </c>
      <c r="S60" s="86">
        <f t="shared" si="30"/>
        <v>0</v>
      </c>
      <c r="T60" s="49" t="s">
        <v>318</v>
      </c>
    </row>
    <row r="61" spans="1:20" x14ac:dyDescent="0.25">
      <c r="B61" s="47" t="s">
        <v>3</v>
      </c>
      <c r="C61" s="47" t="s">
        <v>14</v>
      </c>
      <c r="D61" s="48" t="s">
        <v>32</v>
      </c>
      <c r="E61" s="62">
        <v>400</v>
      </c>
      <c r="F61" s="36">
        <f>COUNTIFS(HLD[Analysis Flag],"Y",HLD[Core Site],"Yes")</f>
        <v>1</v>
      </c>
      <c r="G61" s="37">
        <v>0</v>
      </c>
      <c r="H61" s="37">
        <v>0</v>
      </c>
      <c r="I61" s="37">
        <v>0</v>
      </c>
      <c r="J61" s="37">
        <v>0</v>
      </c>
      <c r="K61" s="38">
        <v>0</v>
      </c>
      <c r="L61" s="83">
        <f t="shared" si="29"/>
        <v>1</v>
      </c>
      <c r="M61" s="75">
        <f t="shared" si="39"/>
        <v>400</v>
      </c>
      <c r="N61" s="75">
        <f t="shared" si="40"/>
        <v>0</v>
      </c>
      <c r="O61" s="75">
        <f t="shared" si="41"/>
        <v>0</v>
      </c>
      <c r="P61" s="75">
        <f t="shared" si="42"/>
        <v>0</v>
      </c>
      <c r="Q61" s="75">
        <f t="shared" si="43"/>
        <v>0</v>
      </c>
      <c r="R61" s="75">
        <f t="shared" si="44"/>
        <v>0</v>
      </c>
      <c r="S61" s="86">
        <f t="shared" si="30"/>
        <v>400</v>
      </c>
      <c r="T61" s="49" t="s">
        <v>319</v>
      </c>
    </row>
    <row r="62" spans="1:20" x14ac:dyDescent="0.25">
      <c r="B62" s="47" t="s">
        <v>3</v>
      </c>
      <c r="C62" s="47" t="s">
        <v>8</v>
      </c>
      <c r="D62" s="48" t="s">
        <v>115</v>
      </c>
      <c r="E62" s="62">
        <v>120</v>
      </c>
      <c r="F62" s="36">
        <f>F49</f>
        <v>1</v>
      </c>
      <c r="G62" s="37">
        <v>0</v>
      </c>
      <c r="H62" s="37">
        <v>0</v>
      </c>
      <c r="I62" s="37">
        <v>0</v>
      </c>
      <c r="J62" s="37">
        <v>0</v>
      </c>
      <c r="K62" s="38">
        <v>0</v>
      </c>
      <c r="L62" s="83">
        <f t="shared" si="29"/>
        <v>1</v>
      </c>
      <c r="M62" s="75">
        <f t="shared" si="39"/>
        <v>120</v>
      </c>
      <c r="N62" s="75">
        <f t="shared" si="40"/>
        <v>0</v>
      </c>
      <c r="O62" s="75">
        <f t="shared" si="41"/>
        <v>0</v>
      </c>
      <c r="P62" s="75">
        <f t="shared" si="42"/>
        <v>0</v>
      </c>
      <c r="Q62" s="75">
        <f t="shared" si="43"/>
        <v>0</v>
      </c>
      <c r="R62" s="75">
        <f t="shared" si="44"/>
        <v>0</v>
      </c>
      <c r="S62" s="86">
        <f t="shared" si="30"/>
        <v>120</v>
      </c>
      <c r="T62" s="49" t="s">
        <v>320</v>
      </c>
    </row>
    <row r="63" spans="1:20" x14ac:dyDescent="0.25">
      <c r="B63" s="47" t="s">
        <v>3</v>
      </c>
      <c r="C63" s="47" t="s">
        <v>8</v>
      </c>
      <c r="D63" s="48" t="s">
        <v>116</v>
      </c>
      <c r="E63" s="62">
        <v>240</v>
      </c>
      <c r="F63" s="36">
        <f>F50</f>
        <v>0</v>
      </c>
      <c r="G63" s="37">
        <v>0</v>
      </c>
      <c r="H63" s="37">
        <v>0</v>
      </c>
      <c r="I63" s="37">
        <v>0</v>
      </c>
      <c r="J63" s="37">
        <v>0</v>
      </c>
      <c r="K63" s="38">
        <v>0</v>
      </c>
      <c r="L63" s="83">
        <f t="shared" si="29"/>
        <v>0</v>
      </c>
      <c r="M63" s="75">
        <f t="shared" si="39"/>
        <v>0</v>
      </c>
      <c r="N63" s="75">
        <f t="shared" si="40"/>
        <v>0</v>
      </c>
      <c r="O63" s="75">
        <f t="shared" si="41"/>
        <v>0</v>
      </c>
      <c r="P63" s="75">
        <f t="shared" si="42"/>
        <v>0</v>
      </c>
      <c r="Q63" s="75">
        <f t="shared" si="43"/>
        <v>0</v>
      </c>
      <c r="R63" s="75">
        <f t="shared" si="44"/>
        <v>0</v>
      </c>
      <c r="S63" s="86">
        <f t="shared" si="30"/>
        <v>0</v>
      </c>
      <c r="T63" s="49" t="s">
        <v>321</v>
      </c>
    </row>
    <row r="64" spans="1:20" x14ac:dyDescent="0.25">
      <c r="B64" s="47" t="s">
        <v>3</v>
      </c>
      <c r="C64" s="47" t="s">
        <v>8</v>
      </c>
      <c r="D64" s="48" t="s">
        <v>117</v>
      </c>
      <c r="E64" s="62">
        <v>300</v>
      </c>
      <c r="F64" s="36">
        <f>F51</f>
        <v>0</v>
      </c>
      <c r="G64" s="37">
        <v>0</v>
      </c>
      <c r="H64" s="37">
        <v>0</v>
      </c>
      <c r="I64" s="37">
        <v>0</v>
      </c>
      <c r="J64" s="37">
        <v>0</v>
      </c>
      <c r="K64" s="38">
        <v>0</v>
      </c>
      <c r="L64" s="83">
        <f t="shared" si="29"/>
        <v>0</v>
      </c>
      <c r="M64" s="75">
        <f t="shared" si="39"/>
        <v>0</v>
      </c>
      <c r="N64" s="75">
        <f t="shared" si="40"/>
        <v>0</v>
      </c>
      <c r="O64" s="75">
        <f t="shared" si="41"/>
        <v>0</v>
      </c>
      <c r="P64" s="75">
        <f t="shared" si="42"/>
        <v>0</v>
      </c>
      <c r="Q64" s="75">
        <f t="shared" si="43"/>
        <v>0</v>
      </c>
      <c r="R64" s="75">
        <f t="shared" si="44"/>
        <v>0</v>
      </c>
      <c r="S64" s="86">
        <f t="shared" si="30"/>
        <v>0</v>
      </c>
      <c r="T64" s="49" t="s">
        <v>322</v>
      </c>
    </row>
    <row r="65" spans="1:20" x14ac:dyDescent="0.25">
      <c r="A65" s="146"/>
      <c r="B65" s="47" t="s">
        <v>3</v>
      </c>
      <c r="C65" s="47" t="s">
        <v>8</v>
      </c>
      <c r="D65" s="48" t="s">
        <v>255</v>
      </c>
      <c r="E65" s="62">
        <v>60</v>
      </c>
      <c r="F65" s="36">
        <f>F52</f>
        <v>0</v>
      </c>
      <c r="G65" s="37">
        <v>0</v>
      </c>
      <c r="H65" s="37">
        <v>0</v>
      </c>
      <c r="I65" s="37">
        <v>0</v>
      </c>
      <c r="J65" s="37">
        <v>0</v>
      </c>
      <c r="K65" s="38">
        <v>0</v>
      </c>
      <c r="L65" s="83">
        <f t="shared" ref="L65:L67" si="53">SUM(F65:K65)</f>
        <v>0</v>
      </c>
      <c r="M65" s="75">
        <f t="shared" ref="M65:M67" si="54">F65*$E65</f>
        <v>0</v>
      </c>
      <c r="N65" s="75">
        <f t="shared" ref="N65:N67" si="55">G65*$E65</f>
        <v>0</v>
      </c>
      <c r="O65" s="75">
        <f t="shared" ref="O65:O67" si="56">H65*$E65</f>
        <v>0</v>
      </c>
      <c r="P65" s="75">
        <f t="shared" ref="P65:P67" si="57">I65*$E65</f>
        <v>0</v>
      </c>
      <c r="Q65" s="75">
        <f t="shared" ref="Q65:Q67" si="58">J65*$E65</f>
        <v>0</v>
      </c>
      <c r="R65" s="75">
        <f t="shared" ref="R65:R67" si="59">K65*$E65</f>
        <v>0</v>
      </c>
      <c r="S65" s="86">
        <f t="shared" ref="S65:S67" si="60">SUM(M65:R65)</f>
        <v>0</v>
      </c>
      <c r="T65" s="49" t="s">
        <v>323</v>
      </c>
    </row>
    <row r="66" spans="1:20" x14ac:dyDescent="0.25">
      <c r="A66" s="146"/>
      <c r="B66" s="47" t="s">
        <v>3</v>
      </c>
      <c r="C66" s="47" t="s">
        <v>8</v>
      </c>
      <c r="D66" s="48" t="s">
        <v>256</v>
      </c>
      <c r="E66" s="62">
        <v>60</v>
      </c>
      <c r="F66" s="36">
        <f t="shared" ref="F66:F68" si="61">F53</f>
        <v>0</v>
      </c>
      <c r="G66" s="37">
        <v>0</v>
      </c>
      <c r="H66" s="37">
        <v>0</v>
      </c>
      <c r="I66" s="37">
        <v>0</v>
      </c>
      <c r="J66" s="37">
        <v>0</v>
      </c>
      <c r="K66" s="38">
        <v>0</v>
      </c>
      <c r="L66" s="83">
        <f t="shared" si="53"/>
        <v>0</v>
      </c>
      <c r="M66" s="75">
        <f t="shared" si="54"/>
        <v>0</v>
      </c>
      <c r="N66" s="75">
        <f t="shared" si="55"/>
        <v>0</v>
      </c>
      <c r="O66" s="75">
        <f t="shared" si="56"/>
        <v>0</v>
      </c>
      <c r="P66" s="75">
        <f t="shared" si="57"/>
        <v>0</v>
      </c>
      <c r="Q66" s="75">
        <f t="shared" si="58"/>
        <v>0</v>
      </c>
      <c r="R66" s="75">
        <f t="shared" si="59"/>
        <v>0</v>
      </c>
      <c r="S66" s="86">
        <f t="shared" si="60"/>
        <v>0</v>
      </c>
      <c r="T66" s="49" t="s">
        <v>324</v>
      </c>
    </row>
    <row r="67" spans="1:20" x14ac:dyDescent="0.25">
      <c r="A67" s="146"/>
      <c r="B67" s="47" t="s">
        <v>3</v>
      </c>
      <c r="C67" s="47" t="s">
        <v>8</v>
      </c>
      <c r="D67" s="48" t="s">
        <v>257</v>
      </c>
      <c r="E67" s="62">
        <v>30</v>
      </c>
      <c r="F67" s="36">
        <f t="shared" si="61"/>
        <v>1</v>
      </c>
      <c r="G67" s="37">
        <v>0</v>
      </c>
      <c r="H67" s="37">
        <v>0</v>
      </c>
      <c r="I67" s="37">
        <v>0</v>
      </c>
      <c r="J67" s="37">
        <v>0</v>
      </c>
      <c r="K67" s="38">
        <v>0</v>
      </c>
      <c r="L67" s="83">
        <f t="shared" si="53"/>
        <v>1</v>
      </c>
      <c r="M67" s="75">
        <f t="shared" si="54"/>
        <v>30</v>
      </c>
      <c r="N67" s="75">
        <f t="shared" si="55"/>
        <v>0</v>
      </c>
      <c r="O67" s="75">
        <f t="shared" si="56"/>
        <v>0</v>
      </c>
      <c r="P67" s="75">
        <f t="shared" si="57"/>
        <v>0</v>
      </c>
      <c r="Q67" s="75">
        <f t="shared" si="58"/>
        <v>0</v>
      </c>
      <c r="R67" s="75">
        <f t="shared" si="59"/>
        <v>0</v>
      </c>
      <c r="S67" s="86">
        <f t="shared" si="60"/>
        <v>30</v>
      </c>
      <c r="T67" s="49" t="s">
        <v>325</v>
      </c>
    </row>
    <row r="68" spans="1:20" x14ac:dyDescent="0.25">
      <c r="A68" s="146"/>
      <c r="B68" s="47" t="s">
        <v>3</v>
      </c>
      <c r="C68" s="47" t="s">
        <v>8</v>
      </c>
      <c r="D68" s="48" t="s">
        <v>258</v>
      </c>
      <c r="E68" s="62">
        <v>120</v>
      </c>
      <c r="F68" s="36">
        <f t="shared" si="61"/>
        <v>0</v>
      </c>
      <c r="G68" s="37">
        <v>0</v>
      </c>
      <c r="H68" s="37">
        <v>0</v>
      </c>
      <c r="I68" s="37">
        <v>0</v>
      </c>
      <c r="J68" s="37">
        <v>0</v>
      </c>
      <c r="K68" s="38">
        <v>0</v>
      </c>
      <c r="L68" s="83">
        <f t="shared" si="29"/>
        <v>0</v>
      </c>
      <c r="M68" s="75">
        <f t="shared" si="39"/>
        <v>0</v>
      </c>
      <c r="N68" s="75">
        <f t="shared" si="40"/>
        <v>0</v>
      </c>
      <c r="O68" s="75">
        <f t="shared" si="41"/>
        <v>0</v>
      </c>
      <c r="P68" s="75">
        <f t="shared" si="42"/>
        <v>0</v>
      </c>
      <c r="Q68" s="75">
        <f t="shared" si="43"/>
        <v>0</v>
      </c>
      <c r="R68" s="75">
        <f t="shared" si="44"/>
        <v>0</v>
      </c>
      <c r="S68" s="86">
        <f t="shared" si="30"/>
        <v>0</v>
      </c>
      <c r="T68" s="49" t="s">
        <v>326</v>
      </c>
    </row>
    <row r="69" spans="1:20" x14ac:dyDescent="0.25">
      <c r="A69" s="146"/>
      <c r="B69" s="47" t="s">
        <v>3</v>
      </c>
      <c r="C69" s="47" t="s">
        <v>8</v>
      </c>
      <c r="D69" s="48" t="s">
        <v>118</v>
      </c>
      <c r="E69" s="62">
        <v>1090</v>
      </c>
      <c r="F69" s="36">
        <f>F49</f>
        <v>1</v>
      </c>
      <c r="G69" s="37">
        <v>0</v>
      </c>
      <c r="H69" s="37">
        <v>0</v>
      </c>
      <c r="I69" s="37">
        <v>0</v>
      </c>
      <c r="J69" s="37">
        <v>0</v>
      </c>
      <c r="K69" s="38">
        <v>0</v>
      </c>
      <c r="L69" s="83">
        <f t="shared" si="29"/>
        <v>1</v>
      </c>
      <c r="M69" s="75">
        <f t="shared" si="39"/>
        <v>1090</v>
      </c>
      <c r="N69" s="75">
        <f t="shared" si="40"/>
        <v>0</v>
      </c>
      <c r="O69" s="75">
        <f t="shared" si="41"/>
        <v>0</v>
      </c>
      <c r="P69" s="75">
        <f t="shared" si="42"/>
        <v>0</v>
      </c>
      <c r="Q69" s="75">
        <f t="shared" si="43"/>
        <v>0</v>
      </c>
      <c r="R69" s="75">
        <f t="shared" si="44"/>
        <v>0</v>
      </c>
      <c r="S69" s="86">
        <f t="shared" si="30"/>
        <v>1090</v>
      </c>
      <c r="T69" s="49" t="s">
        <v>327</v>
      </c>
    </row>
    <row r="70" spans="1:20" x14ac:dyDescent="0.25">
      <c r="A70" s="146"/>
      <c r="B70" s="47" t="s">
        <v>3</v>
      </c>
      <c r="C70" s="47" t="s">
        <v>8</v>
      </c>
      <c r="D70" s="48" t="s">
        <v>119</v>
      </c>
      <c r="E70" s="62">
        <v>1500</v>
      </c>
      <c r="F70" s="36">
        <f>F50</f>
        <v>0</v>
      </c>
      <c r="G70" s="37">
        <v>0</v>
      </c>
      <c r="H70" s="37">
        <v>0</v>
      </c>
      <c r="I70" s="37">
        <v>0</v>
      </c>
      <c r="J70" s="37">
        <v>0</v>
      </c>
      <c r="K70" s="38">
        <v>0</v>
      </c>
      <c r="L70" s="83">
        <f t="shared" si="29"/>
        <v>0</v>
      </c>
      <c r="M70" s="75">
        <f t="shared" si="39"/>
        <v>0</v>
      </c>
      <c r="N70" s="75">
        <f t="shared" si="40"/>
        <v>0</v>
      </c>
      <c r="O70" s="75">
        <f t="shared" si="41"/>
        <v>0</v>
      </c>
      <c r="P70" s="75">
        <f t="shared" si="42"/>
        <v>0</v>
      </c>
      <c r="Q70" s="75">
        <f t="shared" si="43"/>
        <v>0</v>
      </c>
      <c r="R70" s="75">
        <f t="shared" si="44"/>
        <v>0</v>
      </c>
      <c r="S70" s="86">
        <f t="shared" si="30"/>
        <v>0</v>
      </c>
      <c r="T70" s="49" t="s">
        <v>328</v>
      </c>
    </row>
    <row r="71" spans="1:20" x14ac:dyDescent="0.25">
      <c r="A71" s="146"/>
      <c r="B71" s="47" t="s">
        <v>3</v>
      </c>
      <c r="C71" s="47" t="s">
        <v>8</v>
      </c>
      <c r="D71" s="48" t="s">
        <v>120</v>
      </c>
      <c r="E71" s="62">
        <v>1800</v>
      </c>
      <c r="F71" s="36">
        <f>F51</f>
        <v>0</v>
      </c>
      <c r="G71" s="37">
        <v>0</v>
      </c>
      <c r="H71" s="37">
        <v>0</v>
      </c>
      <c r="I71" s="37">
        <v>0</v>
      </c>
      <c r="J71" s="37">
        <v>0</v>
      </c>
      <c r="K71" s="38">
        <v>0</v>
      </c>
      <c r="L71" s="83">
        <f t="shared" si="29"/>
        <v>0</v>
      </c>
      <c r="M71" s="75">
        <f t="shared" si="39"/>
        <v>0</v>
      </c>
      <c r="N71" s="75">
        <f t="shared" si="40"/>
        <v>0</v>
      </c>
      <c r="O71" s="75">
        <f t="shared" si="41"/>
        <v>0</v>
      </c>
      <c r="P71" s="75">
        <f t="shared" si="42"/>
        <v>0</v>
      </c>
      <c r="Q71" s="75">
        <f t="shared" si="43"/>
        <v>0</v>
      </c>
      <c r="R71" s="75">
        <f t="shared" si="44"/>
        <v>0</v>
      </c>
      <c r="S71" s="86">
        <f t="shared" si="30"/>
        <v>0</v>
      </c>
      <c r="T71" s="49" t="s">
        <v>329</v>
      </c>
    </row>
    <row r="72" spans="1:20" x14ac:dyDescent="0.25">
      <c r="A72" s="146"/>
      <c r="B72" s="47" t="s">
        <v>3</v>
      </c>
      <c r="C72" s="47" t="s">
        <v>8</v>
      </c>
      <c r="D72" s="48" t="s">
        <v>259</v>
      </c>
      <c r="E72" s="62">
        <v>1000</v>
      </c>
      <c r="F72" s="36">
        <f>F52</f>
        <v>0</v>
      </c>
      <c r="G72" s="37">
        <v>0</v>
      </c>
      <c r="H72" s="37">
        <v>0</v>
      </c>
      <c r="I72" s="37">
        <v>0</v>
      </c>
      <c r="J72" s="37">
        <v>0</v>
      </c>
      <c r="K72" s="38">
        <v>0</v>
      </c>
      <c r="L72" s="83">
        <f t="shared" ref="L72:L74" si="62">SUM(F72:K72)</f>
        <v>0</v>
      </c>
      <c r="M72" s="75">
        <f t="shared" ref="M72:M74" si="63">F72*$E72</f>
        <v>0</v>
      </c>
      <c r="N72" s="75">
        <f t="shared" ref="N72:N74" si="64">G72*$E72</f>
        <v>0</v>
      </c>
      <c r="O72" s="75">
        <f t="shared" ref="O72:O74" si="65">H72*$E72</f>
        <v>0</v>
      </c>
      <c r="P72" s="75">
        <f t="shared" ref="P72:P74" si="66">I72*$E72</f>
        <v>0</v>
      </c>
      <c r="Q72" s="75">
        <f t="shared" ref="Q72:Q74" si="67">J72*$E72</f>
        <v>0</v>
      </c>
      <c r="R72" s="75">
        <f t="shared" ref="R72:R74" si="68">K72*$E72</f>
        <v>0</v>
      </c>
      <c r="S72" s="86">
        <f t="shared" ref="S72:S74" si="69">SUM(M72:R72)</f>
        <v>0</v>
      </c>
      <c r="T72" s="49" t="s">
        <v>331</v>
      </c>
    </row>
    <row r="73" spans="1:20" x14ac:dyDescent="0.25">
      <c r="A73" s="146"/>
      <c r="B73" s="47" t="s">
        <v>3</v>
      </c>
      <c r="C73" s="47" t="s">
        <v>8</v>
      </c>
      <c r="D73" s="48" t="s">
        <v>260</v>
      </c>
      <c r="E73" s="62">
        <v>1000</v>
      </c>
      <c r="F73" s="36">
        <f t="shared" ref="F73:F75" si="70">F53</f>
        <v>0</v>
      </c>
      <c r="G73" s="37">
        <v>0</v>
      </c>
      <c r="H73" s="37">
        <v>0</v>
      </c>
      <c r="I73" s="37">
        <v>0</v>
      </c>
      <c r="J73" s="37">
        <v>0</v>
      </c>
      <c r="K73" s="38">
        <v>0</v>
      </c>
      <c r="L73" s="83">
        <f t="shared" si="62"/>
        <v>0</v>
      </c>
      <c r="M73" s="75">
        <f t="shared" si="63"/>
        <v>0</v>
      </c>
      <c r="N73" s="75">
        <f t="shared" si="64"/>
        <v>0</v>
      </c>
      <c r="O73" s="75">
        <f t="shared" si="65"/>
        <v>0</v>
      </c>
      <c r="P73" s="75">
        <f t="shared" si="66"/>
        <v>0</v>
      </c>
      <c r="Q73" s="75">
        <f t="shared" si="67"/>
        <v>0</v>
      </c>
      <c r="R73" s="75">
        <f t="shared" si="68"/>
        <v>0</v>
      </c>
      <c r="S73" s="86">
        <f t="shared" si="69"/>
        <v>0</v>
      </c>
      <c r="T73" s="49" t="s">
        <v>333</v>
      </c>
    </row>
    <row r="74" spans="1:20" x14ac:dyDescent="0.25">
      <c r="A74" s="146"/>
      <c r="B74" s="47" t="s">
        <v>3</v>
      </c>
      <c r="C74" s="47" t="s">
        <v>8</v>
      </c>
      <c r="D74" s="48" t="s">
        <v>261</v>
      </c>
      <c r="E74" s="62">
        <v>375</v>
      </c>
      <c r="F74" s="36">
        <f t="shared" si="70"/>
        <v>1</v>
      </c>
      <c r="G74" s="37">
        <v>0</v>
      </c>
      <c r="H74" s="37">
        <v>0</v>
      </c>
      <c r="I74" s="37">
        <v>0</v>
      </c>
      <c r="J74" s="37">
        <v>0</v>
      </c>
      <c r="K74" s="38">
        <v>0</v>
      </c>
      <c r="L74" s="83">
        <f t="shared" si="62"/>
        <v>1</v>
      </c>
      <c r="M74" s="75">
        <f t="shared" si="63"/>
        <v>375</v>
      </c>
      <c r="N74" s="75">
        <f t="shared" si="64"/>
        <v>0</v>
      </c>
      <c r="O74" s="75">
        <f t="shared" si="65"/>
        <v>0</v>
      </c>
      <c r="P74" s="75">
        <f t="shared" si="66"/>
        <v>0</v>
      </c>
      <c r="Q74" s="75">
        <f t="shared" si="67"/>
        <v>0</v>
      </c>
      <c r="R74" s="75">
        <f t="shared" si="68"/>
        <v>0</v>
      </c>
      <c r="S74" s="86">
        <f t="shared" si="69"/>
        <v>375</v>
      </c>
      <c r="T74" s="49" t="s">
        <v>334</v>
      </c>
    </row>
    <row r="75" spans="1:20" x14ac:dyDescent="0.25">
      <c r="A75" s="146"/>
      <c r="B75" s="47" t="s">
        <v>3</v>
      </c>
      <c r="C75" s="47" t="s">
        <v>8</v>
      </c>
      <c r="D75" s="48" t="s">
        <v>262</v>
      </c>
      <c r="E75" s="62">
        <v>750</v>
      </c>
      <c r="F75" s="36">
        <f t="shared" si="70"/>
        <v>0</v>
      </c>
      <c r="G75" s="37">
        <v>0</v>
      </c>
      <c r="H75" s="37">
        <v>0</v>
      </c>
      <c r="I75" s="37">
        <v>0</v>
      </c>
      <c r="J75" s="37">
        <v>0</v>
      </c>
      <c r="K75" s="38">
        <v>0</v>
      </c>
      <c r="L75" s="83">
        <f t="shared" si="29"/>
        <v>0</v>
      </c>
      <c r="M75" s="75">
        <f t="shared" si="39"/>
        <v>0</v>
      </c>
      <c r="N75" s="75">
        <f t="shared" si="40"/>
        <v>0</v>
      </c>
      <c r="O75" s="75">
        <f t="shared" si="41"/>
        <v>0</v>
      </c>
      <c r="P75" s="75">
        <f t="shared" si="42"/>
        <v>0</v>
      </c>
      <c r="Q75" s="75">
        <f t="shared" si="43"/>
        <v>0</v>
      </c>
      <c r="R75" s="75">
        <f t="shared" si="44"/>
        <v>0</v>
      </c>
      <c r="S75" s="86">
        <f t="shared" si="30"/>
        <v>0</v>
      </c>
      <c r="T75" s="49" t="s">
        <v>332</v>
      </c>
    </row>
    <row r="76" spans="1:20" ht="15" thickBot="1" x14ac:dyDescent="0.3">
      <c r="B76" s="69" t="s">
        <v>3</v>
      </c>
      <c r="C76" s="69" t="s">
        <v>23</v>
      </c>
      <c r="D76" s="70" t="s">
        <v>37</v>
      </c>
      <c r="E76" s="82">
        <v>0</v>
      </c>
      <c r="F76" s="71">
        <f>F58</f>
        <v>1</v>
      </c>
      <c r="G76" s="72">
        <v>0</v>
      </c>
      <c r="H76" s="72">
        <v>0</v>
      </c>
      <c r="I76" s="72">
        <v>0</v>
      </c>
      <c r="J76" s="72">
        <v>0</v>
      </c>
      <c r="K76" s="73">
        <v>0</v>
      </c>
      <c r="L76" s="84">
        <f t="shared" si="29"/>
        <v>1</v>
      </c>
      <c r="M76" s="76">
        <f t="shared" si="39"/>
        <v>0</v>
      </c>
      <c r="N76" s="76">
        <f t="shared" si="40"/>
        <v>0</v>
      </c>
      <c r="O76" s="76">
        <f t="shared" si="41"/>
        <v>0</v>
      </c>
      <c r="P76" s="76">
        <f t="shared" si="42"/>
        <v>0</v>
      </c>
      <c r="Q76" s="76">
        <f t="shared" si="43"/>
        <v>0</v>
      </c>
      <c r="R76" s="76">
        <f t="shared" si="44"/>
        <v>0</v>
      </c>
      <c r="S76" s="87">
        <f t="shared" si="30"/>
        <v>0</v>
      </c>
      <c r="T76" s="74" t="s">
        <v>338</v>
      </c>
    </row>
    <row r="77" spans="1:20" x14ac:dyDescent="0.25">
      <c r="B77" s="63" t="s">
        <v>4</v>
      </c>
      <c r="C77" s="63" t="s">
        <v>198</v>
      </c>
      <c r="D77" s="64" t="s">
        <v>90</v>
      </c>
      <c r="E77" s="81">
        <v>1300</v>
      </c>
      <c r="F77" s="65">
        <f>IF(Sys_Deployment="On-Premise",N_Servers,0)</f>
        <v>0</v>
      </c>
      <c r="G77" s="66">
        <v>0</v>
      </c>
      <c r="H77" s="66">
        <v>0</v>
      </c>
      <c r="I77" s="66">
        <v>0</v>
      </c>
      <c r="J77" s="66">
        <v>0</v>
      </c>
      <c r="K77" s="67">
        <v>0</v>
      </c>
      <c r="L77" s="85">
        <f t="shared" si="29"/>
        <v>0</v>
      </c>
      <c r="M77" s="77">
        <f t="shared" si="39"/>
        <v>0</v>
      </c>
      <c r="N77" s="77">
        <f t="shared" si="40"/>
        <v>0</v>
      </c>
      <c r="O77" s="77">
        <f t="shared" si="41"/>
        <v>0</v>
      </c>
      <c r="P77" s="77">
        <f t="shared" si="42"/>
        <v>0</v>
      </c>
      <c r="Q77" s="77">
        <f t="shared" si="43"/>
        <v>0</v>
      </c>
      <c r="R77" s="77">
        <f t="shared" si="44"/>
        <v>0</v>
      </c>
      <c r="S77" s="88">
        <f t="shared" si="30"/>
        <v>0</v>
      </c>
      <c r="T77" s="68" t="s">
        <v>339</v>
      </c>
    </row>
    <row r="78" spans="1:20" x14ac:dyDescent="0.25">
      <c r="B78" s="47" t="s">
        <v>4</v>
      </c>
      <c r="C78" s="47" t="s">
        <v>38</v>
      </c>
      <c r="D78" s="48" t="s">
        <v>91</v>
      </c>
      <c r="E78" s="62">
        <v>1500</v>
      </c>
      <c r="F78" s="65">
        <f>IF(Sys_Deployment="On-Premise",1,0)</f>
        <v>0</v>
      </c>
      <c r="G78" s="37">
        <v>0</v>
      </c>
      <c r="H78" s="37">
        <v>0</v>
      </c>
      <c r="I78" s="37">
        <v>0</v>
      </c>
      <c r="J78" s="37">
        <v>0</v>
      </c>
      <c r="K78" s="38">
        <v>0</v>
      </c>
      <c r="L78" s="83">
        <f t="shared" ref="L78:L83" si="71">SUM(F78:K78)</f>
        <v>0</v>
      </c>
      <c r="M78" s="75">
        <f t="shared" si="39"/>
        <v>0</v>
      </c>
      <c r="N78" s="75">
        <f t="shared" si="40"/>
        <v>0</v>
      </c>
      <c r="O78" s="75">
        <f t="shared" si="41"/>
        <v>0</v>
      </c>
      <c r="P78" s="75">
        <f t="shared" si="42"/>
        <v>0</v>
      </c>
      <c r="Q78" s="75">
        <f t="shared" si="43"/>
        <v>0</v>
      </c>
      <c r="R78" s="75">
        <f t="shared" si="44"/>
        <v>0</v>
      </c>
      <c r="S78" s="86">
        <f t="shared" ref="S78:S80" si="72">SUM(M78:R78)</f>
        <v>0</v>
      </c>
      <c r="T78" s="49" t="s">
        <v>125</v>
      </c>
    </row>
    <row r="79" spans="1:20" x14ac:dyDescent="0.25">
      <c r="B79" s="47" t="s">
        <v>4</v>
      </c>
      <c r="C79" s="47" t="s">
        <v>38</v>
      </c>
      <c r="D79" s="48" t="s">
        <v>92</v>
      </c>
      <c r="E79" s="62">
        <v>2000</v>
      </c>
      <c r="F79" s="65">
        <f>IF(Sys_Deployment="On-Premise",1,0)</f>
        <v>0</v>
      </c>
      <c r="G79" s="37">
        <v>0</v>
      </c>
      <c r="H79" s="37">
        <v>0</v>
      </c>
      <c r="I79" s="37">
        <v>0</v>
      </c>
      <c r="J79" s="37">
        <v>0</v>
      </c>
      <c r="K79" s="38">
        <v>0</v>
      </c>
      <c r="L79" s="83">
        <f t="shared" si="71"/>
        <v>0</v>
      </c>
      <c r="M79" s="75">
        <f t="shared" si="39"/>
        <v>0</v>
      </c>
      <c r="N79" s="75">
        <f t="shared" si="40"/>
        <v>0</v>
      </c>
      <c r="O79" s="75">
        <f t="shared" si="41"/>
        <v>0</v>
      </c>
      <c r="P79" s="75">
        <f t="shared" si="42"/>
        <v>0</v>
      </c>
      <c r="Q79" s="75">
        <f t="shared" si="43"/>
        <v>0</v>
      </c>
      <c r="R79" s="75">
        <f t="shared" si="44"/>
        <v>0</v>
      </c>
      <c r="S79" s="86">
        <f t="shared" si="72"/>
        <v>0</v>
      </c>
      <c r="T79" s="49" t="s">
        <v>125</v>
      </c>
    </row>
    <row r="80" spans="1:20" x14ac:dyDescent="0.25">
      <c r="B80" s="47" t="s">
        <v>4</v>
      </c>
      <c r="C80" s="47" t="s">
        <v>38</v>
      </c>
      <c r="D80" s="48" t="s">
        <v>93</v>
      </c>
      <c r="E80" s="62">
        <v>1500</v>
      </c>
      <c r="F80" s="65">
        <f>IF(Sys_Deployment="On-Premise",1,0)</f>
        <v>0</v>
      </c>
      <c r="G80" s="37">
        <v>0</v>
      </c>
      <c r="H80" s="37">
        <v>0</v>
      </c>
      <c r="I80" s="37">
        <v>0</v>
      </c>
      <c r="J80" s="37">
        <v>0</v>
      </c>
      <c r="K80" s="38">
        <v>0</v>
      </c>
      <c r="L80" s="83">
        <f t="shared" si="71"/>
        <v>0</v>
      </c>
      <c r="M80" s="75">
        <f t="shared" si="39"/>
        <v>0</v>
      </c>
      <c r="N80" s="75">
        <f t="shared" si="40"/>
        <v>0</v>
      </c>
      <c r="O80" s="75">
        <f t="shared" si="41"/>
        <v>0</v>
      </c>
      <c r="P80" s="75">
        <f t="shared" si="42"/>
        <v>0</v>
      </c>
      <c r="Q80" s="75">
        <f t="shared" si="43"/>
        <v>0</v>
      </c>
      <c r="R80" s="75">
        <f t="shared" si="44"/>
        <v>0</v>
      </c>
      <c r="S80" s="86">
        <f t="shared" si="72"/>
        <v>0</v>
      </c>
      <c r="T80" s="49" t="s">
        <v>125</v>
      </c>
    </row>
    <row r="81" spans="2:20" x14ac:dyDescent="0.25">
      <c r="B81" s="47" t="s">
        <v>4</v>
      </c>
      <c r="C81" s="47" t="s">
        <v>39</v>
      </c>
      <c r="D81" s="48" t="s">
        <v>40</v>
      </c>
      <c r="E81" s="62">
        <v>630</v>
      </c>
      <c r="F81" s="78">
        <v>1</v>
      </c>
      <c r="G81" s="79"/>
      <c r="H81" s="79"/>
      <c r="I81" s="79"/>
      <c r="J81" s="79"/>
      <c r="K81" s="80"/>
      <c r="L81" s="83">
        <f t="shared" si="71"/>
        <v>1</v>
      </c>
      <c r="M81" s="75">
        <f t="shared" ref="M81:M83" si="73">F81*$E81</f>
        <v>630</v>
      </c>
      <c r="N81" s="75">
        <f t="shared" ref="N81:N83" si="74">G81*$E81</f>
        <v>0</v>
      </c>
      <c r="O81" s="75">
        <f t="shared" ref="O81:O83" si="75">H81*$E81</f>
        <v>0</v>
      </c>
      <c r="P81" s="75">
        <f t="shared" ref="P81:P83" si="76">I81*$E81</f>
        <v>0</v>
      </c>
      <c r="Q81" s="75">
        <f t="shared" ref="Q81:Q83" si="77">J81*$E81</f>
        <v>0</v>
      </c>
      <c r="R81" s="75">
        <f t="shared" ref="R81:R83" si="78">K81*$E81</f>
        <v>0</v>
      </c>
      <c r="S81" s="86">
        <f t="shared" ref="S81:S83" si="79">SUM(M81:R81)</f>
        <v>630</v>
      </c>
      <c r="T81" s="49" t="s">
        <v>340</v>
      </c>
    </row>
    <row r="82" spans="2:20" x14ac:dyDescent="0.25">
      <c r="B82" s="47" t="s">
        <v>4</v>
      </c>
      <c r="C82" s="47" t="s">
        <v>39</v>
      </c>
      <c r="D82" s="48" t="s">
        <v>41</v>
      </c>
      <c r="E82" s="62">
        <v>1320</v>
      </c>
      <c r="F82" s="78">
        <v>1</v>
      </c>
      <c r="G82" s="79"/>
      <c r="H82" s="79"/>
      <c r="I82" s="79"/>
      <c r="J82" s="79"/>
      <c r="K82" s="80"/>
      <c r="L82" s="83">
        <f t="shared" si="71"/>
        <v>1</v>
      </c>
      <c r="M82" s="75">
        <f t="shared" si="73"/>
        <v>1320</v>
      </c>
      <c r="N82" s="75">
        <f t="shared" si="74"/>
        <v>0</v>
      </c>
      <c r="O82" s="75">
        <f t="shared" si="75"/>
        <v>0</v>
      </c>
      <c r="P82" s="75">
        <f t="shared" si="76"/>
        <v>0</v>
      </c>
      <c r="Q82" s="75">
        <f t="shared" si="77"/>
        <v>0</v>
      </c>
      <c r="R82" s="75">
        <f t="shared" si="78"/>
        <v>0</v>
      </c>
      <c r="S82" s="86">
        <f t="shared" si="79"/>
        <v>1320</v>
      </c>
      <c r="T82" s="49" t="s">
        <v>341</v>
      </c>
    </row>
    <row r="83" spans="2:20" ht="15" thickBot="1" x14ac:dyDescent="0.3">
      <c r="B83" s="47" t="s">
        <v>4</v>
      </c>
      <c r="C83" s="47" t="s">
        <v>39</v>
      </c>
      <c r="D83" s="48" t="s">
        <v>42</v>
      </c>
      <c r="E83" s="62">
        <v>7800</v>
      </c>
      <c r="F83" s="78">
        <v>1</v>
      </c>
      <c r="G83" s="79"/>
      <c r="H83" s="79"/>
      <c r="I83" s="79"/>
      <c r="J83" s="79"/>
      <c r="K83" s="80"/>
      <c r="L83" s="96">
        <f t="shared" si="71"/>
        <v>1</v>
      </c>
      <c r="M83" s="97">
        <f t="shared" si="73"/>
        <v>7800</v>
      </c>
      <c r="N83" s="97">
        <f t="shared" si="74"/>
        <v>0</v>
      </c>
      <c r="O83" s="97">
        <f t="shared" si="75"/>
        <v>0</v>
      </c>
      <c r="P83" s="97">
        <f t="shared" si="76"/>
        <v>0</v>
      </c>
      <c r="Q83" s="97">
        <f t="shared" si="77"/>
        <v>0</v>
      </c>
      <c r="R83" s="97">
        <f t="shared" si="78"/>
        <v>0</v>
      </c>
      <c r="S83" s="98">
        <f t="shared" si="79"/>
        <v>7800</v>
      </c>
      <c r="T83" s="49" t="s">
        <v>342</v>
      </c>
    </row>
    <row r="84" spans="2:20" ht="15" thickTop="1" x14ac:dyDescent="0.25"/>
    <row r="85" spans="2:20" x14ac:dyDescent="0.25">
      <c r="L85" s="99" t="s">
        <v>99</v>
      </c>
      <c r="M85" s="86">
        <f t="shared" ref="M85:S85" si="80">SUM(M4:M83)</f>
        <v>187500</v>
      </c>
      <c r="N85" s="86">
        <f t="shared" si="80"/>
        <v>88357.5</v>
      </c>
      <c r="O85" s="86">
        <f t="shared" si="80"/>
        <v>80325</v>
      </c>
      <c r="P85" s="86">
        <f t="shared" si="80"/>
        <v>60095</v>
      </c>
      <c r="Q85" s="86">
        <f t="shared" si="80"/>
        <v>40162.5</v>
      </c>
      <c r="R85" s="86">
        <f t="shared" si="80"/>
        <v>0</v>
      </c>
      <c r="S85" s="86">
        <f t="shared" si="80"/>
        <v>456440</v>
      </c>
    </row>
  </sheetData>
  <autoFilter ref="B3:S83" xr:uid="{CDC5F47D-8F2A-4F4F-877F-66919816A22E}"/>
  <mergeCells count="3">
    <mergeCell ref="M2:S2"/>
    <mergeCell ref="F2:L2"/>
    <mergeCell ref="B2:D2"/>
  </mergeCells>
  <phoneticPr fontId="15" type="noConversion"/>
  <conditionalFormatting sqref="E4:E83">
    <cfRule type="expression" dxfId="1" priority="1">
      <formula>$F4=0</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1FB00-2438-4EC5-A734-533F066E3724}">
  <dimension ref="B2:T33"/>
  <sheetViews>
    <sheetView showGridLines="0" zoomScale="80" zoomScaleNormal="80" workbookViewId="0">
      <selection activeCell="F10" sqref="F10"/>
    </sheetView>
  </sheetViews>
  <sheetFormatPr defaultRowHeight="14.25" x14ac:dyDescent="0.25"/>
  <cols>
    <col min="1" max="1" width="4.7109375" style="2" customWidth="1"/>
    <col min="2" max="2" width="22.140625" style="2" bestFit="1" customWidth="1"/>
    <col min="3" max="3" width="20.140625" style="2" bestFit="1" customWidth="1"/>
    <col min="4" max="4" width="31" style="2" bestFit="1" customWidth="1"/>
    <col min="5" max="6" width="13.7109375" style="2" customWidth="1"/>
    <col min="7" max="7" width="11.28515625" style="2" bestFit="1" customWidth="1"/>
    <col min="8" max="18" width="11.28515625" style="2" customWidth="1"/>
    <col min="19" max="19" width="12.28515625" style="2" customWidth="1"/>
    <col min="20" max="20" width="88.42578125" style="2" customWidth="1"/>
    <col min="21" max="16384" width="9.140625" style="2"/>
  </cols>
  <sheetData>
    <row r="2" spans="2:20" x14ac:dyDescent="0.25">
      <c r="B2" s="181" t="s">
        <v>150</v>
      </c>
      <c r="C2" s="181"/>
      <c r="D2" s="181"/>
      <c r="E2" s="39"/>
      <c r="F2" s="39"/>
      <c r="G2" s="179" t="s">
        <v>149</v>
      </c>
      <c r="H2" s="180"/>
      <c r="I2" s="180"/>
      <c r="J2" s="180"/>
      <c r="K2" s="180"/>
      <c r="L2" s="180"/>
      <c r="M2" s="179" t="s">
        <v>151</v>
      </c>
      <c r="N2" s="181"/>
      <c r="O2" s="181"/>
      <c r="P2" s="181"/>
      <c r="Q2" s="181"/>
      <c r="R2" s="181"/>
      <c r="S2" s="181"/>
      <c r="T2" s="40"/>
    </row>
    <row r="3" spans="2:20" x14ac:dyDescent="0.25">
      <c r="B3" s="41" t="s">
        <v>0</v>
      </c>
      <c r="C3" s="41" t="s">
        <v>5</v>
      </c>
      <c r="D3" s="41" t="s">
        <v>6</v>
      </c>
      <c r="E3" s="42" t="s">
        <v>192</v>
      </c>
      <c r="F3" s="42" t="s">
        <v>191</v>
      </c>
      <c r="G3" s="43">
        <v>2020</v>
      </c>
      <c r="H3" s="44">
        <v>2021</v>
      </c>
      <c r="I3" s="44">
        <v>2022</v>
      </c>
      <c r="J3" s="44">
        <v>2023</v>
      </c>
      <c r="K3" s="44">
        <v>2024</v>
      </c>
      <c r="L3" s="44">
        <v>2025</v>
      </c>
      <c r="M3" s="41">
        <v>2020</v>
      </c>
      <c r="N3" s="41">
        <v>2021</v>
      </c>
      <c r="O3" s="41">
        <v>2022</v>
      </c>
      <c r="P3" s="41">
        <v>2023</v>
      </c>
      <c r="Q3" s="41">
        <v>2024</v>
      </c>
      <c r="R3" s="41">
        <v>2025</v>
      </c>
      <c r="S3" s="46" t="s">
        <v>99</v>
      </c>
      <c r="T3" s="7" t="s">
        <v>97</v>
      </c>
    </row>
    <row r="4" spans="2:20" x14ac:dyDescent="0.25">
      <c r="B4" s="47" t="s">
        <v>1</v>
      </c>
      <c r="C4" s="47" t="s">
        <v>80</v>
      </c>
      <c r="D4" s="48" t="s">
        <v>79</v>
      </c>
      <c r="E4" s="35" t="s">
        <v>193</v>
      </c>
      <c r="F4" s="35">
        <v>160</v>
      </c>
      <c r="G4" s="36" cm="1">
        <f t="array" ref="G4">ROUNDUP(SUMPRODUCT(HLD[Outdoor Subscriber Ratio],HLD[Covered Homes],--(HLD[Analysis Flag]="Y"))*Dashboard!C68+SUMPRODUCT(HLD[Outdoor Subscriber Ratio],HLD[Priority Targets Covered],--(HLD[Analysis Flag]="Y")),0)*0.1</f>
        <v>18.2</v>
      </c>
      <c r="H4" s="37" cm="1">
        <f t="array" ref="H4">ROUNDUP(SUMPRODUCT(HLD[Outdoor Subscriber Ratio],HLD[Covered Homes],--(HLD[Analysis Flag]="Y"))*Dashboard!D68+SUMPRODUCT(HLD[Outdoor Subscriber Ratio],HLD[Priority Targets Covered],--(HLD[Analysis Flag]="Y")),0)*0.1</f>
        <v>47.900000000000006</v>
      </c>
      <c r="I4" s="37" cm="1">
        <f t="array" ref="I4">ROUNDUP(SUMPRODUCT(HLD[Outdoor Subscriber Ratio],HLD[Covered Homes],--(HLD[Analysis Flag]="Y"))*Dashboard!E68+SUMPRODUCT(HLD[Outdoor Subscriber Ratio],HLD[Priority Targets Covered],--(HLD[Analysis Flag]="Y")),0)*0.1</f>
        <v>74.900000000000006</v>
      </c>
      <c r="J4" s="37" cm="1">
        <f t="array" ref="J4">ROUNDUP(SUMPRODUCT(HLD[Outdoor Subscriber Ratio],HLD[Covered Homes],--(HLD[Analysis Flag]="Y"))*Dashboard!F68+SUMPRODUCT(HLD[Outdoor Subscriber Ratio],HLD[Priority Targets Covered],--(HLD[Analysis Flag]="Y")),0)*0.1</f>
        <v>95.100000000000009</v>
      </c>
      <c r="K4" s="37" cm="1">
        <f t="array" ref="K4">ROUNDUP(SUMPRODUCT(HLD[Outdoor Subscriber Ratio],HLD[Covered Homes],--(HLD[Analysis Flag]="Y"))*Dashboard!G68+SUMPRODUCT(HLD[Outdoor Subscriber Ratio],HLD[Priority Targets Covered],--(HLD[Analysis Flag]="Y")),0)*0.1</f>
        <v>108.60000000000001</v>
      </c>
      <c r="L4" s="38" cm="1">
        <f t="array" ref="L4">ROUNDUP(SUMPRODUCT(HLD[Outdoor Subscriber Ratio],HLD[Covered Homes],--(HLD[Analysis Flag]="Y"))*Dashboard!H68+SUMPRODUCT(HLD[Outdoor Subscriber Ratio],HLD[Priority Targets Covered],--(HLD[Analysis Flag]="Y")),0)*0.1</f>
        <v>108.60000000000001</v>
      </c>
      <c r="M4" s="75">
        <f t="shared" ref="M4:R10" si="0">G4*$F4</f>
        <v>2912</v>
      </c>
      <c r="N4" s="75">
        <f t="shared" si="0"/>
        <v>7664.0000000000009</v>
      </c>
      <c r="O4" s="75">
        <f t="shared" si="0"/>
        <v>11984</v>
      </c>
      <c r="P4" s="75">
        <f t="shared" si="0"/>
        <v>15216.000000000002</v>
      </c>
      <c r="Q4" s="75">
        <f t="shared" si="0"/>
        <v>17376</v>
      </c>
      <c r="R4" s="75">
        <f t="shared" si="0"/>
        <v>17376</v>
      </c>
      <c r="S4" s="86">
        <f t="shared" ref="S4:S21" si="1">SUM(M4:R4)</f>
        <v>72528</v>
      </c>
      <c r="T4" s="49" t="s">
        <v>344</v>
      </c>
    </row>
    <row r="5" spans="2:20" x14ac:dyDescent="0.25">
      <c r="B5" s="47" t="s">
        <v>1</v>
      </c>
      <c r="C5" s="47" t="s">
        <v>155</v>
      </c>
      <c r="D5" s="48" t="s">
        <v>157</v>
      </c>
      <c r="E5" s="91">
        <v>2.25</v>
      </c>
      <c r="F5" s="92">
        <f>E5*12</f>
        <v>27</v>
      </c>
      <c r="G5" s="36" cm="1">
        <f t="array" ref="G5">ROUNDUP(SUMPRODUCT(HLD[Covered Homes],--(HLD[Frequency Band]=3.5),--(HLD[Analysis Flag]="Y"))*Dashboard!C68+SUMPRODUCT(HLD[Priority Targets Covered],--(HLD[Analysis Flag]="Y"),--(HLD[Frequency Band]=3.5)),0)</f>
        <v>13</v>
      </c>
      <c r="H5" s="37" cm="1">
        <f t="array" ref="H5">ROUNDUP(SUMPRODUCT(HLD[Covered Homes],--(HLD[Frequency Band]=3.5),--(HLD[Analysis Flag]="Y"))*Dashboard!D68+SUMPRODUCT(HLD[Priority Targets Covered],--(HLD[Analysis Flag]="Y"),--(HLD[Frequency Band]=3.5)),0)</f>
        <v>35</v>
      </c>
      <c r="I5" s="37" cm="1">
        <f t="array" ref="I5">ROUNDUP(SUMPRODUCT(HLD[Covered Homes],--(HLD[Frequency Band]=3.5),--(HLD[Analysis Flag]="Y"))*Dashboard!E68+SUMPRODUCT(HLD[Priority Targets Covered],--(HLD[Analysis Flag]="Y"),--(HLD[Frequency Band]=3.5)),0)</f>
        <v>55</v>
      </c>
      <c r="J5" s="37" cm="1">
        <f t="array" ref="J5">ROUNDUP(SUMPRODUCT(HLD[Covered Homes],--(HLD[Frequency Band]=3.5),--(HLD[Analysis Flag]="Y"))*Dashboard!F68+SUMPRODUCT(HLD[Priority Targets Covered],--(HLD[Analysis Flag]="Y"),--(HLD[Frequency Band]=3.5)),0)</f>
        <v>70</v>
      </c>
      <c r="K5" s="37" cm="1">
        <f t="array" ref="K5">ROUNDUP(SUMPRODUCT(HLD[Covered Homes],--(HLD[Frequency Band]=3.5),--(HLD[Analysis Flag]="Y"))*Dashboard!G68+SUMPRODUCT(HLD[Priority Targets Covered],--(HLD[Analysis Flag]="Y"),--(HLD[Frequency Band]=3.5)),0)</f>
        <v>80</v>
      </c>
      <c r="L5" s="38" cm="1">
        <f t="array" ref="L5">ROUNDUP(SUMPRODUCT(HLD[Covered Homes],--(HLD[Frequency Band]=3.5),--(HLD[Analysis Flag]="Y"))*Dashboard!H68+SUMPRODUCT(HLD[Priority Targets Covered],--(HLD[Analysis Flag]="Y"),--(HLD[Frequency Band]=3.5)),0)</f>
        <v>80</v>
      </c>
      <c r="M5" s="75">
        <f t="shared" si="0"/>
        <v>351</v>
      </c>
      <c r="N5" s="75">
        <f t="shared" si="0"/>
        <v>945</v>
      </c>
      <c r="O5" s="75">
        <f t="shared" si="0"/>
        <v>1485</v>
      </c>
      <c r="P5" s="75">
        <f t="shared" si="0"/>
        <v>1890</v>
      </c>
      <c r="Q5" s="75">
        <f t="shared" si="0"/>
        <v>2160</v>
      </c>
      <c r="R5" s="75">
        <f t="shared" si="0"/>
        <v>2160</v>
      </c>
      <c r="S5" s="86">
        <f t="shared" si="1"/>
        <v>8991</v>
      </c>
      <c r="T5" s="49" t="s">
        <v>345</v>
      </c>
    </row>
    <row r="6" spans="2:20" x14ac:dyDescent="0.25">
      <c r="B6" s="47" t="s">
        <v>2</v>
      </c>
      <c r="C6" s="47" t="s">
        <v>28</v>
      </c>
      <c r="D6" s="48" t="s">
        <v>81</v>
      </c>
      <c r="E6" s="35">
        <v>650</v>
      </c>
      <c r="F6" s="92">
        <f t="shared" ref="F6:F9" si="2">E6*12</f>
        <v>7800</v>
      </c>
      <c r="G6" s="36">
        <f>COUNTIFS(HLD[Analysis Flag],"Y",HLD[Core Site],"No",HLD[Site Type],"Existing Tower",HLD[Site Leasing],"Yes")</f>
        <v>0</v>
      </c>
      <c r="H6" s="37">
        <f>G6</f>
        <v>0</v>
      </c>
      <c r="I6" s="37">
        <f t="shared" ref="I6:L7" si="3">H6</f>
        <v>0</v>
      </c>
      <c r="J6" s="37">
        <f t="shared" si="3"/>
        <v>0</v>
      </c>
      <c r="K6" s="37">
        <f t="shared" si="3"/>
        <v>0</v>
      </c>
      <c r="L6" s="38">
        <f t="shared" si="3"/>
        <v>0</v>
      </c>
      <c r="M6" s="75">
        <f t="shared" si="0"/>
        <v>0</v>
      </c>
      <c r="N6" s="75">
        <f t="shared" si="0"/>
        <v>0</v>
      </c>
      <c r="O6" s="75">
        <f t="shared" si="0"/>
        <v>0</v>
      </c>
      <c r="P6" s="75">
        <f t="shared" si="0"/>
        <v>0</v>
      </c>
      <c r="Q6" s="75">
        <f t="shared" si="0"/>
        <v>0</v>
      </c>
      <c r="R6" s="75">
        <f t="shared" si="0"/>
        <v>0</v>
      </c>
      <c r="S6" s="86">
        <f t="shared" si="1"/>
        <v>0</v>
      </c>
      <c r="T6" s="49" t="s">
        <v>346</v>
      </c>
    </row>
    <row r="7" spans="2:20" x14ac:dyDescent="0.25">
      <c r="B7" s="47" t="s">
        <v>2</v>
      </c>
      <c r="C7" s="47" t="s">
        <v>28</v>
      </c>
      <c r="D7" s="48" t="s">
        <v>82</v>
      </c>
      <c r="E7" s="35">
        <v>430</v>
      </c>
      <c r="F7" s="92">
        <f t="shared" si="2"/>
        <v>5160</v>
      </c>
      <c r="G7" s="36">
        <f>COUNTIFS(HLD[Analysis Flag],"Y",HLD[Core Site],"No",HLD[Site Type],"Rooftop",HLD[Site Leasing],"Yes")</f>
        <v>0</v>
      </c>
      <c r="H7" s="37">
        <f>G7</f>
        <v>0</v>
      </c>
      <c r="I7" s="37">
        <f t="shared" si="3"/>
        <v>0</v>
      </c>
      <c r="J7" s="37">
        <f t="shared" si="3"/>
        <v>0</v>
      </c>
      <c r="K7" s="37">
        <f t="shared" si="3"/>
        <v>0</v>
      </c>
      <c r="L7" s="38">
        <f t="shared" si="3"/>
        <v>0</v>
      </c>
      <c r="M7" s="75">
        <f t="shared" si="0"/>
        <v>0</v>
      </c>
      <c r="N7" s="75">
        <f t="shared" si="0"/>
        <v>0</v>
      </c>
      <c r="O7" s="75">
        <f t="shared" si="0"/>
        <v>0</v>
      </c>
      <c r="P7" s="75">
        <f t="shared" si="0"/>
        <v>0</v>
      </c>
      <c r="Q7" s="75">
        <f t="shared" si="0"/>
        <v>0</v>
      </c>
      <c r="R7" s="75">
        <f t="shared" si="0"/>
        <v>0</v>
      </c>
      <c r="S7" s="86">
        <f t="shared" si="1"/>
        <v>0</v>
      </c>
      <c r="T7" s="49" t="s">
        <v>347</v>
      </c>
    </row>
    <row r="8" spans="2:20" x14ac:dyDescent="0.25">
      <c r="B8" s="47" t="s">
        <v>2</v>
      </c>
      <c r="C8" s="47" t="s">
        <v>23</v>
      </c>
      <c r="D8" s="48" t="s">
        <v>85</v>
      </c>
      <c r="E8" s="35">
        <v>180</v>
      </c>
      <c r="F8" s="92">
        <f t="shared" si="2"/>
        <v>2160</v>
      </c>
      <c r="G8" s="36" cm="1">
        <f t="array" ref="G8">ROUNDUP(SUMPRODUCT(--(HLD[Analysis Flag]="Y"),--(HLD[Core Site]="No"),--(HLD[Backhaul Type]="VSAT"), HLD[Aggregated Bandwidth Demand])*Dashboard!C68/Dashboard!$H$68,0)</f>
        <v>0</v>
      </c>
      <c r="H8" s="37" cm="1">
        <f t="array" ref="H8">ROUNDUP(SUMPRODUCT(--(HLD[Analysis Flag]="Y"),--(HLD[Core Site]="No"),--(HLD[Backhaul Type]="VSAT"), HLD[Aggregated Bandwidth Demand])*Dashboard!D68/Dashboard!$H$68,0)</f>
        <v>0</v>
      </c>
      <c r="I8" s="37" cm="1">
        <f t="array" ref="I8">ROUNDUP(SUMPRODUCT(--(HLD[Analysis Flag]="Y"),--(HLD[Core Site]="No"),--(HLD[Backhaul Type]="VSAT"), HLD[Aggregated Bandwidth Demand])*Dashboard!E68/Dashboard!$H$68,0)</f>
        <v>0</v>
      </c>
      <c r="J8" s="37" cm="1">
        <f t="array" ref="J8">ROUNDUP(SUMPRODUCT(--(HLD[Analysis Flag]="Y"),--(HLD[Core Site]="No"),--(HLD[Backhaul Type]="VSAT"), HLD[Aggregated Bandwidth Demand])*Dashboard!F68/Dashboard!$H$68,0)</f>
        <v>0</v>
      </c>
      <c r="K8" s="37" cm="1">
        <f t="array" ref="K8">ROUNDUP(SUMPRODUCT(--(HLD[Analysis Flag]="Y"),--(HLD[Core Site]="No"),--(HLD[Backhaul Type]="VSAT"), HLD[Aggregated Bandwidth Demand])*Dashboard!G68/Dashboard!$H$68,0)</f>
        <v>0</v>
      </c>
      <c r="L8" s="38" cm="1">
        <f t="array" ref="L8">ROUNDUP(SUMPRODUCT(--(HLD[Analysis Flag]="Y"),--(HLD[Core Site]="No"),--(HLD[Backhaul Type]="VSAT"), HLD[Aggregated Bandwidth Demand])*Dashboard!H68/Dashboard!$H$68,0)</f>
        <v>0</v>
      </c>
      <c r="M8" s="75">
        <f t="shared" si="0"/>
        <v>0</v>
      </c>
      <c r="N8" s="75">
        <f t="shared" si="0"/>
        <v>0</v>
      </c>
      <c r="O8" s="75">
        <f t="shared" si="0"/>
        <v>0</v>
      </c>
      <c r="P8" s="75">
        <f t="shared" si="0"/>
        <v>0</v>
      </c>
      <c r="Q8" s="75">
        <f t="shared" si="0"/>
        <v>0</v>
      </c>
      <c r="R8" s="75">
        <f t="shared" si="0"/>
        <v>0</v>
      </c>
      <c r="S8" s="86">
        <f t="shared" si="1"/>
        <v>0</v>
      </c>
      <c r="T8" s="49" t="s">
        <v>348</v>
      </c>
    </row>
    <row r="9" spans="2:20" x14ac:dyDescent="0.25">
      <c r="B9" s="47" t="s">
        <v>2</v>
      </c>
      <c r="C9" s="47" t="s">
        <v>14</v>
      </c>
      <c r="D9" s="48" t="s">
        <v>83</v>
      </c>
      <c r="E9" s="93">
        <v>0.1095</v>
      </c>
      <c r="F9" s="94">
        <f t="shared" si="2"/>
        <v>1.3140000000000001</v>
      </c>
      <c r="G9" s="36" cm="1">
        <f t="array" ref="G9">SUMPRODUCT(--(HLD[Analysis Flag]="Y"),--(HLD[Core Site]="No"), HLD[Total Power Load]*24*30/1000)</f>
        <v>576</v>
      </c>
      <c r="H9" s="37">
        <f>G9</f>
        <v>576</v>
      </c>
      <c r="I9" s="37">
        <f t="shared" ref="I9:L9" si="4">H9</f>
        <v>576</v>
      </c>
      <c r="J9" s="37">
        <f t="shared" si="4"/>
        <v>576</v>
      </c>
      <c r="K9" s="37">
        <f t="shared" si="4"/>
        <v>576</v>
      </c>
      <c r="L9" s="38">
        <f t="shared" si="4"/>
        <v>576</v>
      </c>
      <c r="M9" s="75">
        <f t="shared" si="0"/>
        <v>756.86400000000003</v>
      </c>
      <c r="N9" s="75">
        <f t="shared" si="0"/>
        <v>756.86400000000003</v>
      </c>
      <c r="O9" s="75">
        <f t="shared" si="0"/>
        <v>756.86400000000003</v>
      </c>
      <c r="P9" s="75">
        <f t="shared" si="0"/>
        <v>756.86400000000003</v>
      </c>
      <c r="Q9" s="75">
        <f t="shared" si="0"/>
        <v>756.86400000000003</v>
      </c>
      <c r="R9" s="75">
        <f t="shared" si="0"/>
        <v>756.86400000000003</v>
      </c>
      <c r="S9" s="86">
        <f t="shared" si="1"/>
        <v>4541.1840000000002</v>
      </c>
      <c r="T9" s="49" t="s">
        <v>349</v>
      </c>
    </row>
    <row r="10" spans="2:20" x14ac:dyDescent="0.25">
      <c r="B10" s="47" t="s">
        <v>2</v>
      </c>
      <c r="C10" s="47" t="s">
        <v>80</v>
      </c>
      <c r="D10" s="48" t="s">
        <v>84</v>
      </c>
      <c r="E10" s="35" t="s">
        <v>193</v>
      </c>
      <c r="F10" s="35">
        <v>320</v>
      </c>
      <c r="G10" s="36">
        <f>ROUNDUP(COUNTIFS(HLD[Analysis Flag],"Y",HLD[Core Site],"No")*1.25,0)</f>
        <v>10</v>
      </c>
      <c r="H10" s="37">
        <f>G10</f>
        <v>10</v>
      </c>
      <c r="I10" s="37">
        <f t="shared" ref="I10:L10" si="5">H10</f>
        <v>10</v>
      </c>
      <c r="J10" s="37">
        <f t="shared" si="5"/>
        <v>10</v>
      </c>
      <c r="K10" s="37">
        <f t="shared" si="5"/>
        <v>10</v>
      </c>
      <c r="L10" s="38">
        <f t="shared" si="5"/>
        <v>10</v>
      </c>
      <c r="M10" s="75">
        <f t="shared" si="0"/>
        <v>3200</v>
      </c>
      <c r="N10" s="75">
        <f t="shared" si="0"/>
        <v>3200</v>
      </c>
      <c r="O10" s="75">
        <f t="shared" si="0"/>
        <v>3200</v>
      </c>
      <c r="P10" s="75">
        <f t="shared" si="0"/>
        <v>3200</v>
      </c>
      <c r="Q10" s="75">
        <f t="shared" si="0"/>
        <v>3200</v>
      </c>
      <c r="R10" s="75">
        <f t="shared" si="0"/>
        <v>3200</v>
      </c>
      <c r="S10" s="86">
        <f t="shared" si="1"/>
        <v>19200</v>
      </c>
      <c r="T10" s="49" t="s">
        <v>350</v>
      </c>
    </row>
    <row r="11" spans="2:20" x14ac:dyDescent="0.25">
      <c r="B11" s="47" t="s">
        <v>2</v>
      </c>
      <c r="C11" s="47" t="s">
        <v>80</v>
      </c>
      <c r="D11" s="48" t="s">
        <v>196</v>
      </c>
      <c r="E11" s="35" t="s">
        <v>193</v>
      </c>
      <c r="F11" s="92" cm="1">
        <f t="array" ref="F11">SUM(SUMIFS(CAPEX!M:M,CAPEX!C:C,{"RAN","Backhaul","Core/Aggregation"},CAPEX!B:B,"RAN Site"))*0.07</f>
        <v>5971.0000000000009</v>
      </c>
      <c r="G11" s="36" t="s">
        <v>193</v>
      </c>
      <c r="H11" s="37" t="s">
        <v>193</v>
      </c>
      <c r="I11" s="37" t="s">
        <v>193</v>
      </c>
      <c r="J11" s="37" t="s">
        <v>193</v>
      </c>
      <c r="K11" s="37" t="s">
        <v>193</v>
      </c>
      <c r="L11" s="38" t="s">
        <v>193</v>
      </c>
      <c r="M11" s="75">
        <f>$F11</f>
        <v>5971.0000000000009</v>
      </c>
      <c r="N11" s="75">
        <f t="shared" ref="N11:R12" si="6">$F11</f>
        <v>5971.0000000000009</v>
      </c>
      <c r="O11" s="75">
        <f t="shared" si="6"/>
        <v>5971.0000000000009</v>
      </c>
      <c r="P11" s="75">
        <f t="shared" si="6"/>
        <v>5971.0000000000009</v>
      </c>
      <c r="Q11" s="75">
        <f t="shared" si="6"/>
        <v>5971.0000000000009</v>
      </c>
      <c r="R11" s="75">
        <f t="shared" si="6"/>
        <v>5971.0000000000009</v>
      </c>
      <c r="S11" s="86">
        <f t="shared" si="1"/>
        <v>35826.000000000007</v>
      </c>
      <c r="T11" s="49" t="s">
        <v>351</v>
      </c>
    </row>
    <row r="12" spans="2:20" x14ac:dyDescent="0.25">
      <c r="B12" s="47" t="s">
        <v>2</v>
      </c>
      <c r="C12" s="47" t="s">
        <v>80</v>
      </c>
      <c r="D12" s="48" t="s">
        <v>129</v>
      </c>
      <c r="E12" s="35" t="s">
        <v>193</v>
      </c>
      <c r="F12" s="92">
        <f>SUMIFS(CAPEX!M:M,CAPEX!D:D,"Last Mile Fiber",CAPEX!B:B,"RAN Site")*0.03</f>
        <v>0</v>
      </c>
      <c r="G12" s="36" t="s">
        <v>193</v>
      </c>
      <c r="H12" s="37" t="s">
        <v>193</v>
      </c>
      <c r="I12" s="37" t="s">
        <v>193</v>
      </c>
      <c r="J12" s="37" t="s">
        <v>193</v>
      </c>
      <c r="K12" s="37" t="s">
        <v>193</v>
      </c>
      <c r="L12" s="38" t="s">
        <v>193</v>
      </c>
      <c r="M12" s="75">
        <f>$F12</f>
        <v>0</v>
      </c>
      <c r="N12" s="75">
        <f t="shared" si="6"/>
        <v>0</v>
      </c>
      <c r="O12" s="75">
        <f t="shared" si="6"/>
        <v>0</v>
      </c>
      <c r="P12" s="75">
        <f t="shared" si="6"/>
        <v>0</v>
      </c>
      <c r="Q12" s="75">
        <f t="shared" si="6"/>
        <v>0</v>
      </c>
      <c r="R12" s="75">
        <f t="shared" si="6"/>
        <v>0</v>
      </c>
      <c r="S12" s="86">
        <f t="shared" si="1"/>
        <v>0</v>
      </c>
      <c r="T12" s="49" t="s">
        <v>352</v>
      </c>
    </row>
    <row r="13" spans="2:20" x14ac:dyDescent="0.25">
      <c r="B13" s="47" t="s">
        <v>2</v>
      </c>
      <c r="C13" s="47" t="s">
        <v>155</v>
      </c>
      <c r="D13" s="48" t="s">
        <v>156</v>
      </c>
      <c r="E13" s="91">
        <v>2.25</v>
      </c>
      <c r="F13" s="92">
        <f>E13*12</f>
        <v>27</v>
      </c>
      <c r="G13" s="36">
        <f>COUNTIFS(HLD[Analysis Flag],"Y",HLD[Core Site],"No", HLD[Frequency Band],3.5,HLD[RAN Configuration],"RAN Config 1")*RAN_Config_1_Sectors+COUNTIFS(HLD[Analysis Flag],"Y",HLD[Core Site],"No", HLD[Frequency Band],3.5,HLD[RAN Configuration],"RAN Config 2")*RAN_Config_2_Sectors+COUNTIFS(HLD[Analysis Flag],"Y",HLD[Core Site],"No", HLD[Frequency Band],3.5,HLD[RAN Configuration],"RAN Config 3")*RAN_Config_3_Sectors</f>
        <v>1</v>
      </c>
      <c r="H13" s="37">
        <f t="shared" ref="H13:H18" si="7">G13</f>
        <v>1</v>
      </c>
      <c r="I13" s="37">
        <f t="shared" ref="I13:L16" si="8">H13</f>
        <v>1</v>
      </c>
      <c r="J13" s="37">
        <f t="shared" si="8"/>
        <v>1</v>
      </c>
      <c r="K13" s="37">
        <f t="shared" si="8"/>
        <v>1</v>
      </c>
      <c r="L13" s="38">
        <f t="shared" si="8"/>
        <v>1</v>
      </c>
      <c r="M13" s="75">
        <f t="shared" ref="M13:R20" si="9">G13*$F13</f>
        <v>27</v>
      </c>
      <c r="N13" s="75">
        <f t="shared" si="9"/>
        <v>27</v>
      </c>
      <c r="O13" s="75">
        <f t="shared" si="9"/>
        <v>27</v>
      </c>
      <c r="P13" s="75">
        <f t="shared" si="9"/>
        <v>27</v>
      </c>
      <c r="Q13" s="75">
        <f t="shared" si="9"/>
        <v>27</v>
      </c>
      <c r="R13" s="75">
        <f t="shared" si="9"/>
        <v>27</v>
      </c>
      <c r="S13" s="86">
        <f t="shared" si="1"/>
        <v>162</v>
      </c>
      <c r="T13" s="49" t="s">
        <v>345</v>
      </c>
    </row>
    <row r="14" spans="2:20" x14ac:dyDescent="0.25">
      <c r="B14" s="47" t="s">
        <v>3</v>
      </c>
      <c r="C14" s="47" t="s">
        <v>28</v>
      </c>
      <c r="D14" s="48" t="s">
        <v>81</v>
      </c>
      <c r="E14" s="35">
        <v>860</v>
      </c>
      <c r="F14" s="92">
        <f>E14*12</f>
        <v>10320</v>
      </c>
      <c r="G14" s="36">
        <f>COUNTIFS(HLD[Analysis Flag],"Y",HLD[Core Site],"Yes",HLD[Site Type],"Existing Tower",HLD[Site Leasing],"Yes")</f>
        <v>0</v>
      </c>
      <c r="H14" s="37">
        <f t="shared" si="7"/>
        <v>0</v>
      </c>
      <c r="I14" s="37">
        <f t="shared" si="8"/>
        <v>0</v>
      </c>
      <c r="J14" s="37">
        <f t="shared" si="8"/>
        <v>0</v>
      </c>
      <c r="K14" s="37">
        <f t="shared" si="8"/>
        <v>0</v>
      </c>
      <c r="L14" s="38">
        <f t="shared" si="8"/>
        <v>0</v>
      </c>
      <c r="M14" s="75">
        <f t="shared" si="9"/>
        <v>0</v>
      </c>
      <c r="N14" s="75">
        <f t="shared" si="9"/>
        <v>0</v>
      </c>
      <c r="O14" s="75">
        <f t="shared" si="9"/>
        <v>0</v>
      </c>
      <c r="P14" s="75">
        <f t="shared" si="9"/>
        <v>0</v>
      </c>
      <c r="Q14" s="75">
        <f t="shared" si="9"/>
        <v>0</v>
      </c>
      <c r="R14" s="75">
        <f t="shared" si="9"/>
        <v>0</v>
      </c>
      <c r="S14" s="86">
        <f t="shared" si="1"/>
        <v>0</v>
      </c>
      <c r="T14" s="49" t="s">
        <v>346</v>
      </c>
    </row>
    <row r="15" spans="2:20" x14ac:dyDescent="0.25">
      <c r="B15" s="47" t="s">
        <v>3</v>
      </c>
      <c r="C15" s="47" t="s">
        <v>28</v>
      </c>
      <c r="D15" s="48" t="s">
        <v>86</v>
      </c>
      <c r="E15" s="35">
        <v>430</v>
      </c>
      <c r="F15" s="92">
        <f>E15*12</f>
        <v>5160</v>
      </c>
      <c r="G15" s="36">
        <f>COUNTIFS(HLD[Analysis Flag],"Y",HLD[Core Site],"Yes",HLD[Site Type],"Rooftop",HLD[Site Leasing],"Yes")</f>
        <v>0</v>
      </c>
      <c r="H15" s="37">
        <f t="shared" si="7"/>
        <v>0</v>
      </c>
      <c r="I15" s="37">
        <f t="shared" si="8"/>
        <v>0</v>
      </c>
      <c r="J15" s="37">
        <f t="shared" si="8"/>
        <v>0</v>
      </c>
      <c r="K15" s="37">
        <f t="shared" si="8"/>
        <v>0</v>
      </c>
      <c r="L15" s="38">
        <f t="shared" si="8"/>
        <v>0</v>
      </c>
      <c r="M15" s="75">
        <f t="shared" si="9"/>
        <v>0</v>
      </c>
      <c r="N15" s="75">
        <f t="shared" si="9"/>
        <v>0</v>
      </c>
      <c r="O15" s="75">
        <f t="shared" si="9"/>
        <v>0</v>
      </c>
      <c r="P15" s="75">
        <f t="shared" si="9"/>
        <v>0</v>
      </c>
      <c r="Q15" s="75">
        <f t="shared" si="9"/>
        <v>0</v>
      </c>
      <c r="R15" s="75">
        <f t="shared" si="9"/>
        <v>0</v>
      </c>
      <c r="S15" s="86">
        <f t="shared" si="1"/>
        <v>0</v>
      </c>
      <c r="T15" s="49" t="s">
        <v>347</v>
      </c>
    </row>
    <row r="16" spans="2:20" x14ac:dyDescent="0.25">
      <c r="B16" s="47" t="s">
        <v>3</v>
      </c>
      <c r="C16" s="47" t="s">
        <v>16</v>
      </c>
      <c r="D16" s="48" t="s">
        <v>87</v>
      </c>
      <c r="E16" s="35">
        <v>400</v>
      </c>
      <c r="F16" s="92">
        <f>E16*12</f>
        <v>4800</v>
      </c>
      <c r="G16" s="36">
        <f>IF(AND(EPC_Arch="Centralized",EPC_Deployment="Cloud"),1,0)</f>
        <v>1</v>
      </c>
      <c r="H16" s="37">
        <f t="shared" si="7"/>
        <v>1</v>
      </c>
      <c r="I16" s="37">
        <f t="shared" si="8"/>
        <v>1</v>
      </c>
      <c r="J16" s="37">
        <f t="shared" si="8"/>
        <v>1</v>
      </c>
      <c r="K16" s="37">
        <f t="shared" si="8"/>
        <v>1</v>
      </c>
      <c r="L16" s="38">
        <f t="shared" si="8"/>
        <v>1</v>
      </c>
      <c r="M16" s="75">
        <f t="shared" si="9"/>
        <v>4800</v>
      </c>
      <c r="N16" s="75">
        <f t="shared" si="9"/>
        <v>4800</v>
      </c>
      <c r="O16" s="75">
        <f t="shared" si="9"/>
        <v>4800</v>
      </c>
      <c r="P16" s="75">
        <f t="shared" si="9"/>
        <v>4800</v>
      </c>
      <c r="Q16" s="75">
        <f t="shared" si="9"/>
        <v>4800</v>
      </c>
      <c r="R16" s="75">
        <f t="shared" si="9"/>
        <v>4800</v>
      </c>
      <c r="S16" s="86">
        <f t="shared" si="1"/>
        <v>28800</v>
      </c>
      <c r="T16" s="49" t="s">
        <v>353</v>
      </c>
    </row>
    <row r="17" spans="2:20" x14ac:dyDescent="0.25">
      <c r="B17" s="47" t="s">
        <v>3</v>
      </c>
      <c r="C17" s="47" t="s">
        <v>14</v>
      </c>
      <c r="D17" s="48" t="s">
        <v>83</v>
      </c>
      <c r="E17" s="93">
        <v>0.1095</v>
      </c>
      <c r="F17" s="94">
        <f t="shared" ref="F17:F19" si="10">E17*12</f>
        <v>1.3140000000000001</v>
      </c>
      <c r="G17" s="36" cm="1">
        <f t="array" ref="G17">SUMPRODUCT(--(HLD[Analysis Flag]="Y"),--(HLD[Core Site]="Yes"), HLD[Total Power Load]*24*30/1000)</f>
        <v>72</v>
      </c>
      <c r="H17" s="37">
        <f t="shared" si="7"/>
        <v>72</v>
      </c>
      <c r="I17" s="37">
        <f t="shared" ref="I17:L18" si="11">H17</f>
        <v>72</v>
      </c>
      <c r="J17" s="37">
        <f t="shared" si="11"/>
        <v>72</v>
      </c>
      <c r="K17" s="37">
        <f t="shared" si="11"/>
        <v>72</v>
      </c>
      <c r="L17" s="38">
        <f t="shared" si="11"/>
        <v>72</v>
      </c>
      <c r="M17" s="75">
        <f t="shared" si="9"/>
        <v>94.608000000000004</v>
      </c>
      <c r="N17" s="75">
        <f t="shared" si="9"/>
        <v>94.608000000000004</v>
      </c>
      <c r="O17" s="75">
        <f t="shared" si="9"/>
        <v>94.608000000000004</v>
      </c>
      <c r="P17" s="75">
        <f t="shared" si="9"/>
        <v>94.608000000000004</v>
      </c>
      <c r="Q17" s="75">
        <f t="shared" si="9"/>
        <v>94.608000000000004</v>
      </c>
      <c r="R17" s="75">
        <f t="shared" si="9"/>
        <v>94.608000000000004</v>
      </c>
      <c r="S17" s="86">
        <f t="shared" si="1"/>
        <v>567.64800000000002</v>
      </c>
      <c r="T17" s="49" t="s">
        <v>349</v>
      </c>
    </row>
    <row r="18" spans="2:20" x14ac:dyDescent="0.25">
      <c r="B18" s="47" t="s">
        <v>3</v>
      </c>
      <c r="C18" s="47" t="s">
        <v>23</v>
      </c>
      <c r="D18" s="48" t="s">
        <v>88</v>
      </c>
      <c r="E18" s="35">
        <v>1500</v>
      </c>
      <c r="F18" s="92">
        <f t="shared" si="10"/>
        <v>18000</v>
      </c>
      <c r="G18" s="36">
        <f>COUNTIFS(HLD[Analysis Flag],"Y",HLD[Core Site],"Yes")</f>
        <v>1</v>
      </c>
      <c r="H18" s="37">
        <f t="shared" si="7"/>
        <v>1</v>
      </c>
      <c r="I18" s="37">
        <f t="shared" si="11"/>
        <v>1</v>
      </c>
      <c r="J18" s="37">
        <f t="shared" si="11"/>
        <v>1</v>
      </c>
      <c r="K18" s="37">
        <f t="shared" si="11"/>
        <v>1</v>
      </c>
      <c r="L18" s="38">
        <f t="shared" si="11"/>
        <v>1</v>
      </c>
      <c r="M18" s="75">
        <f t="shared" si="9"/>
        <v>18000</v>
      </c>
      <c r="N18" s="75">
        <f t="shared" si="9"/>
        <v>18000</v>
      </c>
      <c r="O18" s="75">
        <f t="shared" si="9"/>
        <v>18000</v>
      </c>
      <c r="P18" s="75">
        <f t="shared" si="9"/>
        <v>18000</v>
      </c>
      <c r="Q18" s="75">
        <f t="shared" si="9"/>
        <v>18000</v>
      </c>
      <c r="R18" s="75">
        <f t="shared" si="9"/>
        <v>18000</v>
      </c>
      <c r="S18" s="86">
        <f t="shared" si="1"/>
        <v>108000</v>
      </c>
      <c r="T18" s="49" t="s">
        <v>354</v>
      </c>
    </row>
    <row r="19" spans="2:20" x14ac:dyDescent="0.25">
      <c r="B19" s="47" t="s">
        <v>3</v>
      </c>
      <c r="C19" s="47" t="s">
        <v>23</v>
      </c>
      <c r="D19" s="48" t="s">
        <v>85</v>
      </c>
      <c r="E19" s="35">
        <v>180</v>
      </c>
      <c r="F19" s="92">
        <f t="shared" si="10"/>
        <v>2160</v>
      </c>
      <c r="G19" s="36" cm="1">
        <f t="array" ref="G19">ROUNDUP(SUMPRODUCT(--(HLD[Analysis Flag]="Y"),--(HLD[Core Site]="Yes"),--(HLD[Backhaul Type]="VSAT"), HLD[Aggregated Bandwidth Demand])*Dashboard!C68/Dashboard!$H$68,0)</f>
        <v>0</v>
      </c>
      <c r="H19" s="37" cm="1">
        <f t="array" ref="H19">ROUNDUP(SUMPRODUCT(--(HLD[Analysis Flag]="Y"),--(HLD[Core Site]="Yes"),--(HLD[Backhaul Type]="VSAT"), HLD[Aggregated Bandwidth Demand])*Dashboard!D68/Dashboard!$H$68,0)</f>
        <v>0</v>
      </c>
      <c r="I19" s="37" cm="1">
        <f t="array" ref="I19">ROUNDUP(SUMPRODUCT(--(HLD[Analysis Flag]="Y"),--(HLD[Core Site]="Yes"),--(HLD[Backhaul Type]="VSAT"), HLD[Aggregated Bandwidth Demand])*Dashboard!E68/Dashboard!$H$68,0)</f>
        <v>0</v>
      </c>
      <c r="J19" s="37" cm="1">
        <f t="array" ref="J19">ROUNDUP(SUMPRODUCT(--(HLD[Analysis Flag]="Y"),--(HLD[Core Site]="Yes"),--(HLD[Backhaul Type]="VSAT"), HLD[Aggregated Bandwidth Demand])*Dashboard!F68/Dashboard!$H$68,0)</f>
        <v>0</v>
      </c>
      <c r="K19" s="37" cm="1">
        <f t="array" ref="K19">ROUNDUP(SUMPRODUCT(--(HLD[Analysis Flag]="Y"),--(HLD[Core Site]="Yes"),--(HLD[Backhaul Type]="VSAT"), HLD[Aggregated Bandwidth Demand])*Dashboard!G68/Dashboard!$H$68,0)</f>
        <v>0</v>
      </c>
      <c r="L19" s="38" cm="1">
        <f t="array" ref="L19">ROUNDUP(SUMPRODUCT(--(HLD[Analysis Flag]="Y"),--(HLD[Core Site]="Yes"),--(HLD[Backhaul Type]="VSAT"), HLD[Aggregated Bandwidth Demand])*Dashboard!H68/Dashboard!$H$68,0)</f>
        <v>0</v>
      </c>
      <c r="M19" s="75">
        <f t="shared" si="9"/>
        <v>0</v>
      </c>
      <c r="N19" s="75">
        <f t="shared" si="9"/>
        <v>0</v>
      </c>
      <c r="O19" s="75">
        <f t="shared" si="9"/>
        <v>0</v>
      </c>
      <c r="P19" s="75">
        <f t="shared" si="9"/>
        <v>0</v>
      </c>
      <c r="Q19" s="75">
        <f t="shared" si="9"/>
        <v>0</v>
      </c>
      <c r="R19" s="75">
        <f t="shared" si="9"/>
        <v>0</v>
      </c>
      <c r="S19" s="86">
        <f t="shared" si="1"/>
        <v>0</v>
      </c>
      <c r="T19" s="49" t="s">
        <v>348</v>
      </c>
    </row>
    <row r="20" spans="2:20" x14ac:dyDescent="0.25">
      <c r="B20" s="47" t="s">
        <v>3</v>
      </c>
      <c r="C20" s="47" t="s">
        <v>23</v>
      </c>
      <c r="D20" s="48" t="s">
        <v>89</v>
      </c>
      <c r="E20" s="35" t="s">
        <v>193</v>
      </c>
      <c r="F20" s="35">
        <v>480</v>
      </c>
      <c r="G20" s="36">
        <f>ROUNDUP(COUNTIFS(HLD[Analysis Flag],"Y",HLD[Core Site],"Yes")*2,0)</f>
        <v>2</v>
      </c>
      <c r="H20" s="37">
        <f>ROUNDUP(COUNTIFS(HLD[Analysis Flag],"Y",HLD[Core Site],"Yes")*2,0)</f>
        <v>2</v>
      </c>
      <c r="I20" s="37">
        <f>ROUNDUP(COUNTIFS(HLD[Analysis Flag],"Y",HLD[Core Site],"Yes")*2,0)</f>
        <v>2</v>
      </c>
      <c r="J20" s="37">
        <f>ROUNDUP(COUNTIFS(HLD[Analysis Flag],"Y",HLD[Core Site],"Yes")*2,0)</f>
        <v>2</v>
      </c>
      <c r="K20" s="37">
        <f>ROUNDUP(COUNTIFS(HLD[Analysis Flag],"Y",HLD[Core Site],"Yes")*2,0)</f>
        <v>2</v>
      </c>
      <c r="L20" s="38">
        <f>ROUNDUP(COUNTIFS(HLD[Analysis Flag],"Y",HLD[Core Site],"Yes")*2,0)</f>
        <v>2</v>
      </c>
      <c r="M20" s="75">
        <f t="shared" si="9"/>
        <v>960</v>
      </c>
      <c r="N20" s="75">
        <f t="shared" si="9"/>
        <v>960</v>
      </c>
      <c r="O20" s="75">
        <f t="shared" si="9"/>
        <v>960</v>
      </c>
      <c r="P20" s="75">
        <f t="shared" si="9"/>
        <v>960</v>
      </c>
      <c r="Q20" s="75">
        <f t="shared" si="9"/>
        <v>960</v>
      </c>
      <c r="R20" s="75">
        <f t="shared" si="9"/>
        <v>960</v>
      </c>
      <c r="S20" s="86">
        <f t="shared" si="1"/>
        <v>5760</v>
      </c>
      <c r="T20" s="49" t="s">
        <v>355</v>
      </c>
    </row>
    <row r="21" spans="2:20" x14ac:dyDescent="0.25">
      <c r="B21" s="47" t="s">
        <v>3</v>
      </c>
      <c r="C21" s="47" t="s">
        <v>80</v>
      </c>
      <c r="D21" s="48" t="s">
        <v>197</v>
      </c>
      <c r="E21" s="35" t="s">
        <v>193</v>
      </c>
      <c r="F21" s="92" cm="1">
        <f t="array" ref="F21">SUM(SUMIFS(CAPEX!M:M,CAPEX!C:C,{"RAN","Backhaul","Core/Aggregation"},CAPEX!B:B,"Core/Aggregation Site"))*0.07</f>
        <v>455.00000000000006</v>
      </c>
      <c r="G21" s="36" t="s">
        <v>193</v>
      </c>
      <c r="H21" s="37" t="s">
        <v>193</v>
      </c>
      <c r="I21" s="37" t="s">
        <v>193</v>
      </c>
      <c r="J21" s="37" t="s">
        <v>193</v>
      </c>
      <c r="K21" s="37" t="s">
        <v>193</v>
      </c>
      <c r="L21" s="38" t="s">
        <v>193</v>
      </c>
      <c r="M21" s="75">
        <f>$F21</f>
        <v>455.00000000000006</v>
      </c>
      <c r="N21" s="75">
        <f t="shared" ref="N21:R21" si="12">$F21</f>
        <v>455.00000000000006</v>
      </c>
      <c r="O21" s="75">
        <f t="shared" si="12"/>
        <v>455.00000000000006</v>
      </c>
      <c r="P21" s="75">
        <f t="shared" si="12"/>
        <v>455.00000000000006</v>
      </c>
      <c r="Q21" s="75">
        <f t="shared" si="12"/>
        <v>455.00000000000006</v>
      </c>
      <c r="R21" s="75">
        <f t="shared" si="12"/>
        <v>455.00000000000006</v>
      </c>
      <c r="S21" s="86">
        <f t="shared" si="1"/>
        <v>2730.0000000000005</v>
      </c>
      <c r="T21" s="49" t="s">
        <v>351</v>
      </c>
    </row>
    <row r="22" spans="2:20" x14ac:dyDescent="0.25">
      <c r="B22" s="47" t="s">
        <v>3</v>
      </c>
      <c r="C22" s="47" t="s">
        <v>155</v>
      </c>
      <c r="D22" s="48" t="s">
        <v>156</v>
      </c>
      <c r="E22" s="91">
        <v>2.25</v>
      </c>
      <c r="F22" s="92">
        <f>E22*12</f>
        <v>27</v>
      </c>
      <c r="G22" s="36">
        <f>COUNTIFS(HLD[Analysis Flag],"Y",HLD[Core Site],"Yes", HLD[Frequency Band],3.5,HLD[RAN Configuration],"RAN Config 1")*RAN_Config_1_Sectors+COUNTIFS(HLD[Analysis Flag],"Y",HLD[Core Site],"Yes", HLD[Frequency Band],3.5,HLD[RAN Configuration],"RAN Config 2")*RAN_Config_2_Sectors+COUNTIFS(HLD[Analysis Flag],"Y",HLD[Core Site],"Yes", HLD[Frequency Band],3.5,HLD[RAN Configuration],"RAN Config 3")*RAN_Config_3_Sectors</f>
        <v>0</v>
      </c>
      <c r="H22" s="37">
        <f t="shared" ref="H22" si="13">G22</f>
        <v>0</v>
      </c>
      <c r="I22" s="37">
        <f t="shared" ref="I22" si="14">H22</f>
        <v>0</v>
      </c>
      <c r="J22" s="37">
        <f t="shared" ref="J22" si="15">I22</f>
        <v>0</v>
      </c>
      <c r="K22" s="37">
        <f t="shared" ref="K22" si="16">J22</f>
        <v>0</v>
      </c>
      <c r="L22" s="38">
        <f t="shared" ref="L22" si="17">K22</f>
        <v>0</v>
      </c>
      <c r="M22" s="75">
        <f t="shared" ref="M22:M31" si="18">G22*$F22</f>
        <v>0</v>
      </c>
      <c r="N22" s="75">
        <f t="shared" ref="N22:N31" si="19">H22*$F22</f>
        <v>0</v>
      </c>
      <c r="O22" s="75">
        <f t="shared" ref="O22:O31" si="20">I22*$F22</f>
        <v>0</v>
      </c>
      <c r="P22" s="75">
        <f t="shared" ref="P22:P31" si="21">J22*$F22</f>
        <v>0</v>
      </c>
      <c r="Q22" s="75">
        <f t="shared" ref="Q22:Q31" si="22">K22*$F22</f>
        <v>0</v>
      </c>
      <c r="R22" s="75">
        <f t="shared" ref="R22:R31" si="23">L22*$F22</f>
        <v>0</v>
      </c>
      <c r="S22" s="86">
        <f t="shared" ref="S22" si="24">SUM(M22:R22)</f>
        <v>0</v>
      </c>
      <c r="T22" s="49" t="s">
        <v>345</v>
      </c>
    </row>
    <row r="23" spans="2:20" x14ac:dyDescent="0.25">
      <c r="B23" s="47" t="s">
        <v>4</v>
      </c>
      <c r="C23" s="47" t="s">
        <v>38</v>
      </c>
      <c r="D23" s="48" t="s">
        <v>94</v>
      </c>
      <c r="E23" s="91">
        <v>0.5</v>
      </c>
      <c r="F23" s="92">
        <f>E23*12</f>
        <v>6</v>
      </c>
      <c r="G23" s="36">
        <f>Dashboard!C74</f>
        <v>182</v>
      </c>
      <c r="H23" s="37">
        <f>Dashboard!D74</f>
        <v>479</v>
      </c>
      <c r="I23" s="37">
        <f>Dashboard!E74</f>
        <v>749</v>
      </c>
      <c r="J23" s="37">
        <f>Dashboard!F74</f>
        <v>952</v>
      </c>
      <c r="K23" s="37">
        <f>Dashboard!G74</f>
        <v>1087</v>
      </c>
      <c r="L23" s="38">
        <f>Dashboard!H74</f>
        <v>1087</v>
      </c>
      <c r="M23" s="75">
        <f t="shared" si="18"/>
        <v>1092</v>
      </c>
      <c r="N23" s="75">
        <f t="shared" si="19"/>
        <v>2874</v>
      </c>
      <c r="O23" s="75">
        <f t="shared" si="20"/>
        <v>4494</v>
      </c>
      <c r="P23" s="75">
        <f t="shared" si="21"/>
        <v>5712</v>
      </c>
      <c r="Q23" s="75">
        <f t="shared" si="22"/>
        <v>6522</v>
      </c>
      <c r="R23" s="75">
        <f t="shared" si="23"/>
        <v>6522</v>
      </c>
      <c r="S23" s="86">
        <f>SUM(M23:R23)</f>
        <v>27216</v>
      </c>
      <c r="T23" s="49" t="s">
        <v>356</v>
      </c>
    </row>
    <row r="24" spans="2:20" x14ac:dyDescent="0.25">
      <c r="B24" s="47" t="s">
        <v>4</v>
      </c>
      <c r="C24" s="47" t="s">
        <v>38</v>
      </c>
      <c r="D24" s="48" t="s">
        <v>95</v>
      </c>
      <c r="E24" s="91">
        <v>0.7</v>
      </c>
      <c r="F24" s="95">
        <f>E24*12</f>
        <v>8.3999999999999986</v>
      </c>
      <c r="G24" s="36">
        <f>IF(Sys_Deployment="Cloud",1,0)*Dashboard!C74+COUNTIFS(HLD[Analysis Flag],"Y",HLD[RAN Configuration],"RAN Config 1")*RAN_Config_1_Sectors+COUNTIFS(HLD[Analysis Flag],"Y",HLD[RAN Configuration],"RAN Config 2")*RAN_Config_2_Sectors+COUNTIFS(HLD[Analysis Flag],"Y",HLD[RAN Configuration],"RAN Config 3")*RAN_Config_3_Sectors+COUNTIFS(HLD[Analysis Flag],"Y",HLD[Backhaul Configuration],"Backhaul Config 1")*BH_Config_1_Eq_Count+COUNTIFS(HLD[Analysis Flag],"Y",HLD[Backhaul Configuration],"Backhaul Config 2")*BH_Config_2_Eq_Count+COUNTIFS(HLD[Analysis Flag],"Y",HLD[Backhaul Configuration],"Backhaul Config 3")*BH_Config_3_Eq_Count+COUNTIFS(HLD[Analysis Flag],"Y",HLD[Backhaul Configuration],"Backhaul Config 4")*BH_Config_4_Eq_Count+CAPEX!F24+CAPEX!F56+CAPEX!F57+CAPEX!F58</f>
        <v>219</v>
      </c>
      <c r="H24" s="37">
        <f>IF(Sys_Deployment="Cloud",1,0)*Dashboard!D74+COUNTIFS(HLD[Analysis Flag],"Y",HLD[RAN Configuration],"RAN Config 1")*RAN_Config_1_Sectors+COUNTIFS(HLD[Analysis Flag],"Y",HLD[RAN Configuration],"RAN Config 2")*RAN_Config_2_Sectors+COUNTIFS(HLD[Analysis Flag],"Y",HLD[RAN Configuration],"RAN Config 3")*RAN_Config_3_Sectors+COUNTIFS(HLD[Analysis Flag],"Y",HLD[Backhaul Configuration],"Backhaul Config 1")*BH_Config_1_Eq_Count+COUNTIFS(HLD[Analysis Flag],"Y",HLD[Backhaul Configuration],"Backhaul Config 2")*BH_Config_2_Eq_Count+COUNTIFS(HLD[Analysis Flag],"Y",HLD[Backhaul Configuration],"Backhaul Config 3")*BH_Config_3_Eq_Count+COUNTIFS(HLD[Analysis Flag],"Y",HLD[Backhaul Configuration],"Backhaul Config 4")*BH_Config_4_Eq_Count+CAPEX!F24+CAPEX!F56+CAPEX!F57+CAPEX!F58</f>
        <v>516</v>
      </c>
      <c r="I24" s="37">
        <f>IF(Sys_Deployment="Cloud",1,0)*Dashboard!E74+COUNTIFS(HLD[Analysis Flag],"Y",HLD[RAN Configuration],"RAN Config 1")*RAN_Config_1_Sectors+COUNTIFS(HLD[Analysis Flag],"Y",HLD[RAN Configuration],"RAN Config 2")*RAN_Config_2_Sectors+COUNTIFS(HLD[Analysis Flag],"Y",HLD[RAN Configuration],"RAN Config 3")*RAN_Config_3_Sectors+COUNTIFS(HLD[Analysis Flag],"Y",HLD[Backhaul Configuration],"Backhaul Config 1")*BH_Config_1_Eq_Count+COUNTIFS(HLD[Analysis Flag],"Y",HLD[Backhaul Configuration],"Backhaul Config 2")*BH_Config_2_Eq_Count+COUNTIFS(HLD[Analysis Flag],"Y",HLD[Backhaul Configuration],"Backhaul Config 3")*BH_Config_3_Eq_Count+COUNTIFS(HLD[Analysis Flag],"Y",HLD[Backhaul Configuration],"Backhaul Config 4")*BH_Config_4_Eq_Count+CAPEX!F24+CAPEX!F56+CAPEX!F57+CAPEX!F58</f>
        <v>786</v>
      </c>
      <c r="J24" s="37">
        <f>IF(Sys_Deployment="Cloud",1,0)*Dashboard!F74+COUNTIFS(HLD[Analysis Flag],"Y",HLD[RAN Configuration],"RAN Config 1")*RAN_Config_1_Sectors+COUNTIFS(HLD[Analysis Flag],"Y",HLD[RAN Configuration],"RAN Config 2")*RAN_Config_2_Sectors+COUNTIFS(HLD[Analysis Flag],"Y",HLD[RAN Configuration],"RAN Config 3")*RAN_Config_3_Sectors+COUNTIFS(HLD[Analysis Flag],"Y",HLD[Backhaul Configuration],"Backhaul Config 1")*BH_Config_1_Eq_Count+COUNTIFS(HLD[Analysis Flag],"Y",HLD[Backhaul Configuration],"Backhaul Config 2")*BH_Config_2_Eq_Count+COUNTIFS(HLD[Analysis Flag],"Y",HLD[Backhaul Configuration],"Backhaul Config 3")*BH_Config_3_Eq_Count+COUNTIFS(HLD[Analysis Flag],"Y",HLD[Backhaul Configuration],"Backhaul Config 4")*BH_Config_4_Eq_Count+CAPEX!F24+CAPEX!F56+CAPEX!F57+CAPEX!F58</f>
        <v>989</v>
      </c>
      <c r="K24" s="37">
        <f>IF(Sys_Deployment="Cloud",1,0)*Dashboard!G74+COUNTIFS(HLD[Analysis Flag],"Y",HLD[RAN Configuration],"RAN Config 1")*RAN_Config_1_Sectors+COUNTIFS(HLD[Analysis Flag],"Y",HLD[RAN Configuration],"RAN Config 2")*RAN_Config_2_Sectors+COUNTIFS(HLD[Analysis Flag],"Y",HLD[RAN Configuration],"RAN Config 3")*RAN_Config_3_Sectors+COUNTIFS(HLD[Analysis Flag],"Y",HLD[Backhaul Configuration],"Backhaul Config 1")*BH_Config_1_Eq_Count+COUNTIFS(HLD[Analysis Flag],"Y",HLD[Backhaul Configuration],"Backhaul Config 2")*BH_Config_2_Eq_Count+COUNTIFS(HLD[Analysis Flag],"Y",HLD[Backhaul Configuration],"Backhaul Config 3")*BH_Config_3_Eq_Count+COUNTIFS(HLD[Analysis Flag],"Y",HLD[Backhaul Configuration],"Backhaul Config 4")*BH_Config_4_Eq_Count+CAPEX!F24+CAPEX!F56+CAPEX!F57+CAPEX!F58</f>
        <v>1124</v>
      </c>
      <c r="L24" s="38">
        <f>IF(Sys_Deployment="Cloud",1,0)*Dashboard!H74+COUNTIFS(HLD[Analysis Flag],"Y",HLD[RAN Configuration],"RAN Config 1")*RAN_Config_1_Sectors+COUNTIFS(HLD[Analysis Flag],"Y",HLD[RAN Configuration],"RAN Config 2")*RAN_Config_2_Sectors+COUNTIFS(HLD[Analysis Flag],"Y",HLD[RAN Configuration],"RAN Config 3")*RAN_Config_3_Sectors+COUNTIFS(HLD[Analysis Flag],"Y",HLD[Backhaul Configuration],"Backhaul Config 1")*BH_Config_1_Eq_Count+COUNTIFS(HLD[Analysis Flag],"Y",HLD[Backhaul Configuration],"Backhaul Config 2")*BH_Config_2_Eq_Count+COUNTIFS(HLD[Analysis Flag],"Y",HLD[Backhaul Configuration],"Backhaul Config 3")*BH_Config_3_Eq_Count+COUNTIFS(HLD[Analysis Flag],"Y",HLD[Backhaul Configuration],"Backhaul Config 4")*BH_Config_4_Eq_Count+CAPEX!F24+CAPEX!F56+CAPEX!F57+CAPEX!F58</f>
        <v>1124</v>
      </c>
      <c r="M24" s="75">
        <f t="shared" si="18"/>
        <v>1839.5999999999997</v>
      </c>
      <c r="N24" s="75">
        <f t="shared" si="19"/>
        <v>4334.3999999999996</v>
      </c>
      <c r="O24" s="75">
        <f t="shared" si="20"/>
        <v>6602.3999999999987</v>
      </c>
      <c r="P24" s="75">
        <f t="shared" si="21"/>
        <v>8307.5999999999985</v>
      </c>
      <c r="Q24" s="75">
        <f t="shared" si="22"/>
        <v>9441.5999999999985</v>
      </c>
      <c r="R24" s="75">
        <f t="shared" si="23"/>
        <v>9441.5999999999985</v>
      </c>
      <c r="S24" s="86">
        <f>SUM(M24:R24)</f>
        <v>39967.199999999997</v>
      </c>
      <c r="T24" s="49" t="s">
        <v>357</v>
      </c>
    </row>
    <row r="25" spans="2:20" x14ac:dyDescent="0.25">
      <c r="B25" s="47" t="s">
        <v>4</v>
      </c>
      <c r="C25" s="47" t="s">
        <v>38</v>
      </c>
      <c r="D25" s="48" t="s">
        <v>96</v>
      </c>
      <c r="E25" s="35">
        <v>90</v>
      </c>
      <c r="F25" s="92">
        <f>E25*12</f>
        <v>1080</v>
      </c>
      <c r="G25" s="78">
        <f t="shared" ref="G25:L25" si="25">IF(Sys_Deployment="Cloud",1,0)</f>
        <v>1</v>
      </c>
      <c r="H25" s="79">
        <f t="shared" si="25"/>
        <v>1</v>
      </c>
      <c r="I25" s="79">
        <f t="shared" si="25"/>
        <v>1</v>
      </c>
      <c r="J25" s="79">
        <f t="shared" si="25"/>
        <v>1</v>
      </c>
      <c r="K25" s="79">
        <f t="shared" si="25"/>
        <v>1</v>
      </c>
      <c r="L25" s="80">
        <f t="shared" si="25"/>
        <v>1</v>
      </c>
      <c r="M25" s="75">
        <f t="shared" si="18"/>
        <v>1080</v>
      </c>
      <c r="N25" s="75">
        <f t="shared" si="19"/>
        <v>1080</v>
      </c>
      <c r="O25" s="75">
        <f t="shared" si="20"/>
        <v>1080</v>
      </c>
      <c r="P25" s="75">
        <f t="shared" si="21"/>
        <v>1080</v>
      </c>
      <c r="Q25" s="75">
        <f t="shared" si="22"/>
        <v>1080</v>
      </c>
      <c r="R25" s="75">
        <f t="shared" si="23"/>
        <v>1080</v>
      </c>
      <c r="S25" s="86">
        <f>SUM(M25:R25)</f>
        <v>6480</v>
      </c>
      <c r="T25" s="49" t="s">
        <v>358</v>
      </c>
    </row>
    <row r="26" spans="2:20" x14ac:dyDescent="0.25">
      <c r="B26" s="47"/>
      <c r="C26" s="47" t="s">
        <v>15</v>
      </c>
      <c r="D26" s="48" t="s">
        <v>19</v>
      </c>
      <c r="E26" s="35"/>
      <c r="F26" s="35"/>
      <c r="G26" s="78">
        <v>1</v>
      </c>
      <c r="H26" s="79"/>
      <c r="I26" s="79"/>
      <c r="J26" s="79"/>
      <c r="K26" s="79"/>
      <c r="L26" s="80"/>
      <c r="M26" s="75">
        <f t="shared" si="18"/>
        <v>0</v>
      </c>
      <c r="N26" s="75">
        <f t="shared" si="19"/>
        <v>0</v>
      </c>
      <c r="O26" s="75">
        <f t="shared" si="20"/>
        <v>0</v>
      </c>
      <c r="P26" s="75">
        <f t="shared" si="21"/>
        <v>0</v>
      </c>
      <c r="Q26" s="75">
        <f t="shared" si="22"/>
        <v>0</v>
      </c>
      <c r="R26" s="75">
        <f t="shared" si="23"/>
        <v>0</v>
      </c>
      <c r="S26" s="86">
        <f t="shared" ref="S26:S31" si="26">SUM(M26:R26)</f>
        <v>0</v>
      </c>
      <c r="T26" s="49" t="s">
        <v>359</v>
      </c>
    </row>
    <row r="27" spans="2:20" x14ac:dyDescent="0.25">
      <c r="B27" s="47"/>
      <c r="C27" s="47" t="s">
        <v>15</v>
      </c>
      <c r="D27" s="48" t="s">
        <v>17</v>
      </c>
      <c r="E27" s="35"/>
      <c r="F27" s="35"/>
      <c r="G27" s="78">
        <v>1</v>
      </c>
      <c r="H27" s="79"/>
      <c r="I27" s="79"/>
      <c r="J27" s="79"/>
      <c r="K27" s="79"/>
      <c r="L27" s="80"/>
      <c r="M27" s="75">
        <f t="shared" si="18"/>
        <v>0</v>
      </c>
      <c r="N27" s="75">
        <f t="shared" si="19"/>
        <v>0</v>
      </c>
      <c r="O27" s="75">
        <f t="shared" si="20"/>
        <v>0</v>
      </c>
      <c r="P27" s="75">
        <f t="shared" si="21"/>
        <v>0</v>
      </c>
      <c r="Q27" s="75">
        <f t="shared" si="22"/>
        <v>0</v>
      </c>
      <c r="R27" s="75">
        <f t="shared" si="23"/>
        <v>0</v>
      </c>
      <c r="S27" s="86">
        <f t="shared" si="26"/>
        <v>0</v>
      </c>
      <c r="T27" s="49" t="s">
        <v>360</v>
      </c>
    </row>
    <row r="28" spans="2:20" x14ac:dyDescent="0.25">
      <c r="B28" s="47"/>
      <c r="C28" s="47" t="s">
        <v>15</v>
      </c>
      <c r="D28" s="48" t="s">
        <v>20</v>
      </c>
      <c r="E28" s="35"/>
      <c r="F28" s="35"/>
      <c r="G28" s="78">
        <v>1</v>
      </c>
      <c r="H28" s="79"/>
      <c r="I28" s="79"/>
      <c r="J28" s="79"/>
      <c r="K28" s="79"/>
      <c r="L28" s="80"/>
      <c r="M28" s="75">
        <f t="shared" si="18"/>
        <v>0</v>
      </c>
      <c r="N28" s="75">
        <f t="shared" si="19"/>
        <v>0</v>
      </c>
      <c r="O28" s="75">
        <f t="shared" si="20"/>
        <v>0</v>
      </c>
      <c r="P28" s="75">
        <f t="shared" si="21"/>
        <v>0</v>
      </c>
      <c r="Q28" s="75">
        <f t="shared" si="22"/>
        <v>0</v>
      </c>
      <c r="R28" s="75">
        <f t="shared" si="23"/>
        <v>0</v>
      </c>
      <c r="S28" s="86">
        <f t="shared" si="26"/>
        <v>0</v>
      </c>
      <c r="T28" s="49" t="s">
        <v>361</v>
      </c>
    </row>
    <row r="29" spans="2:20" x14ac:dyDescent="0.25">
      <c r="B29" s="47"/>
      <c r="C29" s="47" t="s">
        <v>15</v>
      </c>
      <c r="D29" s="48" t="s">
        <v>18</v>
      </c>
      <c r="E29" s="35"/>
      <c r="F29" s="35"/>
      <c r="G29" s="78">
        <v>1</v>
      </c>
      <c r="H29" s="79"/>
      <c r="I29" s="79"/>
      <c r="J29" s="79"/>
      <c r="K29" s="79"/>
      <c r="L29" s="80"/>
      <c r="M29" s="75">
        <f t="shared" si="18"/>
        <v>0</v>
      </c>
      <c r="N29" s="75">
        <f t="shared" si="19"/>
        <v>0</v>
      </c>
      <c r="O29" s="75">
        <f t="shared" si="20"/>
        <v>0</v>
      </c>
      <c r="P29" s="75">
        <f t="shared" si="21"/>
        <v>0</v>
      </c>
      <c r="Q29" s="75">
        <f t="shared" si="22"/>
        <v>0</v>
      </c>
      <c r="R29" s="75">
        <f t="shared" si="23"/>
        <v>0</v>
      </c>
      <c r="S29" s="86">
        <f t="shared" si="26"/>
        <v>0</v>
      </c>
      <c r="T29" s="49" t="s">
        <v>362</v>
      </c>
    </row>
    <row r="30" spans="2:20" x14ac:dyDescent="0.25">
      <c r="B30" s="47"/>
      <c r="C30" s="47" t="s">
        <v>15</v>
      </c>
      <c r="D30" s="48" t="s">
        <v>21</v>
      </c>
      <c r="E30" s="35"/>
      <c r="F30" s="35"/>
      <c r="G30" s="78">
        <v>1</v>
      </c>
      <c r="H30" s="79"/>
      <c r="I30" s="79"/>
      <c r="J30" s="79"/>
      <c r="K30" s="79"/>
      <c r="L30" s="80"/>
      <c r="M30" s="75">
        <f t="shared" si="18"/>
        <v>0</v>
      </c>
      <c r="N30" s="75">
        <f t="shared" si="19"/>
        <v>0</v>
      </c>
      <c r="O30" s="75">
        <f t="shared" si="20"/>
        <v>0</v>
      </c>
      <c r="P30" s="75">
        <f t="shared" si="21"/>
        <v>0</v>
      </c>
      <c r="Q30" s="75">
        <f t="shared" si="22"/>
        <v>0</v>
      </c>
      <c r="R30" s="75">
        <f t="shared" si="23"/>
        <v>0</v>
      </c>
      <c r="S30" s="86">
        <f t="shared" si="26"/>
        <v>0</v>
      </c>
      <c r="T30" s="49" t="s">
        <v>363</v>
      </c>
    </row>
    <row r="31" spans="2:20" x14ac:dyDescent="0.25">
      <c r="B31" s="47"/>
      <c r="C31" s="47" t="s">
        <v>15</v>
      </c>
      <c r="D31" s="48" t="s">
        <v>22</v>
      </c>
      <c r="E31" s="35"/>
      <c r="F31" s="35"/>
      <c r="G31" s="78">
        <v>1</v>
      </c>
      <c r="H31" s="79"/>
      <c r="I31" s="79"/>
      <c r="J31" s="79"/>
      <c r="K31" s="79"/>
      <c r="L31" s="80"/>
      <c r="M31" s="75">
        <f t="shared" si="18"/>
        <v>0</v>
      </c>
      <c r="N31" s="75">
        <f t="shared" si="19"/>
        <v>0</v>
      </c>
      <c r="O31" s="75">
        <f t="shared" si="20"/>
        <v>0</v>
      </c>
      <c r="P31" s="75">
        <f t="shared" si="21"/>
        <v>0</v>
      </c>
      <c r="Q31" s="75">
        <f t="shared" si="22"/>
        <v>0</v>
      </c>
      <c r="R31" s="75">
        <f t="shared" si="23"/>
        <v>0</v>
      </c>
      <c r="S31" s="86">
        <f t="shared" si="26"/>
        <v>0</v>
      </c>
      <c r="T31" s="49" t="s">
        <v>364</v>
      </c>
    </row>
    <row r="33" spans="12:19" x14ac:dyDescent="0.25">
      <c r="L33" s="99" t="s">
        <v>99</v>
      </c>
      <c r="M33" s="86">
        <f>SUM(M4:M31)</f>
        <v>41539.072</v>
      </c>
      <c r="N33" s="86">
        <f t="shared" ref="N33:S33" si="27">SUM(N4:N31)</f>
        <v>51161.872000000003</v>
      </c>
      <c r="O33" s="86">
        <f t="shared" si="27"/>
        <v>59909.872000000003</v>
      </c>
      <c r="P33" s="86">
        <f t="shared" si="27"/>
        <v>66470.072</v>
      </c>
      <c r="Q33" s="86">
        <f t="shared" si="27"/>
        <v>70844.072</v>
      </c>
      <c r="R33" s="86">
        <f t="shared" si="27"/>
        <v>70844.072</v>
      </c>
      <c r="S33" s="86">
        <f t="shared" si="27"/>
        <v>360769.03200000001</v>
      </c>
    </row>
  </sheetData>
  <autoFilter ref="B3:R31" xr:uid="{CDC5F47D-8F2A-4F4F-877F-66919816A22E}"/>
  <mergeCells count="3">
    <mergeCell ref="B2:D2"/>
    <mergeCell ref="G2:L2"/>
    <mergeCell ref="M2:S2"/>
  </mergeCells>
  <conditionalFormatting sqref="E4:F31">
    <cfRule type="expression" dxfId="0" priority="1">
      <formula>$G4=0</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5C844-4870-4E92-AFD9-C8E5BD9E2B2D}">
  <dimension ref="B2:O117"/>
  <sheetViews>
    <sheetView showGridLines="0" zoomScale="90" zoomScaleNormal="90" workbookViewId="0">
      <selection activeCell="I55" sqref="I55"/>
    </sheetView>
  </sheetViews>
  <sheetFormatPr defaultRowHeight="14.25" outlineLevelRow="1" x14ac:dyDescent="0.25"/>
  <cols>
    <col min="1" max="1" width="4.7109375" style="2" customWidth="1"/>
    <col min="2" max="2" width="24.5703125" style="2" bestFit="1" customWidth="1"/>
    <col min="3" max="3" width="25.5703125" style="2" customWidth="1"/>
    <col min="4" max="4" width="19" style="2" customWidth="1"/>
    <col min="5" max="29" width="12.7109375" style="2" customWidth="1"/>
    <col min="30" max="16384" width="9.140625" style="2"/>
  </cols>
  <sheetData>
    <row r="2" spans="2:15" ht="15.75" thickBot="1" x14ac:dyDescent="0.3">
      <c r="B2" s="16" t="s">
        <v>202</v>
      </c>
      <c r="C2" s="15"/>
      <c r="D2" s="15"/>
      <c r="E2" s="15"/>
      <c r="F2" s="15"/>
      <c r="G2" s="15"/>
      <c r="H2" s="15"/>
      <c r="I2"/>
      <c r="J2"/>
      <c r="K2"/>
      <c r="L2"/>
      <c r="M2"/>
      <c r="N2"/>
      <c r="O2"/>
    </row>
    <row r="3" spans="2:15" ht="15" thickBot="1" x14ac:dyDescent="0.3"/>
    <row r="4" spans="2:15" ht="15" outlineLevel="1" x14ac:dyDescent="0.25">
      <c r="B4" s="185" t="s">
        <v>109</v>
      </c>
      <c r="C4" s="186"/>
      <c r="D4" s="186"/>
      <c r="E4" s="186"/>
      <c r="F4" s="186"/>
      <c r="G4" s="187"/>
      <c r="H4"/>
    </row>
    <row r="5" spans="2:15" ht="15" outlineLevel="1" x14ac:dyDescent="0.25">
      <c r="B5" s="107"/>
      <c r="C5" s="103"/>
      <c r="D5" s="103"/>
      <c r="E5" s="103"/>
      <c r="F5" s="103"/>
      <c r="G5" s="108"/>
      <c r="H5"/>
    </row>
    <row r="6" spans="2:15" ht="15" outlineLevel="1" x14ac:dyDescent="0.25">
      <c r="B6" s="109" t="s">
        <v>212</v>
      </c>
      <c r="C6" s="101">
        <v>2500</v>
      </c>
      <c r="D6" s="105" t="s">
        <v>215</v>
      </c>
      <c r="E6" s="106"/>
      <c r="F6" s="103"/>
      <c r="G6" s="108"/>
    </row>
    <row r="7" spans="2:15" outlineLevel="1" x14ac:dyDescent="0.25">
      <c r="B7" s="109" t="s">
        <v>213</v>
      </c>
      <c r="C7" s="101">
        <v>20</v>
      </c>
      <c r="D7" s="105" t="s">
        <v>215</v>
      </c>
      <c r="E7" s="103"/>
      <c r="F7" s="103"/>
      <c r="G7" s="108"/>
    </row>
    <row r="8" spans="2:15" outlineLevel="1" x14ac:dyDescent="0.25">
      <c r="B8" s="109" t="s">
        <v>194</v>
      </c>
      <c r="C8" s="101">
        <v>1</v>
      </c>
      <c r="D8" s="105"/>
      <c r="E8" s="103"/>
      <c r="F8" s="103"/>
      <c r="G8" s="108"/>
    </row>
    <row r="9" spans="2:15" outlineLevel="1" x14ac:dyDescent="0.25">
      <c r="B9" s="109" t="s">
        <v>214</v>
      </c>
      <c r="C9" s="101">
        <v>10</v>
      </c>
      <c r="D9" s="105" t="s">
        <v>216</v>
      </c>
      <c r="E9" s="103"/>
      <c r="F9" s="103"/>
      <c r="G9" s="108"/>
    </row>
    <row r="10" spans="2:15" outlineLevel="1" x14ac:dyDescent="0.25">
      <c r="B10" s="107"/>
      <c r="C10" s="103"/>
      <c r="D10" s="103"/>
      <c r="E10" s="103"/>
      <c r="F10" s="103"/>
      <c r="G10" s="108"/>
    </row>
    <row r="11" spans="2:15" outlineLevel="1" x14ac:dyDescent="0.25">
      <c r="B11" s="110" t="s">
        <v>6</v>
      </c>
      <c r="C11" s="104" t="s">
        <v>203</v>
      </c>
      <c r="D11" s="104" t="s">
        <v>204</v>
      </c>
      <c r="E11" s="104" t="s">
        <v>205</v>
      </c>
      <c r="F11" s="104" t="s">
        <v>98</v>
      </c>
      <c r="G11" s="111" t="s">
        <v>206</v>
      </c>
    </row>
    <row r="12" spans="2:15" outlineLevel="1" x14ac:dyDescent="0.25">
      <c r="B12" s="117" t="s">
        <v>209</v>
      </c>
      <c r="C12" s="112"/>
      <c r="D12" s="112"/>
      <c r="E12" s="113">
        <v>1</v>
      </c>
      <c r="F12" s="114">
        <v>5000</v>
      </c>
      <c r="G12" s="115">
        <f>E12*F12</f>
        <v>5000</v>
      </c>
    </row>
    <row r="13" spans="2:15" outlineLevel="1" x14ac:dyDescent="0.25">
      <c r="B13" s="117" t="s">
        <v>207</v>
      </c>
      <c r="C13" s="112"/>
      <c r="D13" s="112"/>
      <c r="E13" s="113"/>
      <c r="F13" s="114"/>
      <c r="G13" s="115">
        <f t="shared" ref="G13:G16" si="0">E13*F13</f>
        <v>0</v>
      </c>
    </row>
    <row r="14" spans="2:15" outlineLevel="1" x14ac:dyDescent="0.25">
      <c r="B14" s="117" t="s">
        <v>208</v>
      </c>
      <c r="C14" s="112"/>
      <c r="D14" s="112"/>
      <c r="E14" s="113"/>
      <c r="F14" s="114"/>
      <c r="G14" s="115">
        <f t="shared" si="0"/>
        <v>0</v>
      </c>
    </row>
    <row r="15" spans="2:15" outlineLevel="1" x14ac:dyDescent="0.25">
      <c r="B15" s="117" t="s">
        <v>210</v>
      </c>
      <c r="C15" s="112"/>
      <c r="D15" s="112"/>
      <c r="E15" s="113">
        <v>1</v>
      </c>
      <c r="F15" s="114">
        <v>250</v>
      </c>
      <c r="G15" s="115">
        <f t="shared" si="0"/>
        <v>250</v>
      </c>
    </row>
    <row r="16" spans="2:15" outlineLevel="1" x14ac:dyDescent="0.25">
      <c r="B16" s="117" t="s">
        <v>211</v>
      </c>
      <c r="C16" s="112"/>
      <c r="D16" s="112"/>
      <c r="E16" s="113">
        <v>1</v>
      </c>
      <c r="F16" s="114">
        <v>200</v>
      </c>
      <c r="G16" s="115">
        <f t="shared" si="0"/>
        <v>200</v>
      </c>
    </row>
    <row r="17" spans="2:8" ht="15.75" customHeight="1" outlineLevel="1" thickBot="1" x14ac:dyDescent="0.3">
      <c r="B17" s="182" t="s">
        <v>99</v>
      </c>
      <c r="C17" s="183"/>
      <c r="D17" s="183"/>
      <c r="E17" s="183"/>
      <c r="F17" s="184"/>
      <c r="G17" s="116">
        <f>SUM(G12:G16)</f>
        <v>5450</v>
      </c>
    </row>
    <row r="18" spans="2:8" ht="15" outlineLevel="1" thickBot="1" x14ac:dyDescent="0.3">
      <c r="B18" s="103"/>
      <c r="C18" s="103"/>
      <c r="D18" s="103"/>
      <c r="E18" s="103"/>
      <c r="F18" s="103"/>
      <c r="G18" s="103"/>
    </row>
    <row r="19" spans="2:8" ht="15" outlineLevel="1" x14ac:dyDescent="0.25">
      <c r="B19" s="185" t="s">
        <v>110</v>
      </c>
      <c r="C19" s="186"/>
      <c r="D19" s="186"/>
      <c r="E19" s="186"/>
      <c r="F19" s="186"/>
      <c r="G19" s="187"/>
      <c r="H19"/>
    </row>
    <row r="20" spans="2:8" ht="15" outlineLevel="1" x14ac:dyDescent="0.25">
      <c r="B20" s="107"/>
      <c r="C20" s="103"/>
      <c r="D20" s="103"/>
      <c r="E20" s="103"/>
      <c r="F20" s="103"/>
      <c r="G20" s="108"/>
      <c r="H20"/>
    </row>
    <row r="21" spans="2:8" ht="15" outlineLevel="1" x14ac:dyDescent="0.25">
      <c r="B21" s="109" t="s">
        <v>212</v>
      </c>
      <c r="C21" s="101">
        <v>2500</v>
      </c>
      <c r="D21" s="105" t="s">
        <v>215</v>
      </c>
      <c r="E21" s="106"/>
      <c r="F21" s="103"/>
      <c r="G21" s="108"/>
    </row>
    <row r="22" spans="2:8" outlineLevel="1" x14ac:dyDescent="0.25">
      <c r="B22" s="109" t="s">
        <v>213</v>
      </c>
      <c r="C22" s="101">
        <v>20</v>
      </c>
      <c r="D22" s="105" t="s">
        <v>215</v>
      </c>
      <c r="E22" s="103"/>
      <c r="F22" s="103"/>
      <c r="G22" s="108"/>
    </row>
    <row r="23" spans="2:8" outlineLevel="1" x14ac:dyDescent="0.25">
      <c r="B23" s="109" t="s">
        <v>194</v>
      </c>
      <c r="C23" s="101">
        <v>3</v>
      </c>
      <c r="D23" s="105"/>
      <c r="E23" s="103"/>
      <c r="F23" s="103"/>
      <c r="G23" s="108"/>
    </row>
    <row r="24" spans="2:8" outlineLevel="1" x14ac:dyDescent="0.25">
      <c r="B24" s="109" t="s">
        <v>214</v>
      </c>
      <c r="C24" s="101">
        <v>10</v>
      </c>
      <c r="D24" s="105" t="s">
        <v>216</v>
      </c>
      <c r="E24" s="103"/>
      <c r="F24" s="103"/>
      <c r="G24" s="108"/>
    </row>
    <row r="25" spans="2:8" outlineLevel="1" x14ac:dyDescent="0.25">
      <c r="B25" s="107"/>
      <c r="C25" s="103"/>
      <c r="D25" s="103"/>
      <c r="E25" s="103"/>
      <c r="F25" s="103"/>
      <c r="G25" s="108"/>
    </row>
    <row r="26" spans="2:8" outlineLevel="1" x14ac:dyDescent="0.25">
      <c r="B26" s="110" t="s">
        <v>6</v>
      </c>
      <c r="C26" s="104" t="s">
        <v>203</v>
      </c>
      <c r="D26" s="104" t="s">
        <v>204</v>
      </c>
      <c r="E26" s="104" t="s">
        <v>205</v>
      </c>
      <c r="F26" s="104" t="s">
        <v>98</v>
      </c>
      <c r="G26" s="111" t="s">
        <v>206</v>
      </c>
    </row>
    <row r="27" spans="2:8" outlineLevel="1" x14ac:dyDescent="0.25">
      <c r="B27" s="117" t="s">
        <v>209</v>
      </c>
      <c r="C27" s="112"/>
      <c r="D27" s="112"/>
      <c r="E27" s="113">
        <v>3</v>
      </c>
      <c r="F27" s="114">
        <v>5000</v>
      </c>
      <c r="G27" s="115">
        <f>E27*F27</f>
        <v>15000</v>
      </c>
    </row>
    <row r="28" spans="2:8" outlineLevel="1" x14ac:dyDescent="0.25">
      <c r="B28" s="117" t="s">
        <v>207</v>
      </c>
      <c r="C28" s="112"/>
      <c r="D28" s="112"/>
      <c r="E28" s="113"/>
      <c r="F28" s="114"/>
      <c r="G28" s="115">
        <f t="shared" ref="G28:G31" si="1">E28*F28</f>
        <v>0</v>
      </c>
    </row>
    <row r="29" spans="2:8" outlineLevel="1" x14ac:dyDescent="0.25">
      <c r="B29" s="117" t="s">
        <v>208</v>
      </c>
      <c r="C29" s="112"/>
      <c r="D29" s="112"/>
      <c r="E29" s="113"/>
      <c r="F29" s="114"/>
      <c r="G29" s="115">
        <f t="shared" si="1"/>
        <v>0</v>
      </c>
    </row>
    <row r="30" spans="2:8" outlineLevel="1" x14ac:dyDescent="0.25">
      <c r="B30" s="117" t="s">
        <v>210</v>
      </c>
      <c r="C30" s="112"/>
      <c r="D30" s="112"/>
      <c r="E30" s="113">
        <v>3</v>
      </c>
      <c r="F30" s="114">
        <v>250</v>
      </c>
      <c r="G30" s="115">
        <f t="shared" si="1"/>
        <v>750</v>
      </c>
    </row>
    <row r="31" spans="2:8" outlineLevel="1" x14ac:dyDescent="0.25">
      <c r="B31" s="117" t="s">
        <v>211</v>
      </c>
      <c r="C31" s="112"/>
      <c r="D31" s="112"/>
      <c r="E31" s="113">
        <v>1</v>
      </c>
      <c r="F31" s="114">
        <v>200</v>
      </c>
      <c r="G31" s="115">
        <f t="shared" si="1"/>
        <v>200</v>
      </c>
    </row>
    <row r="32" spans="2:8" ht="15.75" customHeight="1" outlineLevel="1" thickBot="1" x14ac:dyDescent="0.3">
      <c r="B32" s="182" t="s">
        <v>99</v>
      </c>
      <c r="C32" s="183"/>
      <c r="D32" s="183"/>
      <c r="E32" s="183"/>
      <c r="F32" s="184"/>
      <c r="G32" s="116">
        <f>SUM(G27:G31)</f>
        <v>15950</v>
      </c>
    </row>
    <row r="33" spans="2:8" ht="15" outlineLevel="1" thickBot="1" x14ac:dyDescent="0.3">
      <c r="B33" s="103"/>
      <c r="C33" s="103"/>
      <c r="D33" s="103"/>
      <c r="E33" s="103"/>
      <c r="F33" s="103"/>
      <c r="G33" s="103"/>
    </row>
    <row r="34" spans="2:8" ht="15" outlineLevel="1" x14ac:dyDescent="0.25">
      <c r="B34" s="185" t="s">
        <v>111</v>
      </c>
      <c r="C34" s="186"/>
      <c r="D34" s="186"/>
      <c r="E34" s="186"/>
      <c r="F34" s="186"/>
      <c r="G34" s="187"/>
      <c r="H34"/>
    </row>
    <row r="35" spans="2:8" ht="15" outlineLevel="1" x14ac:dyDescent="0.25">
      <c r="B35" s="107"/>
      <c r="C35" s="103"/>
      <c r="D35" s="103"/>
      <c r="E35" s="103"/>
      <c r="F35" s="103"/>
      <c r="G35" s="108"/>
      <c r="H35"/>
    </row>
    <row r="36" spans="2:8" ht="15" outlineLevel="1" x14ac:dyDescent="0.25">
      <c r="B36" s="109" t="s">
        <v>212</v>
      </c>
      <c r="C36" s="101">
        <v>3650</v>
      </c>
      <c r="D36" s="105" t="s">
        <v>215</v>
      </c>
      <c r="E36" s="106"/>
      <c r="F36" s="103"/>
      <c r="G36" s="108"/>
    </row>
    <row r="37" spans="2:8" outlineLevel="1" x14ac:dyDescent="0.25">
      <c r="B37" s="109" t="s">
        <v>213</v>
      </c>
      <c r="C37" s="101">
        <v>20</v>
      </c>
      <c r="D37" s="105" t="s">
        <v>215</v>
      </c>
      <c r="E37" s="103"/>
      <c r="F37" s="103"/>
      <c r="G37" s="108"/>
    </row>
    <row r="38" spans="2:8" outlineLevel="1" x14ac:dyDescent="0.25">
      <c r="B38" s="109" t="s">
        <v>194</v>
      </c>
      <c r="C38" s="101">
        <v>4</v>
      </c>
      <c r="D38" s="105"/>
      <c r="E38" s="103"/>
      <c r="F38" s="103"/>
      <c r="G38" s="108"/>
    </row>
    <row r="39" spans="2:8" outlineLevel="1" x14ac:dyDescent="0.25">
      <c r="B39" s="109" t="s">
        <v>214</v>
      </c>
      <c r="C39" s="101">
        <v>10</v>
      </c>
      <c r="D39" s="105" t="s">
        <v>216</v>
      </c>
      <c r="E39" s="103"/>
      <c r="F39" s="103"/>
      <c r="G39" s="108"/>
    </row>
    <row r="40" spans="2:8" outlineLevel="1" x14ac:dyDescent="0.25">
      <c r="B40" s="107"/>
      <c r="C40" s="103"/>
      <c r="D40" s="103"/>
      <c r="E40" s="103"/>
      <c r="F40" s="103"/>
      <c r="G40" s="108"/>
    </row>
    <row r="41" spans="2:8" outlineLevel="1" x14ac:dyDescent="0.25">
      <c r="B41" s="110" t="s">
        <v>6</v>
      </c>
      <c r="C41" s="104" t="s">
        <v>203</v>
      </c>
      <c r="D41" s="104" t="s">
        <v>204</v>
      </c>
      <c r="E41" s="104" t="s">
        <v>205</v>
      </c>
      <c r="F41" s="104" t="s">
        <v>98</v>
      </c>
      <c r="G41" s="111" t="s">
        <v>206</v>
      </c>
    </row>
    <row r="42" spans="2:8" outlineLevel="1" x14ac:dyDescent="0.25">
      <c r="B42" s="117" t="s">
        <v>209</v>
      </c>
      <c r="C42" s="112"/>
      <c r="D42" s="112"/>
      <c r="E42" s="113">
        <v>4</v>
      </c>
      <c r="F42" s="114">
        <v>5000</v>
      </c>
      <c r="G42" s="115">
        <f>E42*F42</f>
        <v>20000</v>
      </c>
    </row>
    <row r="43" spans="2:8" outlineLevel="1" x14ac:dyDescent="0.25">
      <c r="B43" s="117" t="s">
        <v>207</v>
      </c>
      <c r="C43" s="112"/>
      <c r="D43" s="112"/>
      <c r="E43" s="113"/>
      <c r="F43" s="114"/>
      <c r="G43" s="115">
        <f t="shared" ref="G43:G46" si="2">E43*F43</f>
        <v>0</v>
      </c>
    </row>
    <row r="44" spans="2:8" outlineLevel="1" x14ac:dyDescent="0.25">
      <c r="B44" s="117" t="s">
        <v>208</v>
      </c>
      <c r="C44" s="112"/>
      <c r="D44" s="112"/>
      <c r="E44" s="113"/>
      <c r="F44" s="114"/>
      <c r="G44" s="115">
        <f t="shared" si="2"/>
        <v>0</v>
      </c>
    </row>
    <row r="45" spans="2:8" outlineLevel="1" x14ac:dyDescent="0.25">
      <c r="B45" s="117" t="s">
        <v>210</v>
      </c>
      <c r="C45" s="112"/>
      <c r="D45" s="112"/>
      <c r="E45" s="113">
        <v>4</v>
      </c>
      <c r="F45" s="114">
        <v>250</v>
      </c>
      <c r="G45" s="115">
        <f t="shared" si="2"/>
        <v>1000</v>
      </c>
    </row>
    <row r="46" spans="2:8" outlineLevel="1" x14ac:dyDescent="0.25">
      <c r="B46" s="117" t="s">
        <v>211</v>
      </c>
      <c r="C46" s="112"/>
      <c r="D46" s="112"/>
      <c r="E46" s="113">
        <v>1</v>
      </c>
      <c r="F46" s="114">
        <v>200</v>
      </c>
      <c r="G46" s="115">
        <f t="shared" si="2"/>
        <v>200</v>
      </c>
    </row>
    <row r="47" spans="2:8" ht="15.75" customHeight="1" outlineLevel="1" thickBot="1" x14ac:dyDescent="0.3">
      <c r="B47" s="182" t="s">
        <v>99</v>
      </c>
      <c r="C47" s="183"/>
      <c r="D47" s="183"/>
      <c r="E47" s="183"/>
      <c r="F47" s="184"/>
      <c r="G47" s="116">
        <f>SUM(G42:G46)</f>
        <v>21200</v>
      </c>
    </row>
    <row r="48" spans="2:8" x14ac:dyDescent="0.25">
      <c r="B48" s="103"/>
      <c r="C48" s="103"/>
      <c r="D48" s="103"/>
      <c r="E48" s="103"/>
      <c r="F48" s="103"/>
      <c r="G48" s="103"/>
    </row>
    <row r="49" spans="2:8" x14ac:dyDescent="0.25">
      <c r="B49" s="103"/>
      <c r="C49" s="103"/>
      <c r="D49" s="103"/>
      <c r="E49" s="103"/>
      <c r="F49" s="103"/>
      <c r="G49" s="103"/>
    </row>
    <row r="50" spans="2:8" ht="15" thickBot="1" x14ac:dyDescent="0.3">
      <c r="B50" s="16" t="s">
        <v>217</v>
      </c>
      <c r="C50" s="15"/>
      <c r="D50" s="15"/>
      <c r="E50" s="15"/>
      <c r="F50" s="15"/>
      <c r="G50" s="15"/>
      <c r="H50" s="15"/>
    </row>
    <row r="51" spans="2:8" ht="15" thickBot="1" x14ac:dyDescent="0.3"/>
    <row r="52" spans="2:8" ht="15" x14ac:dyDescent="0.25">
      <c r="B52" s="185" t="s">
        <v>218</v>
      </c>
      <c r="C52" s="186"/>
      <c r="D52" s="186"/>
      <c r="E52" s="186"/>
      <c r="F52" s="186"/>
      <c r="G52" s="187"/>
      <c r="H52"/>
    </row>
    <row r="53" spans="2:8" ht="15" x14ac:dyDescent="0.25">
      <c r="B53" s="107"/>
      <c r="C53" s="103"/>
      <c r="D53" s="103"/>
      <c r="E53" s="103"/>
      <c r="F53" s="103"/>
      <c r="G53" s="108"/>
      <c r="H53"/>
    </row>
    <row r="54" spans="2:8" ht="15" x14ac:dyDescent="0.25">
      <c r="B54" s="109" t="s">
        <v>224</v>
      </c>
      <c r="C54" s="101" t="s">
        <v>171</v>
      </c>
      <c r="D54" s="105"/>
      <c r="E54" s="103"/>
      <c r="F54" s="103"/>
      <c r="G54" s="108"/>
      <c r="H54"/>
    </row>
    <row r="55" spans="2:8" ht="15" x14ac:dyDescent="0.25">
      <c r="B55" s="109" t="s">
        <v>242</v>
      </c>
      <c r="C55" s="101" t="s">
        <v>243</v>
      </c>
      <c r="D55" s="105"/>
      <c r="E55" s="106"/>
      <c r="F55" s="103"/>
      <c r="G55" s="108"/>
    </row>
    <row r="56" spans="2:8" x14ac:dyDescent="0.25">
      <c r="B56" s="109" t="s">
        <v>219</v>
      </c>
      <c r="C56" s="101">
        <v>28</v>
      </c>
      <c r="D56" s="105" t="s">
        <v>215</v>
      </c>
      <c r="E56" s="103"/>
      <c r="F56" s="103"/>
      <c r="G56" s="108"/>
    </row>
    <row r="57" spans="2:8" x14ac:dyDescent="0.25">
      <c r="B57" s="109" t="s">
        <v>220</v>
      </c>
      <c r="C57" s="101">
        <v>0.6</v>
      </c>
      <c r="D57" s="105" t="s">
        <v>135</v>
      </c>
      <c r="E57" s="103"/>
      <c r="F57" s="103"/>
      <c r="G57" s="108"/>
    </row>
    <row r="58" spans="2:8" ht="15" customHeight="1" x14ac:dyDescent="0.25">
      <c r="B58" s="109" t="s">
        <v>221</v>
      </c>
      <c r="C58" s="101">
        <v>500</v>
      </c>
      <c r="D58" s="105" t="s">
        <v>144</v>
      </c>
      <c r="E58" s="191" t="s">
        <v>263</v>
      </c>
      <c r="F58" s="192">
        <v>3</v>
      </c>
      <c r="G58" s="108"/>
    </row>
    <row r="59" spans="2:8" x14ac:dyDescent="0.25">
      <c r="B59" s="109" t="s">
        <v>222</v>
      </c>
      <c r="C59" s="118" t="s">
        <v>223</v>
      </c>
      <c r="D59" s="105"/>
      <c r="E59" s="191"/>
      <c r="F59" s="192"/>
      <c r="G59" s="108"/>
    </row>
    <row r="60" spans="2:8" x14ac:dyDescent="0.25">
      <c r="B60" s="107"/>
      <c r="C60" s="103"/>
      <c r="D60" s="103"/>
      <c r="E60" s="103"/>
      <c r="F60" s="103"/>
      <c r="G60" s="108"/>
    </row>
    <row r="61" spans="2:8" x14ac:dyDescent="0.25">
      <c r="B61" s="110" t="s">
        <v>6</v>
      </c>
      <c r="C61" s="104" t="s">
        <v>203</v>
      </c>
      <c r="D61" s="104" t="s">
        <v>204</v>
      </c>
      <c r="E61" s="104" t="s">
        <v>205</v>
      </c>
      <c r="F61" s="104" t="s">
        <v>98</v>
      </c>
      <c r="G61" s="111" t="s">
        <v>206</v>
      </c>
    </row>
    <row r="62" spans="2:8" x14ac:dyDescent="0.25">
      <c r="B62" s="117" t="s">
        <v>239</v>
      </c>
      <c r="C62" s="112"/>
      <c r="D62" s="112"/>
      <c r="E62" s="113">
        <v>2</v>
      </c>
      <c r="F62" s="114">
        <v>2500</v>
      </c>
      <c r="G62" s="115">
        <f>E62*F62</f>
        <v>5000</v>
      </c>
    </row>
    <row r="63" spans="2:8" x14ac:dyDescent="0.25">
      <c r="B63" s="117" t="s">
        <v>236</v>
      </c>
      <c r="C63" s="112"/>
      <c r="D63" s="112"/>
      <c r="E63" s="113"/>
      <c r="F63" s="114"/>
      <c r="G63" s="115">
        <f t="shared" ref="G63:G67" si="3">E63*F63</f>
        <v>0</v>
      </c>
    </row>
    <row r="64" spans="2:8" x14ac:dyDescent="0.25">
      <c r="B64" s="117" t="s">
        <v>237</v>
      </c>
      <c r="C64" s="112"/>
      <c r="D64" s="112"/>
      <c r="E64" s="113"/>
      <c r="F64" s="114"/>
      <c r="G64" s="115">
        <f t="shared" si="3"/>
        <v>0</v>
      </c>
    </row>
    <row r="65" spans="2:7" x14ac:dyDescent="0.25">
      <c r="B65" s="117" t="s">
        <v>225</v>
      </c>
      <c r="C65" s="112"/>
      <c r="D65" s="112"/>
      <c r="E65" s="113">
        <v>2</v>
      </c>
      <c r="F65" s="114">
        <v>250</v>
      </c>
      <c r="G65" s="115">
        <f t="shared" si="3"/>
        <v>500</v>
      </c>
    </row>
    <row r="66" spans="2:7" x14ac:dyDescent="0.25">
      <c r="B66" s="117" t="s">
        <v>29</v>
      </c>
      <c r="C66" s="112"/>
      <c r="D66" s="112"/>
      <c r="E66" s="113">
        <v>1</v>
      </c>
      <c r="F66" s="114">
        <v>500</v>
      </c>
      <c r="G66" s="115">
        <f t="shared" si="3"/>
        <v>500</v>
      </c>
    </row>
    <row r="67" spans="2:7" x14ac:dyDescent="0.25">
      <c r="B67" s="117"/>
      <c r="C67" s="112"/>
      <c r="D67" s="112"/>
      <c r="E67" s="113"/>
      <c r="F67" s="114"/>
      <c r="G67" s="115">
        <f t="shared" si="3"/>
        <v>0</v>
      </c>
    </row>
    <row r="68" spans="2:7" ht="15" thickBot="1" x14ac:dyDescent="0.3">
      <c r="B68" s="188" t="s">
        <v>99</v>
      </c>
      <c r="C68" s="189"/>
      <c r="D68" s="189"/>
      <c r="E68" s="189"/>
      <c r="F68" s="190"/>
      <c r="G68" s="116">
        <f>SUM(G62:G67)</f>
        <v>6000</v>
      </c>
    </row>
    <row r="69" spans="2:7" ht="15" thickBot="1" x14ac:dyDescent="0.3"/>
    <row r="70" spans="2:7" x14ac:dyDescent="0.25">
      <c r="B70" s="185" t="s">
        <v>244</v>
      </c>
      <c r="C70" s="186"/>
      <c r="D70" s="186"/>
      <c r="E70" s="186"/>
      <c r="F70" s="186"/>
      <c r="G70" s="187"/>
    </row>
    <row r="71" spans="2:7" x14ac:dyDescent="0.25">
      <c r="B71" s="107"/>
      <c r="C71" s="103"/>
      <c r="D71" s="103"/>
      <c r="E71" s="103"/>
      <c r="F71" s="103"/>
      <c r="G71" s="108"/>
    </row>
    <row r="72" spans="2:7" x14ac:dyDescent="0.25">
      <c r="B72" s="109" t="s">
        <v>224</v>
      </c>
      <c r="C72" s="101" t="s">
        <v>172</v>
      </c>
      <c r="D72" s="105"/>
      <c r="E72" s="103"/>
      <c r="F72" s="103"/>
      <c r="G72" s="108"/>
    </row>
    <row r="73" spans="2:7" ht="15" x14ac:dyDescent="0.25">
      <c r="B73" s="109" t="s">
        <v>242</v>
      </c>
      <c r="C73" s="101" t="s">
        <v>245</v>
      </c>
      <c r="D73" s="105"/>
      <c r="E73" s="106"/>
      <c r="F73" s="103"/>
      <c r="G73" s="108"/>
    </row>
    <row r="74" spans="2:7" x14ac:dyDescent="0.25">
      <c r="B74" s="109" t="s">
        <v>219</v>
      </c>
      <c r="C74" s="101">
        <v>40</v>
      </c>
      <c r="D74" s="105" t="s">
        <v>215</v>
      </c>
      <c r="E74" s="103"/>
      <c r="F74" s="103"/>
      <c r="G74" s="108"/>
    </row>
    <row r="75" spans="2:7" x14ac:dyDescent="0.25">
      <c r="B75" s="109" t="s">
        <v>220</v>
      </c>
      <c r="C75" s="101">
        <v>0.3</v>
      </c>
      <c r="D75" s="105" t="s">
        <v>135</v>
      </c>
      <c r="E75" s="103"/>
      <c r="F75" s="103"/>
      <c r="G75" s="108"/>
    </row>
    <row r="76" spans="2:7" x14ac:dyDescent="0.25">
      <c r="B76" s="109" t="s">
        <v>221</v>
      </c>
      <c r="C76" s="101">
        <v>300</v>
      </c>
      <c r="D76" s="105" t="s">
        <v>144</v>
      </c>
      <c r="E76" s="191" t="s">
        <v>263</v>
      </c>
      <c r="F76" s="192">
        <v>3</v>
      </c>
      <c r="G76" s="108"/>
    </row>
    <row r="77" spans="2:7" x14ac:dyDescent="0.25">
      <c r="B77" s="109" t="s">
        <v>222</v>
      </c>
      <c r="C77" s="118" t="s">
        <v>223</v>
      </c>
      <c r="D77" s="105"/>
      <c r="E77" s="191"/>
      <c r="F77" s="192"/>
      <c r="G77" s="108"/>
    </row>
    <row r="78" spans="2:7" x14ac:dyDescent="0.25">
      <c r="B78" s="107"/>
      <c r="C78" s="103"/>
      <c r="D78" s="103"/>
      <c r="E78" s="103"/>
      <c r="F78" s="103"/>
      <c r="G78" s="108"/>
    </row>
    <row r="79" spans="2:7" x14ac:dyDescent="0.25">
      <c r="B79" s="110" t="s">
        <v>6</v>
      </c>
      <c r="C79" s="104" t="s">
        <v>203</v>
      </c>
      <c r="D79" s="104" t="s">
        <v>204</v>
      </c>
      <c r="E79" s="104" t="s">
        <v>205</v>
      </c>
      <c r="F79" s="104" t="s">
        <v>98</v>
      </c>
      <c r="G79" s="111" t="s">
        <v>206</v>
      </c>
    </row>
    <row r="80" spans="2:7" x14ac:dyDescent="0.25">
      <c r="B80" s="117" t="s">
        <v>239</v>
      </c>
      <c r="C80" s="112"/>
      <c r="D80" s="112"/>
      <c r="E80" s="113">
        <v>2</v>
      </c>
      <c r="F80" s="114">
        <v>1500</v>
      </c>
      <c r="G80" s="115">
        <f>E80*F80</f>
        <v>3000</v>
      </c>
    </row>
    <row r="81" spans="2:7" x14ac:dyDescent="0.25">
      <c r="B81" s="117" t="s">
        <v>236</v>
      </c>
      <c r="C81" s="112"/>
      <c r="D81" s="112"/>
      <c r="E81" s="113"/>
      <c r="F81" s="114"/>
      <c r="G81" s="115">
        <f t="shared" ref="G81:G85" si="4">E81*F81</f>
        <v>0</v>
      </c>
    </row>
    <row r="82" spans="2:7" x14ac:dyDescent="0.25">
      <c r="B82" s="117" t="s">
        <v>237</v>
      </c>
      <c r="C82" s="112"/>
      <c r="D82" s="112"/>
      <c r="E82" s="113"/>
      <c r="F82" s="114"/>
      <c r="G82" s="115">
        <f t="shared" si="4"/>
        <v>0</v>
      </c>
    </row>
    <row r="83" spans="2:7" x14ac:dyDescent="0.25">
      <c r="B83" s="117" t="s">
        <v>225</v>
      </c>
      <c r="C83" s="112"/>
      <c r="D83" s="112"/>
      <c r="E83" s="113">
        <v>2</v>
      </c>
      <c r="F83" s="114">
        <v>200</v>
      </c>
      <c r="G83" s="115">
        <f t="shared" si="4"/>
        <v>400</v>
      </c>
    </row>
    <row r="84" spans="2:7" x14ac:dyDescent="0.25">
      <c r="B84" s="117" t="s">
        <v>29</v>
      </c>
      <c r="C84" s="112"/>
      <c r="D84" s="112"/>
      <c r="E84" s="113">
        <v>1</v>
      </c>
      <c r="F84" s="114">
        <v>500</v>
      </c>
      <c r="G84" s="115">
        <f t="shared" si="4"/>
        <v>500</v>
      </c>
    </row>
    <row r="85" spans="2:7" x14ac:dyDescent="0.25">
      <c r="B85" s="117"/>
      <c r="C85" s="112"/>
      <c r="D85" s="112"/>
      <c r="E85" s="113"/>
      <c r="F85" s="114"/>
      <c r="G85" s="115">
        <f t="shared" si="4"/>
        <v>0</v>
      </c>
    </row>
    <row r="86" spans="2:7" ht="15" thickBot="1" x14ac:dyDescent="0.3">
      <c r="B86" s="188" t="s">
        <v>99</v>
      </c>
      <c r="C86" s="189"/>
      <c r="D86" s="189"/>
      <c r="E86" s="189"/>
      <c r="F86" s="190"/>
      <c r="G86" s="116">
        <f>SUM(G80:G85)</f>
        <v>3900</v>
      </c>
    </row>
    <row r="87" spans="2:7" ht="15" thickBot="1" x14ac:dyDescent="0.3"/>
    <row r="88" spans="2:7" x14ac:dyDescent="0.25">
      <c r="B88" s="185" t="s">
        <v>246</v>
      </c>
      <c r="C88" s="186"/>
      <c r="D88" s="186"/>
      <c r="E88" s="186"/>
      <c r="F88" s="186"/>
      <c r="G88" s="187"/>
    </row>
    <row r="89" spans="2:7" x14ac:dyDescent="0.25">
      <c r="B89" s="107"/>
      <c r="C89" s="103"/>
      <c r="D89" s="103"/>
      <c r="E89" s="103"/>
      <c r="F89" s="103"/>
      <c r="G89" s="108"/>
    </row>
    <row r="90" spans="2:7" x14ac:dyDescent="0.25">
      <c r="B90" s="109" t="s">
        <v>224</v>
      </c>
      <c r="C90" s="101" t="s">
        <v>77</v>
      </c>
      <c r="D90" s="105"/>
      <c r="E90" s="103"/>
      <c r="F90" s="103"/>
      <c r="G90" s="108"/>
    </row>
    <row r="91" spans="2:7" ht="15" x14ac:dyDescent="0.25">
      <c r="B91" s="109" t="s">
        <v>242</v>
      </c>
      <c r="C91" s="101" t="s">
        <v>193</v>
      </c>
      <c r="D91" s="105"/>
      <c r="E91" s="106"/>
      <c r="F91" s="103"/>
      <c r="G91" s="108"/>
    </row>
    <row r="92" spans="2:7" x14ac:dyDescent="0.25">
      <c r="B92" s="109" t="s">
        <v>219</v>
      </c>
      <c r="C92" s="101" t="s">
        <v>193</v>
      </c>
      <c r="D92" s="105" t="s">
        <v>215</v>
      </c>
      <c r="E92" s="103"/>
      <c r="F92" s="103"/>
      <c r="G92" s="108"/>
    </row>
    <row r="93" spans="2:7" x14ac:dyDescent="0.25">
      <c r="B93" s="109" t="s">
        <v>220</v>
      </c>
      <c r="C93" s="101" t="s">
        <v>193</v>
      </c>
      <c r="D93" s="105" t="s">
        <v>135</v>
      </c>
      <c r="E93" s="103"/>
      <c r="F93" s="103"/>
      <c r="G93" s="108"/>
    </row>
    <row r="94" spans="2:7" x14ac:dyDescent="0.25">
      <c r="B94" s="109" t="s">
        <v>221</v>
      </c>
      <c r="C94" s="101">
        <v>1000</v>
      </c>
      <c r="D94" s="105" t="s">
        <v>144</v>
      </c>
      <c r="E94" s="191" t="s">
        <v>263</v>
      </c>
      <c r="F94" s="192">
        <v>1</v>
      </c>
      <c r="G94" s="108"/>
    </row>
    <row r="95" spans="2:7" x14ac:dyDescent="0.25">
      <c r="B95" s="109" t="s">
        <v>222</v>
      </c>
      <c r="C95" s="118" t="s">
        <v>223</v>
      </c>
      <c r="D95" s="105"/>
      <c r="E95" s="191"/>
      <c r="F95" s="192"/>
      <c r="G95" s="108"/>
    </row>
    <row r="96" spans="2:7" x14ac:dyDescent="0.25">
      <c r="B96" s="107"/>
      <c r="C96" s="103"/>
      <c r="D96" s="103"/>
      <c r="E96" s="103"/>
      <c r="F96" s="103"/>
      <c r="G96" s="108"/>
    </row>
    <row r="97" spans="2:7" x14ac:dyDescent="0.25">
      <c r="B97" s="110" t="s">
        <v>6</v>
      </c>
      <c r="C97" s="104" t="s">
        <v>203</v>
      </c>
      <c r="D97" s="104" t="s">
        <v>204</v>
      </c>
      <c r="E97" s="104" t="s">
        <v>205</v>
      </c>
      <c r="F97" s="104" t="s">
        <v>98</v>
      </c>
      <c r="G97" s="111" t="s">
        <v>206</v>
      </c>
    </row>
    <row r="98" spans="2:7" x14ac:dyDescent="0.25">
      <c r="B98" s="117" t="s">
        <v>247</v>
      </c>
      <c r="C98" s="112"/>
      <c r="D98" s="112"/>
      <c r="E98" s="113">
        <v>1</v>
      </c>
      <c r="F98" s="114">
        <v>350</v>
      </c>
      <c r="G98" s="115">
        <f>E98*F98</f>
        <v>350</v>
      </c>
    </row>
    <row r="99" spans="2:7" x14ac:dyDescent="0.25">
      <c r="B99" s="117" t="s">
        <v>248</v>
      </c>
      <c r="C99" s="112"/>
      <c r="D99" s="112"/>
      <c r="E99" s="113">
        <v>1</v>
      </c>
      <c r="F99" s="114">
        <v>100</v>
      </c>
      <c r="G99" s="115">
        <f t="shared" ref="G99:G100" si="5">E99*F99</f>
        <v>100</v>
      </c>
    </row>
    <row r="100" spans="2:7" x14ac:dyDescent="0.25">
      <c r="B100" s="117"/>
      <c r="C100" s="112"/>
      <c r="D100" s="112"/>
      <c r="E100" s="113"/>
      <c r="F100" s="114"/>
      <c r="G100" s="115">
        <f t="shared" si="5"/>
        <v>0</v>
      </c>
    </row>
    <row r="101" spans="2:7" ht="15" thickBot="1" x14ac:dyDescent="0.3">
      <c r="B101" s="188" t="s">
        <v>99</v>
      </c>
      <c r="C101" s="189"/>
      <c r="D101" s="189"/>
      <c r="E101" s="189"/>
      <c r="F101" s="190"/>
      <c r="G101" s="116">
        <f>SUM(G98:G100)</f>
        <v>450</v>
      </c>
    </row>
    <row r="102" spans="2:7" ht="15" thickBot="1" x14ac:dyDescent="0.3"/>
    <row r="103" spans="2:7" x14ac:dyDescent="0.25">
      <c r="B103" s="185" t="s">
        <v>249</v>
      </c>
      <c r="C103" s="186"/>
      <c r="D103" s="186"/>
      <c r="E103" s="186"/>
      <c r="F103" s="186"/>
      <c r="G103" s="187"/>
    </row>
    <row r="104" spans="2:7" x14ac:dyDescent="0.25">
      <c r="B104" s="107"/>
      <c r="C104" s="103"/>
      <c r="D104" s="103"/>
      <c r="E104" s="103"/>
      <c r="F104" s="103"/>
      <c r="G104" s="108"/>
    </row>
    <row r="105" spans="2:7" x14ac:dyDescent="0.25">
      <c r="B105" s="109" t="s">
        <v>224</v>
      </c>
      <c r="C105" s="101" t="s">
        <v>76</v>
      </c>
      <c r="D105" s="105"/>
      <c r="E105" s="103"/>
      <c r="F105" s="103"/>
      <c r="G105" s="108"/>
    </row>
    <row r="106" spans="2:7" ht="15" x14ac:dyDescent="0.25">
      <c r="B106" s="109" t="s">
        <v>242</v>
      </c>
      <c r="C106" s="101" t="s">
        <v>250</v>
      </c>
      <c r="D106" s="105"/>
      <c r="E106" s="106"/>
      <c r="F106" s="103"/>
      <c r="G106" s="108"/>
    </row>
    <row r="107" spans="2:7" x14ac:dyDescent="0.25">
      <c r="B107" s="109" t="s">
        <v>219</v>
      </c>
      <c r="C107" s="101" t="s">
        <v>193</v>
      </c>
      <c r="D107" s="105" t="s">
        <v>215</v>
      </c>
      <c r="E107" s="103"/>
      <c r="F107" s="103"/>
      <c r="G107" s="108"/>
    </row>
    <row r="108" spans="2:7" x14ac:dyDescent="0.25">
      <c r="B108" s="109" t="s">
        <v>220</v>
      </c>
      <c r="C108" s="101">
        <v>1.2</v>
      </c>
      <c r="D108" s="105" t="s">
        <v>135</v>
      </c>
      <c r="E108" s="103"/>
      <c r="F108" s="103"/>
      <c r="G108" s="108"/>
    </row>
    <row r="109" spans="2:7" x14ac:dyDescent="0.25">
      <c r="B109" s="109" t="s">
        <v>221</v>
      </c>
      <c r="C109" s="101" t="s">
        <v>193</v>
      </c>
      <c r="D109" s="105" t="s">
        <v>144</v>
      </c>
      <c r="E109" s="191" t="s">
        <v>263</v>
      </c>
      <c r="F109" s="192">
        <v>2</v>
      </c>
      <c r="G109" s="108"/>
    </row>
    <row r="110" spans="2:7" x14ac:dyDescent="0.25">
      <c r="B110" s="109" t="s">
        <v>222</v>
      </c>
      <c r="C110" s="118" t="s">
        <v>193</v>
      </c>
      <c r="D110" s="105"/>
      <c r="E110" s="191"/>
      <c r="F110" s="192"/>
      <c r="G110" s="108"/>
    </row>
    <row r="111" spans="2:7" x14ac:dyDescent="0.25">
      <c r="B111" s="107"/>
      <c r="C111" s="103"/>
      <c r="D111" s="103"/>
      <c r="E111" s="103"/>
      <c r="F111" s="103"/>
      <c r="G111" s="108"/>
    </row>
    <row r="112" spans="2:7" x14ac:dyDescent="0.25">
      <c r="B112" s="110" t="s">
        <v>6</v>
      </c>
      <c r="C112" s="104" t="s">
        <v>203</v>
      </c>
      <c r="D112" s="104" t="s">
        <v>204</v>
      </c>
      <c r="E112" s="104" t="s">
        <v>205</v>
      </c>
      <c r="F112" s="104" t="s">
        <v>98</v>
      </c>
      <c r="G112" s="111" t="s">
        <v>206</v>
      </c>
    </row>
    <row r="113" spans="2:7" x14ac:dyDescent="0.25">
      <c r="B113" s="117" t="s">
        <v>251</v>
      </c>
      <c r="C113" s="112"/>
      <c r="D113" s="112"/>
      <c r="E113" s="113">
        <v>1</v>
      </c>
      <c r="F113" s="114">
        <v>2300</v>
      </c>
      <c r="G113" s="115">
        <f>E113*F113</f>
        <v>2300</v>
      </c>
    </row>
    <row r="114" spans="2:7" x14ac:dyDescent="0.25">
      <c r="B114" s="117" t="s">
        <v>252</v>
      </c>
      <c r="C114" s="112"/>
      <c r="D114" s="112"/>
      <c r="E114" s="113">
        <v>1</v>
      </c>
      <c r="F114" s="114">
        <v>300</v>
      </c>
      <c r="G114" s="115">
        <f t="shared" ref="G114:G116" si="6">E114*F114</f>
        <v>300</v>
      </c>
    </row>
    <row r="115" spans="2:7" x14ac:dyDescent="0.25">
      <c r="B115" s="117" t="s">
        <v>29</v>
      </c>
      <c r="C115" s="112"/>
      <c r="D115" s="112"/>
      <c r="E115" s="113">
        <v>1</v>
      </c>
      <c r="F115" s="114">
        <v>500</v>
      </c>
      <c r="G115" s="115">
        <f t="shared" si="6"/>
        <v>500</v>
      </c>
    </row>
    <row r="116" spans="2:7" x14ac:dyDescent="0.25">
      <c r="B116" s="117"/>
      <c r="C116" s="112"/>
      <c r="D116" s="112"/>
      <c r="E116" s="113"/>
      <c r="F116" s="114"/>
      <c r="G116" s="115">
        <f t="shared" si="6"/>
        <v>0</v>
      </c>
    </row>
    <row r="117" spans="2:7" ht="15" thickBot="1" x14ac:dyDescent="0.3">
      <c r="B117" s="188" t="s">
        <v>99</v>
      </c>
      <c r="C117" s="189"/>
      <c r="D117" s="189"/>
      <c r="E117" s="189"/>
      <c r="F117" s="190"/>
      <c r="G117" s="116">
        <f>SUM(G113:G116)</f>
        <v>3100</v>
      </c>
    </row>
  </sheetData>
  <mergeCells count="22">
    <mergeCell ref="B117:F117"/>
    <mergeCell ref="E58:E59"/>
    <mergeCell ref="F58:F59"/>
    <mergeCell ref="E76:E77"/>
    <mergeCell ref="F76:F77"/>
    <mergeCell ref="E94:E95"/>
    <mergeCell ref="F94:F95"/>
    <mergeCell ref="E109:E110"/>
    <mergeCell ref="F109:F110"/>
    <mergeCell ref="B68:F68"/>
    <mergeCell ref="B70:G70"/>
    <mergeCell ref="B86:F86"/>
    <mergeCell ref="B88:G88"/>
    <mergeCell ref="B101:F101"/>
    <mergeCell ref="B103:G103"/>
    <mergeCell ref="B47:F47"/>
    <mergeCell ref="B52:G52"/>
    <mergeCell ref="B4:G4"/>
    <mergeCell ref="B17:F17"/>
    <mergeCell ref="B19:G19"/>
    <mergeCell ref="B32:F32"/>
    <mergeCell ref="B34:G34"/>
  </mergeCells>
  <dataValidations count="1">
    <dataValidation type="list" allowBlank="1" showInputMessage="1" showErrorMessage="1" sqref="C54 C72 C90 C105" xr:uid="{F5BD3E9A-33C7-4C47-8042-85AD6735F55F}">
      <formula1>"P2P MW Licensed, P2P MW Unlicensed, Fiber, VSAT"</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A3151-A275-47BC-803C-2FC56B4B6F05}">
  <dimension ref="B2:E24"/>
  <sheetViews>
    <sheetView showGridLines="0" workbookViewId="0">
      <selection activeCell="C25" sqref="C25"/>
    </sheetView>
  </sheetViews>
  <sheetFormatPr defaultRowHeight="15" x14ac:dyDescent="0.25"/>
  <cols>
    <col min="1" max="1" width="4.7109375" customWidth="1"/>
    <col min="2" max="2" width="32.85546875" bestFit="1" customWidth="1"/>
    <col min="3" max="3" width="38.85546875" customWidth="1"/>
    <col min="4" max="4" width="9.5703125" style="147" customWidth="1"/>
    <col min="5" max="5" width="33.85546875" customWidth="1"/>
  </cols>
  <sheetData>
    <row r="2" spans="2:5" x14ac:dyDescent="0.25">
      <c r="B2" s="24" t="s">
        <v>130</v>
      </c>
      <c r="C2" s="24" t="s">
        <v>133</v>
      </c>
      <c r="D2" s="24" t="s">
        <v>131</v>
      </c>
      <c r="E2" s="24" t="s">
        <v>132</v>
      </c>
    </row>
    <row r="3" spans="2:5" x14ac:dyDescent="0.25">
      <c r="B3" s="25" t="s">
        <v>78</v>
      </c>
      <c r="C3" s="149"/>
      <c r="D3" s="151"/>
      <c r="E3" s="150"/>
    </row>
    <row r="4" spans="2:5" ht="30" x14ac:dyDescent="0.25">
      <c r="B4" s="25" t="s">
        <v>107</v>
      </c>
      <c r="C4" s="149" t="s">
        <v>283</v>
      </c>
      <c r="D4" s="151"/>
      <c r="E4" s="150" t="s">
        <v>136</v>
      </c>
    </row>
    <row r="5" spans="2:5" ht="30" x14ac:dyDescent="0.25">
      <c r="B5" s="25" t="s">
        <v>105</v>
      </c>
      <c r="C5" s="149" t="s">
        <v>275</v>
      </c>
      <c r="D5" s="152"/>
      <c r="E5" s="149" t="s">
        <v>134</v>
      </c>
    </row>
    <row r="6" spans="2:5" ht="30" x14ac:dyDescent="0.25">
      <c r="B6" s="25" t="s">
        <v>127</v>
      </c>
      <c r="C6" s="149" t="s">
        <v>276</v>
      </c>
      <c r="D6" s="152" t="s">
        <v>135</v>
      </c>
      <c r="E6" s="149" t="s">
        <v>279</v>
      </c>
    </row>
    <row r="7" spans="2:5" ht="30" x14ac:dyDescent="0.25">
      <c r="B7" s="25" t="s">
        <v>180</v>
      </c>
      <c r="C7" s="149" t="s">
        <v>277</v>
      </c>
      <c r="D7" s="152" t="s">
        <v>135</v>
      </c>
      <c r="E7" s="149" t="s">
        <v>279</v>
      </c>
    </row>
    <row r="8" spans="2:5" ht="30" x14ac:dyDescent="0.25">
      <c r="B8" s="25" t="s">
        <v>181</v>
      </c>
      <c r="C8" s="149" t="s">
        <v>278</v>
      </c>
      <c r="D8" s="152" t="s">
        <v>135</v>
      </c>
      <c r="E8" s="149" t="s">
        <v>279</v>
      </c>
    </row>
    <row r="9" spans="2:5" ht="60" x14ac:dyDescent="0.25">
      <c r="B9" s="25" t="s">
        <v>106</v>
      </c>
      <c r="C9" s="149" t="s">
        <v>282</v>
      </c>
      <c r="D9" s="151"/>
      <c r="E9" s="150" t="s">
        <v>182</v>
      </c>
    </row>
    <row r="10" spans="2:5" ht="30" x14ac:dyDescent="0.25">
      <c r="B10" s="25" t="s">
        <v>108</v>
      </c>
      <c r="C10" s="149" t="s">
        <v>284</v>
      </c>
      <c r="D10" s="151"/>
      <c r="E10" s="150" t="s">
        <v>136</v>
      </c>
    </row>
    <row r="11" spans="2:5" ht="90" x14ac:dyDescent="0.25">
      <c r="B11" s="25" t="s">
        <v>126</v>
      </c>
      <c r="C11" s="149" t="s">
        <v>286</v>
      </c>
      <c r="D11" s="152"/>
      <c r="E11" s="149" t="s">
        <v>285</v>
      </c>
    </row>
    <row r="12" spans="2:5" ht="30" x14ac:dyDescent="0.25">
      <c r="B12" s="25" t="s">
        <v>158</v>
      </c>
      <c r="C12" s="149" t="s">
        <v>287</v>
      </c>
      <c r="D12" s="152" t="s">
        <v>274</v>
      </c>
      <c r="E12" s="149" t="s">
        <v>170</v>
      </c>
    </row>
    <row r="13" spans="2:5" ht="30" x14ac:dyDescent="0.25">
      <c r="B13" s="25" t="s">
        <v>51</v>
      </c>
      <c r="C13" s="149" t="s">
        <v>288</v>
      </c>
      <c r="D13" s="151" t="s">
        <v>137</v>
      </c>
      <c r="E13" s="150" t="s">
        <v>138</v>
      </c>
    </row>
    <row r="14" spans="2:5" ht="30" x14ac:dyDescent="0.25">
      <c r="B14" s="25" t="s">
        <v>73</v>
      </c>
      <c r="C14" s="149" t="s">
        <v>289</v>
      </c>
      <c r="D14" s="151" t="s">
        <v>137</v>
      </c>
      <c r="E14" s="150" t="s">
        <v>138</v>
      </c>
    </row>
    <row r="15" spans="2:5" ht="30" x14ac:dyDescent="0.25">
      <c r="B15" s="25" t="s">
        <v>103</v>
      </c>
      <c r="C15" s="149" t="s">
        <v>290</v>
      </c>
      <c r="D15" s="151" t="s">
        <v>139</v>
      </c>
      <c r="E15" s="150" t="s">
        <v>140</v>
      </c>
    </row>
    <row r="16" spans="2:5" ht="30" x14ac:dyDescent="0.25">
      <c r="B16" s="25" t="s">
        <v>112</v>
      </c>
      <c r="C16" s="149" t="s">
        <v>291</v>
      </c>
      <c r="D16" s="152"/>
      <c r="E16" s="149" t="s">
        <v>240</v>
      </c>
    </row>
    <row r="17" spans="2:5" ht="75" x14ac:dyDescent="0.25">
      <c r="B17" s="25" t="s">
        <v>185</v>
      </c>
      <c r="C17" s="149" t="s">
        <v>292</v>
      </c>
      <c r="D17" s="152"/>
      <c r="E17" s="149" t="s">
        <v>241</v>
      </c>
    </row>
    <row r="18" spans="2:5" ht="30" x14ac:dyDescent="0.25">
      <c r="B18" s="25" t="s">
        <v>113</v>
      </c>
      <c r="C18" s="149" t="s">
        <v>293</v>
      </c>
      <c r="D18" s="151" t="s">
        <v>137</v>
      </c>
      <c r="E18" s="150" t="s">
        <v>141</v>
      </c>
    </row>
    <row r="19" spans="2:5" ht="45" x14ac:dyDescent="0.25">
      <c r="B19" s="25" t="s">
        <v>128</v>
      </c>
      <c r="C19" s="149" t="s">
        <v>294</v>
      </c>
      <c r="D19" s="151" t="s">
        <v>142</v>
      </c>
      <c r="E19" s="150" t="s">
        <v>143</v>
      </c>
    </row>
    <row r="20" spans="2:5" x14ac:dyDescent="0.25">
      <c r="B20" s="25" t="s">
        <v>183</v>
      </c>
      <c r="C20" s="149" t="s">
        <v>295</v>
      </c>
      <c r="D20" s="151"/>
      <c r="E20" s="150" t="s">
        <v>184</v>
      </c>
    </row>
    <row r="21" spans="2:5" ht="30" x14ac:dyDescent="0.25">
      <c r="B21" s="25" t="s">
        <v>186</v>
      </c>
      <c r="C21" s="149" t="s">
        <v>296</v>
      </c>
      <c r="D21" s="151" t="s">
        <v>144</v>
      </c>
      <c r="E21" s="150"/>
    </row>
    <row r="22" spans="2:5" ht="45" x14ac:dyDescent="0.25">
      <c r="B22" s="25" t="s">
        <v>190</v>
      </c>
      <c r="C22" s="149" t="s">
        <v>297</v>
      </c>
      <c r="D22" s="151" t="s">
        <v>144</v>
      </c>
      <c r="E22" s="150"/>
    </row>
    <row r="23" spans="2:5" x14ac:dyDescent="0.25">
      <c r="B23" s="25" t="s">
        <v>114</v>
      </c>
      <c r="C23" s="149" t="s">
        <v>298</v>
      </c>
      <c r="D23" s="152"/>
      <c r="E23" s="149" t="s">
        <v>145</v>
      </c>
    </row>
    <row r="24" spans="2:5" ht="30" x14ac:dyDescent="0.25">
      <c r="B24" s="25" t="s">
        <v>123</v>
      </c>
      <c r="C24" s="149" t="s">
        <v>299</v>
      </c>
      <c r="D24" s="151" t="s">
        <v>146</v>
      </c>
      <c r="E24" s="150" t="s">
        <v>147</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27</vt:i4>
      </vt:variant>
    </vt:vector>
  </HeadingPairs>
  <TitlesOfParts>
    <vt:vector size="35" baseType="lpstr">
      <vt:lpstr>Cover</vt:lpstr>
      <vt:lpstr>Instructions</vt:lpstr>
      <vt:lpstr>Dashboard</vt:lpstr>
      <vt:lpstr>HLD</vt:lpstr>
      <vt:lpstr>CAPEX</vt:lpstr>
      <vt:lpstr>OPEX</vt:lpstr>
      <vt:lpstr>Site Configurations</vt:lpstr>
      <vt:lpstr>HLD Dictionary</vt:lpstr>
      <vt:lpstr>Analysis_Site</vt:lpstr>
      <vt:lpstr>Asset_Life</vt:lpstr>
      <vt:lpstr>BH_Config_1_CAPEX</vt:lpstr>
      <vt:lpstr>BH_Config_1_Eq_Count</vt:lpstr>
      <vt:lpstr>BH_Config_2_CAPEX</vt:lpstr>
      <vt:lpstr>BH_Config_2_Eq_Count</vt:lpstr>
      <vt:lpstr>BH_Config_3_CAPEX</vt:lpstr>
      <vt:lpstr>BH_Config_3_Eq_Count</vt:lpstr>
      <vt:lpstr>BH_Config_4_CAPEX</vt:lpstr>
      <vt:lpstr>BH_Config_4_Eq_Count</vt:lpstr>
      <vt:lpstr>Covered_Homes</vt:lpstr>
      <vt:lpstr>CPE_Subsidy</vt:lpstr>
      <vt:lpstr>EPC_Arch</vt:lpstr>
      <vt:lpstr>EPC_Deployment</vt:lpstr>
      <vt:lpstr>Hurdle_Rate</vt:lpstr>
      <vt:lpstr>N_Servers</vt:lpstr>
      <vt:lpstr>RAN_Config_1_CAPEX</vt:lpstr>
      <vt:lpstr>RAN_Config_1_Sectors</vt:lpstr>
      <vt:lpstr>RAN_Config_2_CAPEX</vt:lpstr>
      <vt:lpstr>RAN_Config_2_Sectors</vt:lpstr>
      <vt:lpstr>RAN_Config_3_CAPEX</vt:lpstr>
      <vt:lpstr>RAN_Config_3_Sectors</vt:lpstr>
      <vt:lpstr>RAN_Solution</vt:lpstr>
      <vt:lpstr>Scope</vt:lpstr>
      <vt:lpstr>Sys_Deployment</vt:lpstr>
      <vt:lpstr>Targets_Covered</vt:lpstr>
      <vt:lpstr>Tax_Rate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TeleworX</dc:creator>
  <cp:lastModifiedBy>Help</cp:lastModifiedBy>
  <dcterms:created xsi:type="dcterms:W3CDTF">2020-11-04T14:45:07Z</dcterms:created>
  <dcterms:modified xsi:type="dcterms:W3CDTF">2020-12-22T03:16:11Z</dcterms:modified>
</cp:coreProperties>
</file>