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zan\Desktop\MUSE\2o_cuatri\Estructuras\Trabajo3\"/>
    </mc:Choice>
  </mc:AlternateContent>
  <xr:revisionPtr revIDLastSave="0" documentId="13_ncr:1_{97A5BDA0-4D99-4350-8F00-A7EE4A106C76}" xr6:coauthVersionLast="45" xr6:coauthVersionMax="45" xr10:uidLastSave="{00000000-0000-0000-0000-000000000000}"/>
  <bookViews>
    <workbookView xWindow="-108" yWindow="-108" windowWidth="23256" windowHeight="12720" activeTab="1" xr2:uid="{1793B376-F026-4594-B537-472A1CD699EC}"/>
  </bookViews>
  <sheets>
    <sheet name="Ej1" sheetId="1" r:id="rId1"/>
    <sheet name="Ej2" sheetId="2" r:id="rId2"/>
  </sheets>
  <definedNames>
    <definedName name="c0">'Ej2'!$F$7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0" i="1" l="1"/>
  <c r="C20" i="1"/>
  <c r="B20" i="1"/>
  <c r="C22" i="1"/>
  <c r="D22" i="1"/>
  <c r="B26" i="1" l="1"/>
  <c r="G20" i="1"/>
  <c r="I3" i="1"/>
  <c r="F7" i="1"/>
  <c r="E7" i="1"/>
  <c r="E11" i="1"/>
  <c r="F14" i="1"/>
  <c r="B16" i="1"/>
  <c r="B15" i="1"/>
  <c r="B14" i="1"/>
  <c r="E20" i="1" l="1"/>
  <c r="C26" i="1" s="1"/>
  <c r="F20" i="1"/>
  <c r="D26" i="1" s="1"/>
  <c r="G8" i="1"/>
  <c r="G9" i="1"/>
  <c r="G10" i="1"/>
  <c r="G11" i="1"/>
  <c r="G12" i="1"/>
  <c r="G7" i="1"/>
  <c r="E26" i="1" l="1"/>
  <c r="G26" i="1" s="1"/>
  <c r="C28" i="1"/>
  <c r="C27" i="1"/>
  <c r="AE5" i="2"/>
  <c r="AF5" i="2"/>
  <c r="AE6" i="2"/>
  <c r="AF6" i="2"/>
  <c r="AE7" i="2"/>
  <c r="AF7" i="2"/>
  <c r="AE8" i="2"/>
  <c r="AF8" i="2"/>
  <c r="AE9" i="2"/>
  <c r="AF9" i="2"/>
  <c r="AE10" i="2"/>
  <c r="AF10" i="2"/>
  <c r="AE11" i="2"/>
  <c r="AF11" i="2"/>
  <c r="AE12" i="2"/>
  <c r="AF12" i="2"/>
  <c r="AE13" i="2"/>
  <c r="AF13" i="2"/>
  <c r="AE14" i="2"/>
  <c r="AF14" i="2"/>
  <c r="AE15" i="2"/>
  <c r="AF15" i="2"/>
  <c r="AE16" i="2"/>
  <c r="AF16" i="2"/>
  <c r="AE17" i="2"/>
  <c r="AF17" i="2"/>
  <c r="AE18" i="2"/>
  <c r="AF18" i="2"/>
  <c r="AE19" i="2"/>
  <c r="AF19" i="2"/>
  <c r="AE20" i="2"/>
  <c r="AF20" i="2"/>
  <c r="AE21" i="2"/>
  <c r="AF21" i="2"/>
  <c r="AE22" i="2"/>
  <c r="AF22" i="2"/>
  <c r="AE23" i="2"/>
  <c r="AF23" i="2"/>
  <c r="AE24" i="2"/>
  <c r="AF24" i="2"/>
  <c r="AE25" i="2"/>
  <c r="AF25" i="2"/>
  <c r="AE26" i="2"/>
  <c r="AF26" i="2"/>
  <c r="AE27" i="2"/>
  <c r="AF27" i="2"/>
  <c r="AE28" i="2"/>
  <c r="AF28" i="2"/>
  <c r="AE29" i="2"/>
  <c r="AF29" i="2"/>
  <c r="AE30" i="2"/>
  <c r="AF30" i="2"/>
  <c r="AE31" i="2"/>
  <c r="AF31" i="2"/>
  <c r="AE32" i="2"/>
  <c r="AF32" i="2"/>
  <c r="AF4" i="2"/>
  <c r="AE4" i="2"/>
  <c r="AB5" i="2"/>
  <c r="AC5" i="2"/>
  <c r="AB6" i="2"/>
  <c r="AC6" i="2"/>
  <c r="AB7" i="2"/>
  <c r="AC7" i="2"/>
  <c r="AB8" i="2"/>
  <c r="AC8" i="2"/>
  <c r="AB9" i="2"/>
  <c r="AC9" i="2"/>
  <c r="AB10" i="2"/>
  <c r="AC10" i="2"/>
  <c r="AB11" i="2"/>
  <c r="AC11" i="2"/>
  <c r="AB12" i="2"/>
  <c r="AC12" i="2"/>
  <c r="AB13" i="2"/>
  <c r="AC13" i="2"/>
  <c r="AB14" i="2"/>
  <c r="AC14" i="2"/>
  <c r="AB15" i="2"/>
  <c r="AC15" i="2"/>
  <c r="AB16" i="2"/>
  <c r="AC16" i="2"/>
  <c r="AB17" i="2"/>
  <c r="AC17" i="2"/>
  <c r="AB18" i="2"/>
  <c r="AC18" i="2"/>
  <c r="AB19" i="2"/>
  <c r="AC19" i="2"/>
  <c r="AB20" i="2"/>
  <c r="AC20" i="2"/>
  <c r="AB21" i="2"/>
  <c r="AC21" i="2"/>
  <c r="AB22" i="2"/>
  <c r="AC22" i="2"/>
  <c r="AB23" i="2"/>
  <c r="AC23" i="2"/>
  <c r="AB24" i="2"/>
  <c r="AC24" i="2"/>
  <c r="AB25" i="2"/>
  <c r="AC25" i="2"/>
  <c r="AB26" i="2"/>
  <c r="AC26" i="2"/>
  <c r="AB27" i="2"/>
  <c r="AC27" i="2"/>
  <c r="AB28" i="2"/>
  <c r="AC28" i="2"/>
  <c r="AB29" i="2"/>
  <c r="AC29" i="2"/>
  <c r="AB30" i="2"/>
  <c r="AC30" i="2"/>
  <c r="AB31" i="2"/>
  <c r="AC31" i="2"/>
  <c r="AB32" i="2"/>
  <c r="AC32" i="2"/>
  <c r="AC4" i="2"/>
  <c r="AB4" i="2"/>
  <c r="Y4" i="2"/>
  <c r="F26" i="1" l="1"/>
  <c r="B12" i="2"/>
  <c r="B20" i="2" s="1"/>
  <c r="F16" i="1" l="1"/>
  <c r="I30" i="2" l="1"/>
  <c r="L30" i="2" s="1"/>
  <c r="I29" i="2"/>
  <c r="L29" i="2" s="1"/>
  <c r="B16" i="2"/>
  <c r="D16" i="2"/>
  <c r="C16" i="2"/>
  <c r="C12" i="2"/>
  <c r="D12" i="2" s="1"/>
  <c r="L5" i="2"/>
  <c r="I7" i="2"/>
  <c r="L7" i="2" s="1"/>
  <c r="I8" i="2"/>
  <c r="L8" i="2" s="1"/>
  <c r="I9" i="2"/>
  <c r="L9" i="2" s="1"/>
  <c r="I10" i="2"/>
  <c r="L10" i="2" s="1"/>
  <c r="I11" i="2"/>
  <c r="L11" i="2" s="1"/>
  <c r="I12" i="2"/>
  <c r="L12" i="2" s="1"/>
  <c r="I13" i="2"/>
  <c r="L13" i="2" s="1"/>
  <c r="I14" i="2"/>
  <c r="L14" i="2" s="1"/>
  <c r="I15" i="2"/>
  <c r="L15" i="2" s="1"/>
  <c r="I16" i="2"/>
  <c r="L16" i="2" s="1"/>
  <c r="I17" i="2"/>
  <c r="L17" i="2" s="1"/>
  <c r="I18" i="2"/>
  <c r="L18" i="2" s="1"/>
  <c r="I19" i="2"/>
  <c r="L19" i="2" s="1"/>
  <c r="I20" i="2"/>
  <c r="L20" i="2" s="1"/>
  <c r="I21" i="2"/>
  <c r="L21" i="2" s="1"/>
  <c r="I22" i="2"/>
  <c r="L22" i="2" s="1"/>
  <c r="I23" i="2"/>
  <c r="L23" i="2" s="1"/>
  <c r="I24" i="2"/>
  <c r="L24" i="2" s="1"/>
  <c r="I25" i="2"/>
  <c r="L25" i="2" s="1"/>
  <c r="I26" i="2"/>
  <c r="L26" i="2" s="1"/>
  <c r="I27" i="2"/>
  <c r="L27" i="2" s="1"/>
  <c r="I28" i="2"/>
  <c r="L28" i="2" s="1"/>
  <c r="I31" i="2"/>
  <c r="L31" i="2" s="1"/>
  <c r="I32" i="2"/>
  <c r="L32" i="2" s="1"/>
  <c r="I6" i="2"/>
  <c r="L6" i="2" s="1"/>
  <c r="N6" i="2" s="1"/>
  <c r="L4" i="2"/>
  <c r="M9" i="2" l="1"/>
  <c r="O9" i="2" s="1"/>
  <c r="N4" i="2"/>
  <c r="M17" i="2"/>
  <c r="N27" i="2"/>
  <c r="M10" i="2"/>
  <c r="O10" i="2" s="1"/>
  <c r="M4" i="2"/>
  <c r="R10" i="2"/>
  <c r="R18" i="2"/>
  <c r="R26" i="2"/>
  <c r="R24" i="2"/>
  <c r="R11" i="2"/>
  <c r="R19" i="2"/>
  <c r="R27" i="2"/>
  <c r="R23" i="2"/>
  <c r="R12" i="2"/>
  <c r="R20" i="2"/>
  <c r="R28" i="2"/>
  <c r="R8" i="2"/>
  <c r="R5" i="2"/>
  <c r="R13" i="2"/>
  <c r="R21" i="2"/>
  <c r="R29" i="2"/>
  <c r="R31" i="2"/>
  <c r="AH34" i="2"/>
  <c r="R6" i="2"/>
  <c r="R14" i="2"/>
  <c r="R22" i="2"/>
  <c r="R30" i="2"/>
  <c r="R7" i="2"/>
  <c r="R32" i="2"/>
  <c r="R9" i="2"/>
  <c r="R17" i="2"/>
  <c r="R25" i="2"/>
  <c r="R4" i="2"/>
  <c r="R15" i="2"/>
  <c r="R16" i="2"/>
  <c r="M26" i="2"/>
  <c r="O26" i="2" s="1"/>
  <c r="M22" i="2"/>
  <c r="N11" i="2"/>
  <c r="N29" i="2"/>
  <c r="M25" i="2"/>
  <c r="O25" i="2" s="1"/>
  <c r="M16" i="2"/>
  <c r="M8" i="2"/>
  <c r="O8" i="2" s="1"/>
  <c r="M24" i="2"/>
  <c r="O24" i="2" s="1"/>
  <c r="M15" i="2"/>
  <c r="O15" i="2" s="1"/>
  <c r="M7" i="2"/>
  <c r="O7" i="2" s="1"/>
  <c r="M32" i="2"/>
  <c r="O32" i="2" s="1"/>
  <c r="M14" i="2"/>
  <c r="O14" i="2" s="1"/>
  <c r="M6" i="2"/>
  <c r="O6" i="2" s="1"/>
  <c r="M29" i="2"/>
  <c r="O29" i="2" s="1"/>
  <c r="M31" i="2"/>
  <c r="M21" i="2"/>
  <c r="O21" i="2" s="1"/>
  <c r="M13" i="2"/>
  <c r="O13" i="2" s="1"/>
  <c r="M5" i="2"/>
  <c r="O5" i="2" s="1"/>
  <c r="M30" i="2"/>
  <c r="M20" i="2"/>
  <c r="O20" i="2" s="1"/>
  <c r="M12" i="2"/>
  <c r="O12" i="2" s="1"/>
  <c r="AG8" i="2"/>
  <c r="AD11" i="2"/>
  <c r="AG16" i="2"/>
  <c r="AD19" i="2"/>
  <c r="AG24" i="2"/>
  <c r="AD27" i="2"/>
  <c r="AG32" i="2"/>
  <c r="AD5" i="2"/>
  <c r="AG10" i="2"/>
  <c r="AG18" i="2"/>
  <c r="AD6" i="2"/>
  <c r="AG11" i="2"/>
  <c r="AD14" i="2"/>
  <c r="AG19" i="2"/>
  <c r="AD22" i="2"/>
  <c r="AG27" i="2"/>
  <c r="AD30" i="2"/>
  <c r="C20" i="2"/>
  <c r="AG6" i="2"/>
  <c r="AD9" i="2"/>
  <c r="AG14" i="2"/>
  <c r="AD17" i="2"/>
  <c r="AG22" i="2"/>
  <c r="AD25" i="2"/>
  <c r="AG30" i="2"/>
  <c r="AG9" i="2"/>
  <c r="AD12" i="2"/>
  <c r="AG17" i="2"/>
  <c r="AD20" i="2"/>
  <c r="AG25" i="2"/>
  <c r="AD28" i="2"/>
  <c r="AD4" i="2"/>
  <c r="AD7" i="2"/>
  <c r="AG12" i="2"/>
  <c r="AD15" i="2"/>
  <c r="AG20" i="2"/>
  <c r="AD23" i="2"/>
  <c r="AG28" i="2"/>
  <c r="AD31" i="2"/>
  <c r="AG4" i="2"/>
  <c r="AD29" i="2"/>
  <c r="AG7" i="2"/>
  <c r="AD10" i="2"/>
  <c r="AG15" i="2"/>
  <c r="AD18" i="2"/>
  <c r="AG23" i="2"/>
  <c r="AD26" i="2"/>
  <c r="AG31" i="2"/>
  <c r="AD13" i="2"/>
  <c r="AD21" i="2"/>
  <c r="AG5" i="2"/>
  <c r="AD8" i="2"/>
  <c r="AG13" i="2"/>
  <c r="AD16" i="2"/>
  <c r="AG21" i="2"/>
  <c r="AD24" i="2"/>
  <c r="AG29" i="2"/>
  <c r="AD32" i="2"/>
  <c r="AG26" i="2"/>
  <c r="M28" i="2"/>
  <c r="M19" i="2"/>
  <c r="O19" i="2" s="1"/>
  <c r="M11" i="2"/>
  <c r="O11" i="2" s="1"/>
  <c r="M23" i="2"/>
  <c r="O23" i="2" s="1"/>
  <c r="O30" i="2"/>
  <c r="O4" i="2"/>
  <c r="M27" i="2"/>
  <c r="O27" i="2" s="1"/>
  <c r="M18" i="2"/>
  <c r="N17" i="2"/>
  <c r="O17" i="2"/>
  <c r="N25" i="2"/>
  <c r="O16" i="2"/>
  <c r="N16" i="2"/>
  <c r="N15" i="2"/>
  <c r="N24" i="2"/>
  <c r="N8" i="2"/>
  <c r="N23" i="2"/>
  <c r="N7" i="2"/>
  <c r="O31" i="2"/>
  <c r="N31" i="2"/>
  <c r="N14" i="2"/>
  <c r="N20" i="2"/>
  <c r="N12" i="2"/>
  <c r="N32" i="2"/>
  <c r="O22" i="2"/>
  <c r="N22" i="2"/>
  <c r="O28" i="2"/>
  <c r="N28" i="2"/>
  <c r="N26" i="2"/>
  <c r="N18" i="2"/>
  <c r="O18" i="2"/>
  <c r="N10" i="2"/>
  <c r="N9" i="2"/>
  <c r="N30" i="2"/>
  <c r="N21" i="2"/>
  <c r="N13" i="2"/>
  <c r="N5" i="2"/>
  <c r="N19" i="2"/>
  <c r="B27" i="1"/>
  <c r="B28" i="1"/>
  <c r="B29" i="1"/>
  <c r="B30" i="1"/>
  <c r="B31" i="1"/>
  <c r="F15" i="1"/>
  <c r="F8" i="1"/>
  <c r="F9" i="1"/>
  <c r="F10" i="1"/>
  <c r="F11" i="1"/>
  <c r="F12" i="1"/>
  <c r="E8" i="1"/>
  <c r="E9" i="1"/>
  <c r="E10" i="1"/>
  <c r="E12" i="1"/>
  <c r="D27" i="1" l="1"/>
  <c r="AH10" i="2"/>
  <c r="AI10" i="2"/>
  <c r="AH26" i="2"/>
  <c r="AI26" i="2"/>
  <c r="AI5" i="2"/>
  <c r="AH5" i="2"/>
  <c r="AH6" i="2"/>
  <c r="AI6" i="2"/>
  <c r="AI16" i="2"/>
  <c r="AH16" i="2"/>
  <c r="AI12" i="2"/>
  <c r="AH12" i="2"/>
  <c r="AH8" i="2"/>
  <c r="AI8" i="2"/>
  <c r="AH31" i="2"/>
  <c r="AI31" i="2"/>
  <c r="AI4" i="2"/>
  <c r="AH4" i="2"/>
  <c r="AI27" i="2"/>
  <c r="AH27" i="2"/>
  <c r="AH30" i="2"/>
  <c r="AI30" i="2"/>
  <c r="AI21" i="2"/>
  <c r="AH21" i="2"/>
  <c r="AH22" i="2"/>
  <c r="AI22" i="2"/>
  <c r="AH32" i="2"/>
  <c r="AI32" i="2"/>
  <c r="AH9" i="2"/>
  <c r="AI9" i="2"/>
  <c r="AH23" i="2"/>
  <c r="AI23" i="2"/>
  <c r="AI28" i="2"/>
  <c r="AH28" i="2"/>
  <c r="AI25" i="2"/>
  <c r="AH25" i="2"/>
  <c r="AI19" i="2"/>
  <c r="AH19" i="2"/>
  <c r="AH18" i="2"/>
  <c r="AI18" i="2"/>
  <c r="AI29" i="2"/>
  <c r="AH29" i="2"/>
  <c r="AI13" i="2"/>
  <c r="AH13" i="2"/>
  <c r="AH14" i="2"/>
  <c r="AI14" i="2"/>
  <c r="AI24" i="2"/>
  <c r="AH24" i="2"/>
  <c r="AH7" i="2"/>
  <c r="AI7" i="2"/>
  <c r="AH15" i="2"/>
  <c r="AI15" i="2"/>
  <c r="AH20" i="2"/>
  <c r="AI20" i="2"/>
  <c r="AI17" i="2"/>
  <c r="AH17" i="2"/>
  <c r="AI11" i="2"/>
  <c r="AH11" i="2"/>
  <c r="AA6" i="2"/>
  <c r="AA14" i="2"/>
  <c r="AA22" i="2"/>
  <c r="AA30" i="2"/>
  <c r="X8" i="2"/>
  <c r="X16" i="2"/>
  <c r="X24" i="2"/>
  <c r="X32" i="2"/>
  <c r="AA32" i="2"/>
  <c r="X22" i="2"/>
  <c r="AA9" i="2"/>
  <c r="AA17" i="2"/>
  <c r="AA25" i="2"/>
  <c r="X4" i="2"/>
  <c r="X9" i="2"/>
  <c r="X17" i="2"/>
  <c r="X25" i="2"/>
  <c r="AA8" i="2"/>
  <c r="AA16" i="2"/>
  <c r="AA24" i="2"/>
  <c r="X14" i="2"/>
  <c r="AA12" i="2"/>
  <c r="AA20" i="2"/>
  <c r="AA28" i="2"/>
  <c r="AA4" i="2"/>
  <c r="X10" i="2"/>
  <c r="X18" i="2"/>
  <c r="X26" i="2"/>
  <c r="AA7" i="2"/>
  <c r="AA15" i="2"/>
  <c r="AA23" i="2"/>
  <c r="AA31" i="2"/>
  <c r="X11" i="2"/>
  <c r="X19" i="2"/>
  <c r="X27" i="2"/>
  <c r="AA10" i="2"/>
  <c r="AA18" i="2"/>
  <c r="AA26" i="2"/>
  <c r="X12" i="2"/>
  <c r="X20" i="2"/>
  <c r="X28" i="2"/>
  <c r="AA5" i="2"/>
  <c r="AA13" i="2"/>
  <c r="AA21" i="2"/>
  <c r="AA29" i="2"/>
  <c r="X5" i="2"/>
  <c r="X13" i="2"/>
  <c r="X21" i="2"/>
  <c r="X29" i="2"/>
  <c r="X6" i="2"/>
  <c r="X30" i="2"/>
  <c r="AA11" i="2"/>
  <c r="AA19" i="2"/>
  <c r="AA27" i="2"/>
  <c r="X7" i="2"/>
  <c r="X15" i="2"/>
  <c r="X23" i="2"/>
  <c r="X31" i="2"/>
  <c r="D29" i="1" l="1"/>
  <c r="E27" i="1"/>
  <c r="G27" i="1" s="1"/>
  <c r="C29" i="1"/>
  <c r="C30" i="1"/>
  <c r="C31" i="1"/>
  <c r="Z20" i="2"/>
  <c r="Y20" i="2"/>
  <c r="Y32" i="2"/>
  <c r="Z32" i="2"/>
  <c r="Z23" i="2"/>
  <c r="Y23" i="2"/>
  <c r="Z29" i="2"/>
  <c r="Y29" i="2"/>
  <c r="Z28" i="2"/>
  <c r="Y28" i="2"/>
  <c r="Y11" i="2"/>
  <c r="Z11" i="2"/>
  <c r="Y25" i="2"/>
  <c r="Z25" i="2"/>
  <c r="Z13" i="2"/>
  <c r="Y13" i="2"/>
  <c r="Z12" i="2"/>
  <c r="Y12" i="2"/>
  <c r="T23" i="2"/>
  <c r="Y9" i="2"/>
  <c r="Z9" i="2"/>
  <c r="Y24" i="2"/>
  <c r="S24" i="2" s="1"/>
  <c r="U24" i="2" s="1"/>
  <c r="V24" i="2" s="1"/>
  <c r="Z24" i="2"/>
  <c r="D30" i="1"/>
  <c r="Z21" i="2"/>
  <c r="T21" i="2" s="1"/>
  <c r="Y21" i="2"/>
  <c r="S21" i="2" s="1"/>
  <c r="U21" i="2" s="1"/>
  <c r="V21" i="2" s="1"/>
  <c r="Y17" i="2"/>
  <c r="Z17" i="2"/>
  <c r="Z7" i="2"/>
  <c r="Y7" i="2"/>
  <c r="Z5" i="2"/>
  <c r="Y5" i="2"/>
  <c r="Z4" i="2"/>
  <c r="T4" i="2" s="1"/>
  <c r="S4" i="2"/>
  <c r="U4" i="2" s="1"/>
  <c r="Y16" i="2"/>
  <c r="Z16" i="2"/>
  <c r="D31" i="1"/>
  <c r="Z14" i="2"/>
  <c r="Y14" i="2"/>
  <c r="Y8" i="2"/>
  <c r="Z8" i="2"/>
  <c r="Z15" i="2"/>
  <c r="T15" i="2" s="1"/>
  <c r="Y15" i="2"/>
  <c r="S15" i="2" s="1"/>
  <c r="U15" i="2" s="1"/>
  <c r="V15" i="2" s="1"/>
  <c r="Y26" i="2"/>
  <c r="S26" i="2" s="1"/>
  <c r="U26" i="2" s="1"/>
  <c r="V26" i="2" s="1"/>
  <c r="Z26" i="2"/>
  <c r="Y18" i="2"/>
  <c r="S18" i="2" s="1"/>
  <c r="U18" i="2" s="1"/>
  <c r="V18" i="2" s="1"/>
  <c r="Z18" i="2"/>
  <c r="T31" i="2"/>
  <c r="Z30" i="2"/>
  <c r="Y30" i="2"/>
  <c r="S30" i="2" s="1"/>
  <c r="U30" i="2" s="1"/>
  <c r="V30" i="2" s="1"/>
  <c r="Z27" i="2"/>
  <c r="T27" i="2" s="1"/>
  <c r="Y27" i="2"/>
  <c r="S27" i="2" s="1"/>
  <c r="U27" i="2" s="1"/>
  <c r="V27" i="2" s="1"/>
  <c r="Y31" i="2"/>
  <c r="Z31" i="2"/>
  <c r="Z6" i="2"/>
  <c r="Y6" i="2"/>
  <c r="S6" i="2" s="1"/>
  <c r="U6" i="2" s="1"/>
  <c r="V6" i="2" s="1"/>
  <c r="Z19" i="2"/>
  <c r="T19" i="2" s="1"/>
  <c r="Y19" i="2"/>
  <c r="Y10" i="2"/>
  <c r="Z10" i="2"/>
  <c r="Z22" i="2"/>
  <c r="Y22" i="2"/>
  <c r="S22" i="2" s="1"/>
  <c r="U22" i="2" s="1"/>
  <c r="V22" i="2" s="1"/>
  <c r="D28" i="1"/>
  <c r="E28" i="1" s="1"/>
  <c r="G28" i="1" s="1"/>
  <c r="E29" i="1" l="1"/>
  <c r="F29" i="1" s="1"/>
  <c r="E31" i="1"/>
  <c r="G31" i="1" s="1"/>
  <c r="E30" i="1"/>
  <c r="G30" i="1" s="1"/>
  <c r="F27" i="1"/>
  <c r="T22" i="2"/>
  <c r="T28" i="2"/>
  <c r="T30" i="2"/>
  <c r="T7" i="2"/>
  <c r="T6" i="2"/>
  <c r="S25" i="2"/>
  <c r="U25" i="2" s="1"/>
  <c r="V25" i="2" s="1"/>
  <c r="T9" i="2"/>
  <c r="S10" i="2"/>
  <c r="U10" i="2" s="1"/>
  <c r="V10" i="2" s="1"/>
  <c r="S19" i="2"/>
  <c r="U19" i="2" s="1"/>
  <c r="V19" i="2" s="1"/>
  <c r="T18" i="2"/>
  <c r="S16" i="2"/>
  <c r="U16" i="2" s="1"/>
  <c r="V16" i="2" s="1"/>
  <c r="S17" i="2"/>
  <c r="U17" i="2" s="1"/>
  <c r="V17" i="2" s="1"/>
  <c r="S8" i="2"/>
  <c r="U8" i="2" s="1"/>
  <c r="V8" i="2" s="1"/>
  <c r="T16" i="2"/>
  <c r="T17" i="2"/>
  <c r="T12" i="2"/>
  <c r="S28" i="2"/>
  <c r="U28" i="2" s="1"/>
  <c r="V28" i="2" s="1"/>
  <c r="S13" i="2"/>
  <c r="U13" i="2" s="1"/>
  <c r="V13" i="2" s="1"/>
  <c r="V4" i="2"/>
  <c r="S5" i="2"/>
  <c r="U5" i="2" s="1"/>
  <c r="V5" i="2" s="1"/>
  <c r="S9" i="2"/>
  <c r="U9" i="2" s="1"/>
  <c r="V9" i="2" s="1"/>
  <c r="T13" i="2"/>
  <c r="T25" i="2"/>
  <c r="S29" i="2"/>
  <c r="U29" i="2" s="1"/>
  <c r="V29" i="2" s="1"/>
  <c r="T5" i="2"/>
  <c r="T29" i="2"/>
  <c r="T14" i="2"/>
  <c r="S23" i="2"/>
  <c r="U23" i="2" s="1"/>
  <c r="V23" i="2" s="1"/>
  <c r="T32" i="2"/>
  <c r="S32" i="2"/>
  <c r="U32" i="2" s="1"/>
  <c r="V32" i="2" s="1"/>
  <c r="S14" i="2"/>
  <c r="U14" i="2" s="1"/>
  <c r="V14" i="2" s="1"/>
  <c r="F28" i="1"/>
  <c r="T10" i="2"/>
  <c r="T26" i="2"/>
  <c r="S7" i="2"/>
  <c r="U7" i="2" s="1"/>
  <c r="V7" i="2" s="1"/>
  <c r="T11" i="2"/>
  <c r="S20" i="2"/>
  <c r="U20" i="2" s="1"/>
  <c r="V20" i="2" s="1"/>
  <c r="S31" i="2"/>
  <c r="U31" i="2" s="1"/>
  <c r="V31" i="2" s="1"/>
  <c r="T8" i="2"/>
  <c r="T24" i="2"/>
  <c r="S12" i="2"/>
  <c r="U12" i="2" s="1"/>
  <c r="V12" i="2" s="1"/>
  <c r="S11" i="2"/>
  <c r="U11" i="2" s="1"/>
  <c r="V11" i="2" s="1"/>
  <c r="T20" i="2"/>
  <c r="G29" i="1" l="1"/>
  <c r="G33" i="1" s="1"/>
  <c r="F31" i="1"/>
  <c r="F30" i="1"/>
  <c r="F33" i="1" l="1"/>
</calcChain>
</file>

<file path=xl/sharedStrings.xml><?xml version="1.0" encoding="utf-8"?>
<sst xmlns="http://schemas.openxmlformats.org/spreadsheetml/2006/main" count="94" uniqueCount="84">
  <si>
    <t>Xg [mm]</t>
  </si>
  <si>
    <t>yg [mm]</t>
  </si>
  <si>
    <t>zg [mm]</t>
  </si>
  <si>
    <t>X_i [m]</t>
  </si>
  <si>
    <t>Y_i [m]</t>
  </si>
  <si>
    <t>Z_i [m]</t>
  </si>
  <si>
    <t>X_i^2 [m^2]</t>
  </si>
  <si>
    <t>Y_i^2 [m^2]</t>
  </si>
  <si>
    <t>*A_i</t>
  </si>
  <si>
    <t>F_z [N]</t>
  </si>
  <si>
    <t>F_x [N]</t>
  </si>
  <si>
    <t>F_y [N]</t>
  </si>
  <si>
    <t>M [kg]</t>
  </si>
  <si>
    <t>omega [rpm]</t>
  </si>
  <si>
    <t>omega [rad/s]</t>
  </si>
  <si>
    <t>M_x [N·m]</t>
  </si>
  <si>
    <t>M_y [N·m]</t>
  </si>
  <si>
    <t>Centroide</t>
  </si>
  <si>
    <t>X_c [m]</t>
  </si>
  <si>
    <t>Y_c [m]</t>
  </si>
  <si>
    <t>Z_c [m]</t>
  </si>
  <si>
    <t>R_c,x [m]</t>
  </si>
  <si>
    <t>R_c,y [m]</t>
  </si>
  <si>
    <t>R_c,z [m]</t>
  </si>
  <si>
    <t>r [m]</t>
  </si>
  <si>
    <t>M_z [N·m]</t>
  </si>
  <si>
    <t>Fuerzas axiales sobre el muelle</t>
  </si>
  <si>
    <t>N_F_z_i [N]</t>
  </si>
  <si>
    <t>N_M_F_x [N]</t>
  </si>
  <si>
    <t>N_M_F_y [N]</t>
  </si>
  <si>
    <t>N_i [N]</t>
  </si>
  <si>
    <t>I_c,x [m^4]</t>
  </si>
  <si>
    <t>I_c,y [m^4]</t>
  </si>
  <si>
    <t>I_c,xy [m^4]</t>
  </si>
  <si>
    <t>k_max [N/m]</t>
  </si>
  <si>
    <t>k_min [N/m]</t>
  </si>
  <si>
    <t>1/3 octava</t>
  </si>
  <si>
    <t>Lower [Hz]</t>
  </si>
  <si>
    <t>Center [Hz]</t>
  </si>
  <si>
    <t>Upper [Hz]</t>
  </si>
  <si>
    <t>Δf [Hz]</t>
  </si>
  <si>
    <t>Placa</t>
  </si>
  <si>
    <t>Aire</t>
  </si>
  <si>
    <t>L [m]</t>
  </si>
  <si>
    <t>W [m]</t>
  </si>
  <si>
    <t>t [m]</t>
  </si>
  <si>
    <t>Densidad [kg/m^3]</t>
  </si>
  <si>
    <t>E [GPa]</t>
  </si>
  <si>
    <t>ν</t>
  </si>
  <si>
    <t>c_0 [m/s]</t>
  </si>
  <si>
    <t>V [m^3]</t>
  </si>
  <si>
    <t>A [m^2]</t>
  </si>
  <si>
    <t>D [N·m]</t>
  </si>
  <si>
    <t>A' [m^2]</t>
  </si>
  <si>
    <t>L' [m]</t>
  </si>
  <si>
    <t>n_p [modos/(rad/s)]</t>
  </si>
  <si>
    <t>n_a [modos/(rad/s)]</t>
  </si>
  <si>
    <t>Modos</t>
  </si>
  <si>
    <t>Aptdo. 2</t>
  </si>
  <si>
    <t>f_c [Hz]</t>
  </si>
  <si>
    <t>f_11 [Hz]</t>
  </si>
  <si>
    <t>f_11&lt;f_c/2</t>
  </si>
  <si>
    <t>¿f&lt;f_11?</t>
  </si>
  <si>
    <t>¿f_11&lt;f&lt;f_c/2?</t>
  </si>
  <si>
    <t>¿f_c/2&lt;f&lt;f_c?</t>
  </si>
  <si>
    <t>¿f_c&gt;f?</t>
  </si>
  <si>
    <t>σ_2</t>
  </si>
  <si>
    <t>λ</t>
  </si>
  <si>
    <t>P_1 &amp; P_3</t>
  </si>
  <si>
    <t>P_2</t>
  </si>
  <si>
    <t>σ_1_1</t>
  </si>
  <si>
    <t>σ_1_2</t>
  </si>
  <si>
    <t>σ_1_3</t>
  </si>
  <si>
    <t>σ_1_4</t>
  </si>
  <si>
    <t>σ_2_1</t>
  </si>
  <si>
    <t>σ_2_2</t>
  </si>
  <si>
    <t>σ_2_3</t>
  </si>
  <si>
    <t>σ_2_4</t>
  </si>
  <si>
    <t>σ_1 y σ_3</t>
  </si>
  <si>
    <t>Δx_max [mm]</t>
  </si>
  <si>
    <t>Δx_min [mm]</t>
  </si>
  <si>
    <t>Placa-aire</t>
  </si>
  <si>
    <t>Aire-placa</t>
  </si>
  <si>
    <r>
      <t xml:space="preserve">Rango de valores de </t>
    </r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[N/m]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</si>
</sst>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5" borderId="3" xfId="0" applyFill="1" applyBorder="1"/>
    <xf numFmtId="0" fontId="0" fillId="0" borderId="3" xfId="0" applyBorder="1"/>
    <xf numFmtId="0" fontId="0" fillId="5" borderId="2" xfId="0" applyFill="1" applyBorder="1"/>
    <xf numFmtId="0" fontId="0" fillId="0" borderId="2" xfId="0" applyBorder="1"/>
    <xf numFmtId="0" fontId="0" fillId="7" borderId="3" xfId="0" applyFill="1" applyBorder="1"/>
    <xf numFmtId="0" fontId="0" fillId="7" borderId="2" xfId="0" applyFill="1" applyBorder="1"/>
    <xf numFmtId="0" fontId="0" fillId="4" borderId="3" xfId="0" applyFill="1" applyBorder="1"/>
    <xf numFmtId="0" fontId="0" fillId="3" borderId="2" xfId="0" applyFill="1" applyBorder="1"/>
    <xf numFmtId="0" fontId="0" fillId="7" borderId="0" xfId="0" applyFill="1" applyBorder="1"/>
    <xf numFmtId="0" fontId="0" fillId="10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0" fillId="0" borderId="0" xfId="0" applyFill="1" applyBorder="1"/>
    <xf numFmtId="2" fontId="0" fillId="0" borderId="1" xfId="0" applyNumberFormat="1" applyBorder="1"/>
    <xf numFmtId="164" fontId="0" fillId="0" borderId="1" xfId="0" applyNumberFormat="1" applyBorder="1"/>
    <xf numFmtId="0" fontId="1" fillId="0" borderId="5" xfId="0" applyFont="1" applyFill="1" applyBorder="1"/>
    <xf numFmtId="0" fontId="1" fillId="0" borderId="1" xfId="0" applyFont="1" applyFill="1" applyBorder="1"/>
    <xf numFmtId="0" fontId="0" fillId="6" borderId="1" xfId="0" applyFill="1" applyBorder="1"/>
    <xf numFmtId="0" fontId="0" fillId="0" borderId="0" xfId="0" applyBorder="1"/>
    <xf numFmtId="0" fontId="1" fillId="0" borderId="6" xfId="0" applyFont="1" applyFill="1" applyBorder="1"/>
    <xf numFmtId="0" fontId="0" fillId="0" borderId="0" xfId="0" applyBorder="1" applyAlignment="1">
      <alignment horizontal="center"/>
    </xf>
    <xf numFmtId="166" fontId="0" fillId="0" borderId="0" xfId="0" applyNumberFormat="1"/>
    <xf numFmtId="165" fontId="0" fillId="0" borderId="1" xfId="0" applyNumberFormat="1" applyBorder="1"/>
    <xf numFmtId="164" fontId="0" fillId="0" borderId="2" xfId="0" applyNumberFormat="1" applyBorder="1"/>
    <xf numFmtId="2" fontId="0" fillId="6" borderId="3" xfId="0" applyNumberFormat="1" applyFill="1" applyBorder="1"/>
    <xf numFmtId="2" fontId="0" fillId="0" borderId="0" xfId="0" applyNumberFormat="1"/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5" borderId="1" xfId="0" applyFont="1" applyFill="1" applyBorder="1"/>
  </cellXfs>
  <cellStyles count="1">
    <cellStyle name="Normal" xfId="0" builtinId="0"/>
  </cellStyles>
  <dxfs count="4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>
                <a:latin typeface="Calibri" panose="020F0502020204030204" pitchFamily="34" charset="0"/>
                <a:cs typeface="Calibri" panose="020F0502020204030204" pitchFamily="34" charset="0"/>
              </a:rPr>
              <a:t>η</a:t>
            </a:r>
            <a:r>
              <a:rPr lang="es-ES">
                <a:latin typeface="Calibri" panose="020F0502020204030204" pitchFamily="34" charset="0"/>
                <a:cs typeface="Calibri" panose="020F0502020204030204" pitchFamily="34" charset="0"/>
              </a:rPr>
              <a:t>_ap</a:t>
            </a:r>
            <a:endParaRPr lang="es-E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'Ej2'!$V$3</c:f>
              <c:strCache>
                <c:ptCount val="1"/>
                <c:pt idx="0">
                  <c:v>Aire-placa</c:v>
                </c:pt>
              </c:strCache>
            </c:strRef>
          </c:tx>
          <c:marker>
            <c:symbol val="none"/>
          </c:marker>
          <c:xVal>
            <c:numRef>
              <c:f>'Ej2'!$J$4:$J$32</c:f>
              <c:numCache>
                <c:formatCode>General</c:formatCode>
                <c:ptCount val="29"/>
                <c:pt idx="0">
                  <c:v>16</c:v>
                </c:pt>
                <c:pt idx="1">
                  <c:v>20</c:v>
                </c:pt>
                <c:pt idx="2">
                  <c:v>25</c:v>
                </c:pt>
                <c:pt idx="3">
                  <c:v>31.5</c:v>
                </c:pt>
                <c:pt idx="4">
                  <c:v>40</c:v>
                </c:pt>
                <c:pt idx="5">
                  <c:v>50</c:v>
                </c:pt>
                <c:pt idx="6">
                  <c:v>63</c:v>
                </c:pt>
                <c:pt idx="7">
                  <c:v>80</c:v>
                </c:pt>
                <c:pt idx="8">
                  <c:v>100</c:v>
                </c:pt>
                <c:pt idx="9">
                  <c:v>125</c:v>
                </c:pt>
                <c:pt idx="10">
                  <c:v>160</c:v>
                </c:pt>
                <c:pt idx="11">
                  <c:v>200</c:v>
                </c:pt>
                <c:pt idx="12">
                  <c:v>250</c:v>
                </c:pt>
                <c:pt idx="13">
                  <c:v>315</c:v>
                </c:pt>
                <c:pt idx="14">
                  <c:v>400</c:v>
                </c:pt>
                <c:pt idx="15">
                  <c:v>500</c:v>
                </c:pt>
                <c:pt idx="16">
                  <c:v>630</c:v>
                </c:pt>
                <c:pt idx="17">
                  <c:v>800</c:v>
                </c:pt>
                <c:pt idx="18">
                  <c:v>1000</c:v>
                </c:pt>
                <c:pt idx="19">
                  <c:v>1250</c:v>
                </c:pt>
                <c:pt idx="20">
                  <c:v>1600</c:v>
                </c:pt>
                <c:pt idx="21">
                  <c:v>2000</c:v>
                </c:pt>
                <c:pt idx="22">
                  <c:v>2500</c:v>
                </c:pt>
                <c:pt idx="23">
                  <c:v>3150</c:v>
                </c:pt>
                <c:pt idx="24">
                  <c:v>4000</c:v>
                </c:pt>
                <c:pt idx="25">
                  <c:v>5000</c:v>
                </c:pt>
                <c:pt idx="26">
                  <c:v>6300</c:v>
                </c:pt>
                <c:pt idx="27">
                  <c:v>8000</c:v>
                </c:pt>
                <c:pt idx="28">
                  <c:v>10000</c:v>
                </c:pt>
              </c:numCache>
            </c:numRef>
          </c:xVal>
          <c:yVal>
            <c:numRef>
              <c:f>'Ej2'!$V$4:$V$32</c:f>
              <c:numCache>
                <c:formatCode>General</c:formatCode>
                <c:ptCount val="29"/>
                <c:pt idx="0">
                  <c:v>1.1038490391454844E-2</c:v>
                </c:pt>
                <c:pt idx="1">
                  <c:v>1.4832189005619759E-2</c:v>
                </c:pt>
                <c:pt idx="2">
                  <c:v>1.0765143926410819E-2</c:v>
                </c:pt>
                <c:pt idx="3">
                  <c:v>7.7385009458239788E-3</c:v>
                </c:pt>
                <c:pt idx="4">
                  <c:v>5.5112277651581821E-3</c:v>
                </c:pt>
                <c:pt idx="5">
                  <c:v>4.0193911054477493E-3</c:v>
                </c:pt>
                <c:pt idx="6">
                  <c:v>2.9015132887849696E-3</c:v>
                </c:pt>
                <c:pt idx="7">
                  <c:v>2.0729410668907161E-3</c:v>
                </c:pt>
                <c:pt idx="8">
                  <c:v>1.5142931293578832E-3</c:v>
                </c:pt>
                <c:pt idx="9">
                  <c:v>1.1058332096294022E-3</c:v>
                </c:pt>
                <c:pt idx="10">
                  <c:v>7.8047624099115E-4</c:v>
                </c:pt>
                <c:pt idx="11">
                  <c:v>5.692338354909949E-4</c:v>
                </c:pt>
                <c:pt idx="12">
                  <c:v>4.1506092984467557E-4</c:v>
                </c:pt>
                <c:pt idx="13">
                  <c:v>2.9944565042458151E-4</c:v>
                </c:pt>
                <c:pt idx="14">
                  <c:v>2.1422913655555104E-4</c:v>
                </c:pt>
                <c:pt idx="15">
                  <c:v>1.5753220248870389E-4</c:v>
                </c:pt>
                <c:pt idx="16">
                  <c:v>1.1580834568490781E-4</c:v>
                </c:pt>
                <c:pt idx="17">
                  <c:v>8.6059329591536867E-5</c:v>
                </c:pt>
                <c:pt idx="18">
                  <c:v>6.7583703530037239E-5</c:v>
                </c:pt>
                <c:pt idx="19">
                  <c:v>5.6715862672565566E-5</c:v>
                </c:pt>
                <c:pt idx="20">
                  <c:v>5.539438115497546E-5</c:v>
                </c:pt>
                <c:pt idx="21">
                  <c:v>8.4261293944029096E-5</c:v>
                </c:pt>
                <c:pt idx="22">
                  <c:v>7.1013365288067275E-4</c:v>
                </c:pt>
                <c:pt idx="23">
                  <c:v>1.3656091399834257E-4</c:v>
                </c:pt>
                <c:pt idx="24">
                  <c:v>5.5454604074983795E-5</c:v>
                </c:pt>
                <c:pt idx="25">
                  <c:v>2.6558863598796775E-5</c:v>
                </c:pt>
                <c:pt idx="26">
                  <c:v>1.2888498317800755E-5</c:v>
                </c:pt>
                <c:pt idx="27">
                  <c:v>6.2216040756783492E-6</c:v>
                </c:pt>
                <c:pt idx="28">
                  <c:v>3.1775390173147863E-6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AF-41F7-8AF6-224A2B09B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12096"/>
        <c:axId val="11894544"/>
      </c:scatterChart>
      <c:valAx>
        <c:axId val="156212096"/>
        <c:scaling>
          <c:logBase val="10"/>
          <c:orientation val="minMax"/>
          <c:max val="1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Frecuencia [Hz]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894544"/>
        <c:crossesAt val="1.0000000000000004E-6"/>
        <c:crossBetween val="midCat"/>
      </c:valAx>
      <c:valAx>
        <c:axId val="118945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Modos ( </a:t>
                </a:r>
                <a:r>
                  <a:rPr lang="es-ES" i="1"/>
                  <a:t>N</a:t>
                </a:r>
                <a:r>
                  <a:rPr lang="es-ES" i="1" baseline="0"/>
                  <a:t> </a:t>
                </a:r>
                <a:r>
                  <a:rPr lang="es-ES" i="0" baseline="0"/>
                  <a:t>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6212096"/>
        <c:crosses val="autoZero"/>
        <c:crossBetween val="midCat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s-ES"/>
              <a:t>Número de modos, 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'Ej2'!$N$3</c:f>
              <c:strCache>
                <c:ptCount val="1"/>
                <c:pt idx="0">
                  <c:v>Placa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'Ej2'!$J$4:$J$32</c:f>
              <c:numCache>
                <c:formatCode>General</c:formatCode>
                <c:ptCount val="29"/>
                <c:pt idx="0">
                  <c:v>16</c:v>
                </c:pt>
                <c:pt idx="1">
                  <c:v>20</c:v>
                </c:pt>
                <c:pt idx="2">
                  <c:v>25</c:v>
                </c:pt>
                <c:pt idx="3">
                  <c:v>31.5</c:v>
                </c:pt>
                <c:pt idx="4">
                  <c:v>40</c:v>
                </c:pt>
                <c:pt idx="5">
                  <c:v>50</c:v>
                </c:pt>
                <c:pt idx="6">
                  <c:v>63</c:v>
                </c:pt>
                <c:pt idx="7">
                  <c:v>80</c:v>
                </c:pt>
                <c:pt idx="8">
                  <c:v>100</c:v>
                </c:pt>
                <c:pt idx="9">
                  <c:v>125</c:v>
                </c:pt>
                <c:pt idx="10">
                  <c:v>160</c:v>
                </c:pt>
                <c:pt idx="11">
                  <c:v>200</c:v>
                </c:pt>
                <c:pt idx="12">
                  <c:v>250</c:v>
                </c:pt>
                <c:pt idx="13">
                  <c:v>315</c:v>
                </c:pt>
                <c:pt idx="14">
                  <c:v>400</c:v>
                </c:pt>
                <c:pt idx="15">
                  <c:v>500</c:v>
                </c:pt>
                <c:pt idx="16">
                  <c:v>630</c:v>
                </c:pt>
                <c:pt idx="17">
                  <c:v>800</c:v>
                </c:pt>
                <c:pt idx="18">
                  <c:v>1000</c:v>
                </c:pt>
                <c:pt idx="19">
                  <c:v>1250</c:v>
                </c:pt>
                <c:pt idx="20">
                  <c:v>1600</c:v>
                </c:pt>
                <c:pt idx="21">
                  <c:v>2000</c:v>
                </c:pt>
                <c:pt idx="22">
                  <c:v>2500</c:v>
                </c:pt>
                <c:pt idx="23">
                  <c:v>3150</c:v>
                </c:pt>
                <c:pt idx="24">
                  <c:v>4000</c:v>
                </c:pt>
                <c:pt idx="25">
                  <c:v>5000</c:v>
                </c:pt>
                <c:pt idx="26">
                  <c:v>6300</c:v>
                </c:pt>
                <c:pt idx="27">
                  <c:v>8000</c:v>
                </c:pt>
                <c:pt idx="28">
                  <c:v>10000</c:v>
                </c:pt>
              </c:numCache>
            </c:numRef>
          </c:xVal>
          <c:yVal>
            <c:numRef>
              <c:f>'Ej2'!$N$4:$N$32</c:f>
              <c:numCache>
                <c:formatCode>0.000000</c:formatCode>
                <c:ptCount val="29"/>
                <c:pt idx="0">
                  <c:v>0.30016214368237715</c:v>
                </c:pt>
                <c:pt idx="1">
                  <c:v>0.37317455701052266</c:v>
                </c:pt>
                <c:pt idx="2">
                  <c:v>0.47052444144805067</c:v>
                </c:pt>
                <c:pt idx="3">
                  <c:v>0.59221179699496018</c:v>
                </c:pt>
                <c:pt idx="4">
                  <c:v>0.74634911402104598</c:v>
                </c:pt>
                <c:pt idx="5">
                  <c:v>0.93293639252630711</c:v>
                </c:pt>
                <c:pt idx="6">
                  <c:v>1.1844235939899199</c:v>
                </c:pt>
                <c:pt idx="7">
                  <c:v>1.4845857376722973</c:v>
                </c:pt>
                <c:pt idx="8">
                  <c:v>1.8577602946828209</c:v>
                </c:pt>
                <c:pt idx="9">
                  <c:v>2.3526222072402527</c:v>
                </c:pt>
                <c:pt idx="10">
                  <c:v>3.001621436823771</c:v>
                </c:pt>
                <c:pt idx="11">
                  <c:v>3.7317455701052284</c:v>
                </c:pt>
                <c:pt idx="12">
                  <c:v>4.7052444144805055</c:v>
                </c:pt>
                <c:pt idx="13">
                  <c:v>5.9221179699496016</c:v>
                </c:pt>
                <c:pt idx="14">
                  <c:v>7.4634911402104569</c:v>
                </c:pt>
                <c:pt idx="15">
                  <c:v>9.3293639252630722</c:v>
                </c:pt>
                <c:pt idx="16">
                  <c:v>11.844235939899203</c:v>
                </c:pt>
                <c:pt idx="17">
                  <c:v>14.845857376722973</c:v>
                </c:pt>
                <c:pt idx="18">
                  <c:v>18.739852754224085</c:v>
                </c:pt>
                <c:pt idx="19">
                  <c:v>23.607346976100466</c:v>
                </c:pt>
                <c:pt idx="20">
                  <c:v>29.61058984974801</c:v>
                </c:pt>
                <c:pt idx="21">
                  <c:v>37.398580604750222</c:v>
                </c:pt>
                <c:pt idx="22">
                  <c:v>46.971319241107118</c:v>
                </c:pt>
                <c:pt idx="23">
                  <c:v>59.22117969949602</c:v>
                </c:pt>
                <c:pt idx="24">
                  <c:v>74.553786498406623</c:v>
                </c:pt>
                <c:pt idx="25">
                  <c:v>93.780388674818354</c:v>
                </c:pt>
                <c:pt idx="26">
                  <c:v>118.11785978420028</c:v>
                </c:pt>
                <c:pt idx="27">
                  <c:v>148.78307338202151</c:v>
                </c:pt>
                <c:pt idx="28">
                  <c:v>187.15515283114701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68-4C68-AF72-61FEC7CF216D}"/>
            </c:ext>
          </c:extLst>
        </c:ser>
        <c:ser>
          <c:idx val="1"/>
          <c:order val="1"/>
          <c:tx>
            <c:strRef>
              <c:f>'Ej2'!$O$3</c:f>
              <c:strCache>
                <c:ptCount val="1"/>
                <c:pt idx="0">
                  <c:v>Aire</c:v>
                </c:pt>
              </c:strCache>
            </c:strRef>
          </c:tx>
          <c:marker>
            <c:symbol val="none"/>
          </c:marker>
          <c:xVal>
            <c:numRef>
              <c:f>'Ej2'!$J$4:$J$32</c:f>
              <c:numCache>
                <c:formatCode>General</c:formatCode>
                <c:ptCount val="29"/>
                <c:pt idx="0">
                  <c:v>16</c:v>
                </c:pt>
                <c:pt idx="1">
                  <c:v>20</c:v>
                </c:pt>
                <c:pt idx="2">
                  <c:v>25</c:v>
                </c:pt>
                <c:pt idx="3">
                  <c:v>31.5</c:v>
                </c:pt>
                <c:pt idx="4">
                  <c:v>40</c:v>
                </c:pt>
                <c:pt idx="5">
                  <c:v>50</c:v>
                </c:pt>
                <c:pt idx="6">
                  <c:v>63</c:v>
                </c:pt>
                <c:pt idx="7">
                  <c:v>80</c:v>
                </c:pt>
                <c:pt idx="8">
                  <c:v>100</c:v>
                </c:pt>
                <c:pt idx="9">
                  <c:v>125</c:v>
                </c:pt>
                <c:pt idx="10">
                  <c:v>160</c:v>
                </c:pt>
                <c:pt idx="11">
                  <c:v>200</c:v>
                </c:pt>
                <c:pt idx="12">
                  <c:v>250</c:v>
                </c:pt>
                <c:pt idx="13">
                  <c:v>315</c:v>
                </c:pt>
                <c:pt idx="14">
                  <c:v>400</c:v>
                </c:pt>
                <c:pt idx="15">
                  <c:v>500</c:v>
                </c:pt>
                <c:pt idx="16">
                  <c:v>630</c:v>
                </c:pt>
                <c:pt idx="17">
                  <c:v>800</c:v>
                </c:pt>
                <c:pt idx="18">
                  <c:v>1000</c:v>
                </c:pt>
                <c:pt idx="19">
                  <c:v>1250</c:v>
                </c:pt>
                <c:pt idx="20">
                  <c:v>1600</c:v>
                </c:pt>
                <c:pt idx="21">
                  <c:v>2000</c:v>
                </c:pt>
                <c:pt idx="22">
                  <c:v>2500</c:v>
                </c:pt>
                <c:pt idx="23">
                  <c:v>3150</c:v>
                </c:pt>
                <c:pt idx="24">
                  <c:v>4000</c:v>
                </c:pt>
                <c:pt idx="25">
                  <c:v>5000</c:v>
                </c:pt>
                <c:pt idx="26">
                  <c:v>6300</c:v>
                </c:pt>
                <c:pt idx="27">
                  <c:v>8000</c:v>
                </c:pt>
                <c:pt idx="28">
                  <c:v>10000</c:v>
                </c:pt>
              </c:numCache>
            </c:numRef>
          </c:xVal>
          <c:yVal>
            <c:numRef>
              <c:f>'Ej2'!$O$4:$O$32</c:f>
              <c:numCache>
                <c:formatCode>0.000000</c:formatCode>
                <c:ptCount val="29"/>
                <c:pt idx="0">
                  <c:v>9.1593478582332855E-2</c:v>
                </c:pt>
                <c:pt idx="1">
                  <c:v>0.11816023490193174</c:v>
                </c:pt>
                <c:pt idx="2">
                  <c:v>0.15577365841101687</c:v>
                </c:pt>
                <c:pt idx="3">
                  <c:v>0.20723491161783336</c:v>
                </c:pt>
                <c:pt idx="4">
                  <c:v>0.27973311331586104</c:v>
                </c:pt>
                <c:pt idx="5">
                  <c:v>0.37722119088590217</c:v>
                </c:pt>
                <c:pt idx="6">
                  <c:v>0.52491814270257542</c:v>
                </c:pt>
                <c:pt idx="7">
                  <c:v>0.73450340307130157</c:v>
                </c:pt>
                <c:pt idx="8">
                  <c:v>1.0339134093862743</c:v>
                </c:pt>
                <c:pt idx="9">
                  <c:v>1.4950067326322227</c:v>
                </c:pt>
                <c:pt idx="10">
                  <c:v>2.2485944126009363</c:v>
                </c:pt>
                <c:pt idx="11">
                  <c:v>3.2971797727530241</c:v>
                </c:pt>
                <c:pt idx="12">
                  <c:v>4.9798434961027107</c:v>
                </c:pt>
                <c:pt idx="13">
                  <c:v>7.6802931501339593</c:v>
                </c:pt>
                <c:pt idx="14">
                  <c:v>12.15068738940947</c:v>
                </c:pt>
                <c:pt idx="15">
                  <c:v>19.082961185279146</c:v>
                </c:pt>
                <c:pt idx="16">
                  <c:v>31.188690681544244</c:v>
                </c:pt>
                <c:pt idx="17">
                  <c:v>51.644756559747293</c:v>
                </c:pt>
                <c:pt idx="18">
                  <c:v>85.921838789359896</c:v>
                </c:pt>
                <c:pt idx="19">
                  <c:v>144.88709840206991</c:v>
                </c:pt>
                <c:pt idx="20">
                  <c:v>255.45890622548905</c:v>
                </c:pt>
                <c:pt idx="21">
                  <c:v>445.98244034569808</c:v>
                </c:pt>
                <c:pt idx="22">
                  <c:v>785.63043169706862</c:v>
                </c:pt>
                <c:pt idx="23">
                  <c:v>1426.8372866034993</c:v>
                </c:pt>
                <c:pt idx="24">
                  <c:v>2657.8342160729508</c:v>
                </c:pt>
                <c:pt idx="25">
                  <c:v>4879.8178810908248</c:v>
                </c:pt>
                <c:pt idx="26">
                  <c:v>9194.4978364791878</c:v>
                </c:pt>
                <c:pt idx="27">
                  <c:v>17746.461700822627</c:v>
                </c:pt>
                <c:pt idx="28">
                  <c:v>33534.49515492894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868-4C68-AF72-61FEC7CF2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12096"/>
        <c:axId val="11894544"/>
      </c:scatterChart>
      <c:valAx>
        <c:axId val="156212096"/>
        <c:scaling>
          <c:logBase val="10"/>
          <c:orientation val="minMax"/>
          <c:max val="1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s-ES"/>
                  <a:t>Frecuencia [Hz]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s-ES"/>
          </a:p>
        </c:txPr>
        <c:crossAx val="11894544"/>
        <c:crossesAt val="1.0000000000000002E-2"/>
        <c:crossBetween val="midCat"/>
      </c:valAx>
      <c:valAx>
        <c:axId val="118945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Modos ( N 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0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s-ES"/>
          </a:p>
        </c:txPr>
        <c:crossAx val="156212096"/>
        <c:crosses val="autoZero"/>
        <c:crossBetween val="midCat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tr"/>
      <c:layout>
        <c:manualLayout>
          <c:xMode val="edge"/>
          <c:yMode val="edge"/>
          <c:x val="0.19112222770284709"/>
          <c:y val="0.13888167525549736"/>
          <c:w val="9.2958818049141106E-2"/>
          <c:h val="0.10679820974997255"/>
        </c:manualLayout>
      </c:layout>
      <c:overlay val="1"/>
      <c:spPr>
        <a:solidFill>
          <a:schemeClr val="bg1"/>
        </a:solidFill>
        <a:ln>
          <a:solidFill>
            <a:schemeClr val="bg1">
              <a:lumMod val="85000"/>
            </a:schemeClr>
          </a:solidFill>
        </a:ln>
        <a:effectLst/>
      </c:spPr>
      <c:txPr>
        <a:bodyPr rot="0" vert="horz"/>
        <a:lstStyle/>
        <a:p>
          <a:pPr>
            <a:defRPr/>
          </a:pPr>
          <a:endParaRPr lang="es-ES"/>
        </a:p>
      </c:txPr>
    </c:legend>
    <c:plotVisOnly val="1"/>
    <c:dispBlanksAs val="gap"/>
    <c:showDLblsOverMax val="0"/>
    <c:extLst/>
  </c:chart>
  <c:txPr>
    <a:bodyPr/>
    <a:lstStyle/>
    <a:p>
      <a:pPr>
        <a:defRPr>
          <a:latin typeface="LM Roman 10" panose="00000500000000000000" pitchFamily="50" charset="0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l-GR"/>
              <a:t>η</a:t>
            </a:r>
            <a:endParaRPr lang="es-E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'Ej2'!$U$3</c:f>
              <c:strCache>
                <c:ptCount val="1"/>
                <c:pt idx="0">
                  <c:v>Placa-aire</c:v>
                </c:pt>
              </c:strCache>
            </c:strRef>
          </c:tx>
          <c:marker>
            <c:symbol val="none"/>
          </c:marker>
          <c:xVal>
            <c:numRef>
              <c:f>'Ej2'!$J$4:$J$32</c:f>
              <c:numCache>
                <c:formatCode>General</c:formatCode>
                <c:ptCount val="29"/>
                <c:pt idx="0">
                  <c:v>16</c:v>
                </c:pt>
                <c:pt idx="1">
                  <c:v>20</c:v>
                </c:pt>
                <c:pt idx="2">
                  <c:v>25</c:v>
                </c:pt>
                <c:pt idx="3">
                  <c:v>31.5</c:v>
                </c:pt>
                <c:pt idx="4">
                  <c:v>40</c:v>
                </c:pt>
                <c:pt idx="5">
                  <c:v>50</c:v>
                </c:pt>
                <c:pt idx="6">
                  <c:v>63</c:v>
                </c:pt>
                <c:pt idx="7">
                  <c:v>80</c:v>
                </c:pt>
                <c:pt idx="8">
                  <c:v>100</c:v>
                </c:pt>
                <c:pt idx="9">
                  <c:v>125</c:v>
                </c:pt>
                <c:pt idx="10">
                  <c:v>160</c:v>
                </c:pt>
                <c:pt idx="11">
                  <c:v>200</c:v>
                </c:pt>
                <c:pt idx="12">
                  <c:v>250</c:v>
                </c:pt>
                <c:pt idx="13">
                  <c:v>315</c:v>
                </c:pt>
                <c:pt idx="14">
                  <c:v>400</c:v>
                </c:pt>
                <c:pt idx="15">
                  <c:v>500</c:v>
                </c:pt>
                <c:pt idx="16">
                  <c:v>630</c:v>
                </c:pt>
                <c:pt idx="17">
                  <c:v>800</c:v>
                </c:pt>
                <c:pt idx="18">
                  <c:v>1000</c:v>
                </c:pt>
                <c:pt idx="19">
                  <c:v>1250</c:v>
                </c:pt>
                <c:pt idx="20">
                  <c:v>1600</c:v>
                </c:pt>
                <c:pt idx="21">
                  <c:v>2000</c:v>
                </c:pt>
                <c:pt idx="22">
                  <c:v>2500</c:v>
                </c:pt>
                <c:pt idx="23">
                  <c:v>3150</c:v>
                </c:pt>
                <c:pt idx="24">
                  <c:v>4000</c:v>
                </c:pt>
                <c:pt idx="25">
                  <c:v>5000</c:v>
                </c:pt>
                <c:pt idx="26">
                  <c:v>6300</c:v>
                </c:pt>
                <c:pt idx="27">
                  <c:v>8000</c:v>
                </c:pt>
                <c:pt idx="28">
                  <c:v>10000</c:v>
                </c:pt>
              </c:numCache>
            </c:numRef>
          </c:xVal>
          <c:yVal>
            <c:numRef>
              <c:f>'Ej2'!$U$4:$U$32</c:f>
              <c:numCache>
                <c:formatCode>General</c:formatCode>
                <c:ptCount val="29"/>
                <c:pt idx="0">
                  <c:v>3.368358583955457E-3</c:v>
                </c:pt>
                <c:pt idx="1">
                  <c:v>4.6963944998116829E-3</c:v>
                </c:pt>
                <c:pt idx="2">
                  <c:v>3.5639505730613503E-3</c:v>
                </c:pt>
                <c:pt idx="3">
                  <c:v>2.7079628735865928E-3</c:v>
                </c:pt>
                <c:pt idx="4">
                  <c:v>2.0656189871179243E-3</c:v>
                </c:pt>
                <c:pt idx="5">
                  <c:v>1.6251906470573757E-3</c:v>
                </c:pt>
                <c:pt idx="6">
                  <c:v>1.2859056289525499E-3</c:v>
                </c:pt>
                <c:pt idx="7">
                  <c:v>1.0255940289341345E-3</c:v>
                </c:pt>
                <c:pt idx="8">
                  <c:v>8.4276102609455634E-4</c:v>
                </c:pt>
                <c:pt idx="9">
                  <c:v>7.0271720145988865E-4</c:v>
                </c:pt>
                <c:pt idx="10">
                  <c:v>5.8467550009155887E-4</c:v>
                </c:pt>
                <c:pt idx="11">
                  <c:v>5.0294594127289522E-4</c:v>
                </c:pt>
                <c:pt idx="12">
                  <c:v>4.3928397547474834E-4</c:v>
                </c:pt>
                <c:pt idx="13">
                  <c:v>3.8834592445866013E-4</c:v>
                </c:pt>
                <c:pt idx="14">
                  <c:v>3.4876858819667768E-4</c:v>
                </c:pt>
                <c:pt idx="15">
                  <c:v>3.2222785278887079E-4</c:v>
                </c:pt>
                <c:pt idx="16">
                  <c:v>3.049509221393201E-4</c:v>
                </c:pt>
                <c:pt idx="17">
                  <c:v>2.9937732888493136E-4</c:v>
                </c:pt>
                <c:pt idx="18">
                  <c:v>3.0986988828857458E-4</c:v>
                </c:pt>
                <c:pt idx="19">
                  <c:v>3.4808641497570197E-4</c:v>
                </c:pt>
                <c:pt idx="20">
                  <c:v>4.7790294258553246E-4</c:v>
                </c:pt>
                <c:pt idx="21">
                  <c:v>1.0048257685766593E-3</c:v>
                </c:pt>
                <c:pt idx="22">
                  <c:v>1.1877516265010686E-2</c:v>
                </c:pt>
                <c:pt idx="23">
                  <c:v>3.2902114576948745E-3</c:v>
                </c:pt>
                <c:pt idx="24">
                  <c:v>1.9769504819506442E-3</c:v>
                </c:pt>
                <c:pt idx="25">
                  <c:v>1.3819778241723282E-3</c:v>
                </c:pt>
                <c:pt idx="26">
                  <c:v>1.0032629283580701E-3</c:v>
                </c:pt>
                <c:pt idx="27">
                  <c:v>7.4209690616627345E-4</c:v>
                </c:pt>
                <c:pt idx="28">
                  <c:v>5.6935203315976646E-4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D52-4028-8160-F5100117AC72}"/>
            </c:ext>
          </c:extLst>
        </c:ser>
        <c:ser>
          <c:idx val="0"/>
          <c:order val="1"/>
          <c:tx>
            <c:strRef>
              <c:f>'Ej2'!$V$3</c:f>
              <c:strCache>
                <c:ptCount val="1"/>
                <c:pt idx="0">
                  <c:v>Aire-placa</c:v>
                </c:pt>
              </c:strCache>
            </c:strRef>
          </c:tx>
          <c:marker>
            <c:symbol val="none"/>
          </c:marker>
          <c:xVal>
            <c:numRef>
              <c:f>'Ej2'!$J$4:$J$32</c:f>
              <c:numCache>
                <c:formatCode>General</c:formatCode>
                <c:ptCount val="29"/>
                <c:pt idx="0">
                  <c:v>16</c:v>
                </c:pt>
                <c:pt idx="1">
                  <c:v>20</c:v>
                </c:pt>
                <c:pt idx="2">
                  <c:v>25</c:v>
                </c:pt>
                <c:pt idx="3">
                  <c:v>31.5</c:v>
                </c:pt>
                <c:pt idx="4">
                  <c:v>40</c:v>
                </c:pt>
                <c:pt idx="5">
                  <c:v>50</c:v>
                </c:pt>
                <c:pt idx="6">
                  <c:v>63</c:v>
                </c:pt>
                <c:pt idx="7">
                  <c:v>80</c:v>
                </c:pt>
                <c:pt idx="8">
                  <c:v>100</c:v>
                </c:pt>
                <c:pt idx="9">
                  <c:v>125</c:v>
                </c:pt>
                <c:pt idx="10">
                  <c:v>160</c:v>
                </c:pt>
                <c:pt idx="11">
                  <c:v>200</c:v>
                </c:pt>
                <c:pt idx="12">
                  <c:v>250</c:v>
                </c:pt>
                <c:pt idx="13">
                  <c:v>315</c:v>
                </c:pt>
                <c:pt idx="14">
                  <c:v>400</c:v>
                </c:pt>
                <c:pt idx="15">
                  <c:v>500</c:v>
                </c:pt>
                <c:pt idx="16">
                  <c:v>630</c:v>
                </c:pt>
                <c:pt idx="17">
                  <c:v>800</c:v>
                </c:pt>
                <c:pt idx="18">
                  <c:v>1000</c:v>
                </c:pt>
                <c:pt idx="19">
                  <c:v>1250</c:v>
                </c:pt>
                <c:pt idx="20">
                  <c:v>1600</c:v>
                </c:pt>
                <c:pt idx="21">
                  <c:v>2000</c:v>
                </c:pt>
                <c:pt idx="22">
                  <c:v>2500</c:v>
                </c:pt>
                <c:pt idx="23">
                  <c:v>3150</c:v>
                </c:pt>
                <c:pt idx="24">
                  <c:v>4000</c:v>
                </c:pt>
                <c:pt idx="25">
                  <c:v>5000</c:v>
                </c:pt>
                <c:pt idx="26">
                  <c:v>6300</c:v>
                </c:pt>
                <c:pt idx="27">
                  <c:v>8000</c:v>
                </c:pt>
                <c:pt idx="28">
                  <c:v>10000</c:v>
                </c:pt>
              </c:numCache>
            </c:numRef>
          </c:xVal>
          <c:yVal>
            <c:numRef>
              <c:f>'Ej2'!$V$4:$V$32</c:f>
              <c:numCache>
                <c:formatCode>General</c:formatCode>
                <c:ptCount val="29"/>
                <c:pt idx="0">
                  <c:v>1.1038490391454844E-2</c:v>
                </c:pt>
                <c:pt idx="1">
                  <c:v>1.4832189005619759E-2</c:v>
                </c:pt>
                <c:pt idx="2">
                  <c:v>1.0765143926410819E-2</c:v>
                </c:pt>
                <c:pt idx="3">
                  <c:v>7.7385009458239788E-3</c:v>
                </c:pt>
                <c:pt idx="4">
                  <c:v>5.5112277651581821E-3</c:v>
                </c:pt>
                <c:pt idx="5">
                  <c:v>4.0193911054477493E-3</c:v>
                </c:pt>
                <c:pt idx="6">
                  <c:v>2.9015132887849696E-3</c:v>
                </c:pt>
                <c:pt idx="7">
                  <c:v>2.0729410668907161E-3</c:v>
                </c:pt>
                <c:pt idx="8">
                  <c:v>1.5142931293578832E-3</c:v>
                </c:pt>
                <c:pt idx="9">
                  <c:v>1.1058332096294022E-3</c:v>
                </c:pt>
                <c:pt idx="10">
                  <c:v>7.8047624099115E-4</c:v>
                </c:pt>
                <c:pt idx="11">
                  <c:v>5.692338354909949E-4</c:v>
                </c:pt>
                <c:pt idx="12">
                  <c:v>4.1506092984467557E-4</c:v>
                </c:pt>
                <c:pt idx="13">
                  <c:v>2.9944565042458151E-4</c:v>
                </c:pt>
                <c:pt idx="14">
                  <c:v>2.1422913655555104E-4</c:v>
                </c:pt>
                <c:pt idx="15">
                  <c:v>1.5753220248870389E-4</c:v>
                </c:pt>
                <c:pt idx="16">
                  <c:v>1.1580834568490781E-4</c:v>
                </c:pt>
                <c:pt idx="17">
                  <c:v>8.6059329591536867E-5</c:v>
                </c:pt>
                <c:pt idx="18">
                  <c:v>6.7583703530037239E-5</c:v>
                </c:pt>
                <c:pt idx="19">
                  <c:v>5.6715862672565566E-5</c:v>
                </c:pt>
                <c:pt idx="20">
                  <c:v>5.539438115497546E-5</c:v>
                </c:pt>
                <c:pt idx="21">
                  <c:v>8.4261293944029096E-5</c:v>
                </c:pt>
                <c:pt idx="22">
                  <c:v>7.1013365288067275E-4</c:v>
                </c:pt>
                <c:pt idx="23">
                  <c:v>1.3656091399834257E-4</c:v>
                </c:pt>
                <c:pt idx="24">
                  <c:v>5.5454604074983795E-5</c:v>
                </c:pt>
                <c:pt idx="25">
                  <c:v>2.6558863598796775E-5</c:v>
                </c:pt>
                <c:pt idx="26">
                  <c:v>1.2888498317800755E-5</c:v>
                </c:pt>
                <c:pt idx="27">
                  <c:v>6.2216040756783492E-6</c:v>
                </c:pt>
                <c:pt idx="28">
                  <c:v>3.1775390173147863E-6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52-4028-8160-F5100117A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12096"/>
        <c:axId val="11894544"/>
      </c:scatterChart>
      <c:valAx>
        <c:axId val="156212096"/>
        <c:scaling>
          <c:logBase val="10"/>
          <c:orientation val="minMax"/>
          <c:max val="1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s-ES"/>
                  <a:t>Frecuencia [Hz]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s-ES"/>
          </a:p>
        </c:txPr>
        <c:crossAx val="11894544"/>
        <c:crossesAt val="1.0000000000000004E-6"/>
        <c:crossBetween val="midCat"/>
      </c:valAx>
      <c:valAx>
        <c:axId val="118945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Modos ( N 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s-ES"/>
          </a:p>
        </c:txPr>
        <c:crossAx val="156212096"/>
        <c:crosses val="autoZero"/>
        <c:crossBetween val="midCat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82566386906366618"/>
          <c:y val="0.1260185733630774"/>
          <c:w val="0.12026783307218769"/>
          <c:h val="9.8665512280289358E-2"/>
        </c:manualLayout>
      </c:layout>
      <c:overlay val="1"/>
      <c:spPr>
        <a:solidFill>
          <a:schemeClr val="bg1"/>
        </a:solidFill>
        <a:ln>
          <a:solidFill>
            <a:schemeClr val="tx1">
              <a:lumMod val="5000"/>
              <a:lumOff val="95000"/>
            </a:schemeClr>
          </a:solidFill>
        </a:ln>
        <a:effectLst/>
      </c:spPr>
      <c:txPr>
        <a:bodyPr rot="0" vert="horz"/>
        <a:lstStyle/>
        <a:p>
          <a:pPr>
            <a:defRPr/>
          </a:pPr>
          <a:endParaRPr lang="es-ES"/>
        </a:p>
      </c:txPr>
    </c:legend>
    <c:plotVisOnly val="1"/>
    <c:dispBlanksAs val="gap"/>
    <c:showDLblsOverMax val="0"/>
    <c:extLst/>
  </c:chart>
  <c:txPr>
    <a:bodyPr/>
    <a:lstStyle/>
    <a:p>
      <a:pPr>
        <a:defRPr>
          <a:latin typeface="LM Roman 10" panose="00000500000000000000" pitchFamily="50" charset="0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1102656</xdr:colOff>
      <xdr:row>28</xdr:row>
      <xdr:rowOff>17927</xdr:rowOff>
    </xdr:from>
    <xdr:to>
      <xdr:col>13</xdr:col>
      <xdr:colOff>94126</xdr:colOff>
      <xdr:row>56</xdr:row>
      <xdr:rowOff>153676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F510B6A-EFC9-47A1-9134-026790D62A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403412</xdr:colOff>
      <xdr:row>25</xdr:row>
      <xdr:rowOff>24479</xdr:rowOff>
    </xdr:from>
    <xdr:to>
      <xdr:col>13</xdr:col>
      <xdr:colOff>398053</xdr:colOff>
      <xdr:row>51</xdr:row>
      <xdr:rowOff>126189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5934F04-ED03-49D0-B4E7-2C8914C6A5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627531</xdr:colOff>
      <xdr:row>25</xdr:row>
      <xdr:rowOff>140878</xdr:rowOff>
    </xdr:from>
    <xdr:to>
      <xdr:col>14</xdr:col>
      <xdr:colOff>174814</xdr:colOff>
      <xdr:row>54</xdr:row>
      <xdr:rowOff>97334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B6FC4A8-1669-46CD-AB6A-261E37456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B10A-28A9-4BBD-9BDC-F4AF69671FD7}">
  <dimension ref="A2:J33"/>
  <sheetViews>
    <sheetView topLeftCell="A12" workbookViewId="0">
      <selection activeCell="G36" sqref="G36"/>
    </sheetView>
  </sheetViews>
  <sheetFormatPr baseColWidth="10" defaultRowHeight="14.4" x14ac:dyDescent="0.3"/>
  <cols>
    <col min="1" max="1" width="11" bestFit="1" customWidth="1"/>
    <col min="2" max="6" width="12.6640625" bestFit="1" customWidth="1"/>
    <col min="7" max="7" width="12" bestFit="1" customWidth="1"/>
    <col min="9" max="9" width="12.5546875" bestFit="1" customWidth="1"/>
    <col min="10" max="10" width="5" bestFit="1" customWidth="1"/>
  </cols>
  <sheetData>
    <row r="2" spans="1:10" x14ac:dyDescent="0.3">
      <c r="B2" s="5" t="s">
        <v>0</v>
      </c>
      <c r="C2" s="5" t="s">
        <v>1</v>
      </c>
      <c r="D2" s="5" t="s">
        <v>2</v>
      </c>
      <c r="G2" s="2" t="s">
        <v>12</v>
      </c>
      <c r="H2" s="2" t="s">
        <v>13</v>
      </c>
      <c r="I2" s="2" t="s">
        <v>14</v>
      </c>
      <c r="J2" s="2" t="s">
        <v>24</v>
      </c>
    </row>
    <row r="3" spans="1:10" x14ac:dyDescent="0.3">
      <c r="B3" s="1">
        <v>-1.96</v>
      </c>
      <c r="C3" s="1">
        <v>1.6E-2</v>
      </c>
      <c r="D3" s="1">
        <v>306.7</v>
      </c>
      <c r="G3" s="1">
        <v>44.53</v>
      </c>
      <c r="H3" s="1">
        <v>1.2</v>
      </c>
      <c r="I3" s="1">
        <f>H3*2*PI()/60</f>
        <v>0.12566370614359174</v>
      </c>
      <c r="J3" s="1">
        <v>1</v>
      </c>
    </row>
    <row r="6" spans="1:10" x14ac:dyDescent="0.3">
      <c r="B6" s="5" t="s">
        <v>3</v>
      </c>
      <c r="C6" s="5" t="s">
        <v>4</v>
      </c>
      <c r="D6" s="9" t="s">
        <v>5</v>
      </c>
      <c r="E6" s="7" t="s">
        <v>6</v>
      </c>
      <c r="F6" s="5" t="s">
        <v>7</v>
      </c>
    </row>
    <row r="7" spans="1:10" x14ac:dyDescent="0.3">
      <c r="B7" s="1">
        <v>-9.2700000000000005E-2</v>
      </c>
      <c r="C7" s="1">
        <v>0.1527</v>
      </c>
      <c r="D7" s="10">
        <v>-1.4500000000000001E-2</v>
      </c>
      <c r="E7" s="8">
        <f>B7^2</f>
        <v>8.5932900000000017E-3</v>
      </c>
      <c r="F7" s="1">
        <f>C7^2</f>
        <v>2.3317290000000001E-2</v>
      </c>
      <c r="G7">
        <f>SQRT(E7+F7)</f>
        <v>0.17863532685334108</v>
      </c>
    </row>
    <row r="8" spans="1:10" x14ac:dyDescent="0.3">
      <c r="B8" s="1">
        <v>-0.1648</v>
      </c>
      <c r="C8" s="1">
        <v>6.9000000000000006E-2</v>
      </c>
      <c r="D8" s="10">
        <v>-1.4500000000000001E-2</v>
      </c>
      <c r="E8" s="8">
        <f t="shared" ref="E8:F12" si="0">B8^2</f>
        <v>2.7159040000000002E-2</v>
      </c>
      <c r="F8" s="1">
        <f t="shared" si="0"/>
        <v>4.7610000000000005E-3</v>
      </c>
      <c r="G8">
        <f t="shared" ref="G8:G12" si="1">SQRT(E8+F8)</f>
        <v>0.17866180341639901</v>
      </c>
    </row>
    <row r="9" spans="1:10" x14ac:dyDescent="0.3">
      <c r="B9" s="1">
        <v>-4.1000000000000002E-2</v>
      </c>
      <c r="C9" s="1">
        <v>-0.1739</v>
      </c>
      <c r="D9" s="10">
        <v>-1.4500000000000001E-2</v>
      </c>
      <c r="E9" s="8">
        <f t="shared" si="0"/>
        <v>1.6810000000000002E-3</v>
      </c>
      <c r="F9" s="1">
        <f t="shared" si="0"/>
        <v>3.0241210000000001E-2</v>
      </c>
      <c r="G9">
        <f t="shared" si="1"/>
        <v>0.17866787623968669</v>
      </c>
    </row>
    <row r="10" spans="1:10" x14ac:dyDescent="0.3">
      <c r="B10" s="1">
        <v>4.1000000000000002E-2</v>
      </c>
      <c r="C10" s="1">
        <v>-0.1739</v>
      </c>
      <c r="D10" s="10">
        <v>-1.4500000000000001E-2</v>
      </c>
      <c r="E10" s="8">
        <f t="shared" si="0"/>
        <v>1.6810000000000002E-3</v>
      </c>
      <c r="F10" s="1">
        <f t="shared" si="0"/>
        <v>3.0241210000000001E-2</v>
      </c>
      <c r="G10">
        <f t="shared" si="1"/>
        <v>0.17866787623968669</v>
      </c>
    </row>
    <row r="11" spans="1:10" x14ac:dyDescent="0.3">
      <c r="B11" s="1">
        <v>0.1739</v>
      </c>
      <c r="C11" s="1">
        <v>-4.1000000000000002E-2</v>
      </c>
      <c r="D11" s="10">
        <v>-1.4500000000000001E-2</v>
      </c>
      <c r="E11" s="8">
        <f>B11^2</f>
        <v>3.0241210000000001E-2</v>
      </c>
      <c r="F11" s="1">
        <f t="shared" si="0"/>
        <v>1.6810000000000002E-3</v>
      </c>
      <c r="G11">
        <f t="shared" si="1"/>
        <v>0.17866787623968669</v>
      </c>
    </row>
    <row r="12" spans="1:10" x14ac:dyDescent="0.3">
      <c r="B12" s="1">
        <v>6.9000000000000006E-2</v>
      </c>
      <c r="C12" s="1">
        <v>0.1648</v>
      </c>
      <c r="D12" s="10">
        <v>-1.4500000000000001E-2</v>
      </c>
      <c r="E12" s="8">
        <f t="shared" si="0"/>
        <v>4.7610000000000005E-3</v>
      </c>
      <c r="F12" s="1">
        <f t="shared" si="0"/>
        <v>2.7159040000000002E-2</v>
      </c>
      <c r="G12">
        <f t="shared" si="1"/>
        <v>0.17866180341639901</v>
      </c>
    </row>
    <row r="14" spans="1:10" x14ac:dyDescent="0.3">
      <c r="A14" s="5" t="s">
        <v>31</v>
      </c>
      <c r="B14" s="1">
        <f>SUM(F7:F12)</f>
        <v>0.11740075</v>
      </c>
      <c r="C14" s="1" t="s">
        <v>8</v>
      </c>
      <c r="E14" s="5" t="s">
        <v>18</v>
      </c>
      <c r="F14" s="1">
        <f>SUM(B7:B12)/6</f>
        <v>-2.4333333333333338E-3</v>
      </c>
    </row>
    <row r="15" spans="1:10" x14ac:dyDescent="0.3">
      <c r="A15" s="5" t="s">
        <v>32</v>
      </c>
      <c r="B15" s="1">
        <f>SUM(E7:E12)</f>
        <v>7.4116540000000009E-2</v>
      </c>
      <c r="C15" s="1" t="s">
        <v>8</v>
      </c>
      <c r="E15" s="5" t="s">
        <v>19</v>
      </c>
      <c r="F15" s="1">
        <f>SUM(C7:C12)/6</f>
        <v>-3.8333333333333275E-4</v>
      </c>
    </row>
    <row r="16" spans="1:10" x14ac:dyDescent="0.3">
      <c r="A16" s="5" t="s">
        <v>33</v>
      </c>
      <c r="B16" s="1">
        <f>B14+B15</f>
        <v>0.19151729000000001</v>
      </c>
      <c r="C16" s="1" t="s">
        <v>8</v>
      </c>
      <c r="E16" s="5" t="s">
        <v>20</v>
      </c>
      <c r="F16" s="1">
        <f>SUM(D7:D12)/6</f>
        <v>-1.4500000000000001E-2</v>
      </c>
    </row>
    <row r="18" spans="1:7" x14ac:dyDescent="0.3">
      <c r="B18" s="34" t="s">
        <v>17</v>
      </c>
      <c r="C18" s="34"/>
      <c r="D18" s="34"/>
      <c r="E18" s="34"/>
      <c r="F18" s="34"/>
      <c r="G18" s="34"/>
    </row>
    <row r="19" spans="1:7" x14ac:dyDescent="0.3">
      <c r="B19" s="3" t="s">
        <v>21</v>
      </c>
      <c r="C19" s="3" t="s">
        <v>22</v>
      </c>
      <c r="D19" s="3" t="s">
        <v>23</v>
      </c>
      <c r="E19" s="13" t="s">
        <v>15</v>
      </c>
      <c r="F19" s="4" t="s">
        <v>16</v>
      </c>
      <c r="G19" s="4" t="s">
        <v>25</v>
      </c>
    </row>
    <row r="20" spans="1:7" x14ac:dyDescent="0.3">
      <c r="B20" s="1">
        <f>-F14+B3*0.001</f>
        <v>4.7333333333333385E-4</v>
      </c>
      <c r="C20" s="1">
        <f>-F15+C3*0.001</f>
        <v>3.9933333333333276E-4</v>
      </c>
      <c r="D20" s="1">
        <f>-F16+D3*0.001</f>
        <v>0.32119999999999999</v>
      </c>
      <c r="E20" s="8">
        <f>C20*D22-D20*C22</f>
        <v>0.40030898508726304</v>
      </c>
      <c r="F20" s="1">
        <f>D20*B22-B20*D22</f>
        <v>-0.20677060200000025</v>
      </c>
      <c r="G20" s="1">
        <f>B20*C22-C20*B22</f>
        <v>-3.328430652012393E-4</v>
      </c>
    </row>
    <row r="21" spans="1:7" x14ac:dyDescent="0.3">
      <c r="B21" s="3" t="s">
        <v>10</v>
      </c>
      <c r="C21" s="3" t="s">
        <v>11</v>
      </c>
      <c r="D21" s="14" t="s">
        <v>9</v>
      </c>
    </row>
    <row r="22" spans="1:7" x14ac:dyDescent="0.3">
      <c r="B22" s="1">
        <v>0</v>
      </c>
      <c r="C22" s="1">
        <f>-G3*I3^2*J3</f>
        <v>-0.70318957436881468</v>
      </c>
      <c r="D22" s="10">
        <f>G3*9.81</f>
        <v>436.83930000000004</v>
      </c>
      <c r="F22" t="s">
        <v>79</v>
      </c>
      <c r="G22" s="18" t="s">
        <v>80</v>
      </c>
    </row>
    <row r="23" spans="1:7" x14ac:dyDescent="0.3">
      <c r="F23">
        <v>34.5</v>
      </c>
      <c r="G23">
        <v>33.5</v>
      </c>
    </row>
    <row r="24" spans="1:7" x14ac:dyDescent="0.3">
      <c r="B24" s="35" t="s">
        <v>26</v>
      </c>
      <c r="C24" s="35"/>
      <c r="D24" s="35"/>
      <c r="E24" s="35"/>
    </row>
    <row r="25" spans="1:7" x14ac:dyDescent="0.3">
      <c r="B25" s="6" t="s">
        <v>27</v>
      </c>
      <c r="C25" s="6" t="s">
        <v>28</v>
      </c>
      <c r="D25" s="12" t="s">
        <v>29</v>
      </c>
      <c r="E25" s="11" t="s">
        <v>30</v>
      </c>
      <c r="F25" s="15" t="s">
        <v>35</v>
      </c>
      <c r="G25" s="15" t="s">
        <v>34</v>
      </c>
    </row>
    <row r="26" spans="1:7" x14ac:dyDescent="0.3">
      <c r="A26" s="1">
        <v>1</v>
      </c>
      <c r="B26" s="21">
        <f>-$D$22*1/6</f>
        <v>-72.806550000000001</v>
      </c>
      <c r="C26" s="22">
        <f>-E$20*C7*1/$B$14</f>
        <v>-0.52067113730385084</v>
      </c>
      <c r="D26" s="31">
        <f>F$20*B7*1/$B$15</f>
        <v>0.25861480858928415</v>
      </c>
      <c r="E26" s="32">
        <f>SUM(B26:D26)</f>
        <v>-73.068606328714566</v>
      </c>
      <c r="F26" s="33">
        <f>ABS($E26)/(F$23*0.001)</f>
        <v>2117.9306182236105</v>
      </c>
      <c r="G26" s="33">
        <f>ABS($E26)/(G$23*0.001)</f>
        <v>2181.1524277228227</v>
      </c>
    </row>
    <row r="27" spans="1:7" x14ac:dyDescent="0.3">
      <c r="A27" s="1">
        <v>2</v>
      </c>
      <c r="B27" s="21">
        <f t="shared" ref="B27:B31" si="2">-$D$22*1/6</f>
        <v>-72.806550000000001</v>
      </c>
      <c r="C27" s="22">
        <f>-E$20*C8*1/$B$14</f>
        <v>-0.23527379485242769</v>
      </c>
      <c r="D27" s="31">
        <f>F$20*B8*1/$B$15</f>
        <v>0.45975965971428295</v>
      </c>
      <c r="E27" s="32">
        <f t="shared" ref="E27:E31" si="3">SUM(B27:D27)</f>
        <v>-72.582064135138154</v>
      </c>
      <c r="F27" s="33">
        <f t="shared" ref="F27:G31" si="4">ABS($E27)/(F$23*0.001)</f>
        <v>2103.8279459460332</v>
      </c>
      <c r="G27" s="33">
        <f t="shared" si="4"/>
        <v>2166.6287801533776</v>
      </c>
    </row>
    <row r="28" spans="1:7" x14ac:dyDescent="0.3">
      <c r="A28" s="1">
        <v>3</v>
      </c>
      <c r="B28" s="21">
        <f t="shared" si="2"/>
        <v>-72.806550000000001</v>
      </c>
      <c r="C28" s="22">
        <f>-E$20*C9*1/$B$14</f>
        <v>0.59295815833097354</v>
      </c>
      <c r="D28" s="31">
        <f t="shared" ref="D28:D31" si="5">F$20*B9*1/$B$15</f>
        <v>0.11438195417649029</v>
      </c>
      <c r="E28" s="32">
        <f t="shared" si="3"/>
        <v>-72.099209887492535</v>
      </c>
      <c r="F28" s="33">
        <f t="shared" si="4"/>
        <v>2089.8321706519573</v>
      </c>
      <c r="G28" s="33">
        <f t="shared" si="4"/>
        <v>2152.2152205221651</v>
      </c>
    </row>
    <row r="29" spans="1:7" x14ac:dyDescent="0.3">
      <c r="A29" s="1">
        <v>4</v>
      </c>
      <c r="B29" s="21">
        <f t="shared" si="2"/>
        <v>-72.806550000000001</v>
      </c>
      <c r="C29" s="22">
        <f t="shared" ref="C29:C31" si="6">-E$20*C10*1/$B$14</f>
        <v>0.59295815833097354</v>
      </c>
      <c r="D29" s="31">
        <f t="shared" si="5"/>
        <v>-0.11438195417649029</v>
      </c>
      <c r="E29" s="32">
        <f t="shared" si="3"/>
        <v>-72.327973795845523</v>
      </c>
      <c r="F29" s="33">
        <f t="shared" si="4"/>
        <v>2096.4630085752324</v>
      </c>
      <c r="G29" s="33">
        <f t="shared" si="4"/>
        <v>2159.0439939058365</v>
      </c>
    </row>
    <row r="30" spans="1:7" x14ac:dyDescent="0.3">
      <c r="A30" s="1">
        <v>5</v>
      </c>
      <c r="B30" s="21">
        <f t="shared" si="2"/>
        <v>-72.806550000000001</v>
      </c>
      <c r="C30" s="22">
        <f t="shared" si="6"/>
        <v>0.1398003708543411</v>
      </c>
      <c r="D30" s="31">
        <f t="shared" si="5"/>
        <v>-0.48514687393394296</v>
      </c>
      <c r="E30" s="32">
        <f t="shared" si="3"/>
        <v>-73.151896503079598</v>
      </c>
      <c r="F30" s="33">
        <f t="shared" si="4"/>
        <v>2120.3448261762201</v>
      </c>
      <c r="G30" s="33">
        <f t="shared" si="4"/>
        <v>2183.6387015844657</v>
      </c>
    </row>
    <row r="31" spans="1:7" x14ac:dyDescent="0.3">
      <c r="A31" s="1">
        <v>6</v>
      </c>
      <c r="B31" s="21">
        <f t="shared" si="2"/>
        <v>-72.806550000000001</v>
      </c>
      <c r="C31" s="22">
        <f t="shared" si="6"/>
        <v>-0.56192929553159543</v>
      </c>
      <c r="D31" s="31">
        <f t="shared" si="5"/>
        <v>-0.19249645946775196</v>
      </c>
      <c r="E31" s="32">
        <f t="shared" si="3"/>
        <v>-73.560975754999347</v>
      </c>
      <c r="F31" s="33">
        <f t="shared" si="4"/>
        <v>2132.2021957970824</v>
      </c>
      <c r="G31" s="33">
        <f t="shared" si="4"/>
        <v>2195.8500225372936</v>
      </c>
    </row>
    <row r="32" spans="1:7" ht="15" thickBot="1" x14ac:dyDescent="0.35"/>
    <row r="33" spans="5:7" ht="43.8" thickBot="1" x14ac:dyDescent="0.35">
      <c r="E33" s="16" t="s">
        <v>83</v>
      </c>
      <c r="F33" s="17">
        <f>MAX(F26:F31)</f>
        <v>2132.2021957970824</v>
      </c>
      <c r="G33" s="17">
        <f>MIN(G26:G31)</f>
        <v>2152.2152205221651</v>
      </c>
    </row>
  </sheetData>
  <mergeCells count="2">
    <mergeCell ref="B18:G18"/>
    <mergeCell ref="B24:E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593A-8CE2-4726-AE92-1A7584CB992B}">
  <dimension ref="A2:AI47"/>
  <sheetViews>
    <sheetView tabSelected="1" topLeftCell="D16" zoomScale="85" zoomScaleNormal="85" workbookViewId="0">
      <selection activeCell="P43" sqref="P43"/>
    </sheetView>
  </sheetViews>
  <sheetFormatPr baseColWidth="10" defaultRowHeight="14.4" x14ac:dyDescent="0.3"/>
  <cols>
    <col min="1" max="1" width="7.88671875" bestFit="1" customWidth="1"/>
    <col min="2" max="3" width="12" bestFit="1" customWidth="1"/>
    <col min="4" max="4" width="17.5546875" bestFit="1" customWidth="1"/>
    <col min="5" max="5" width="16.44140625" bestFit="1" customWidth="1"/>
    <col min="6" max="6" width="8.77734375" bestFit="1" customWidth="1"/>
    <col min="7" max="7" width="4" bestFit="1" customWidth="1"/>
    <col min="8" max="8" width="6.88671875" customWidth="1"/>
    <col min="9" max="9" width="9.88671875" bestFit="1" customWidth="1"/>
    <col min="10" max="10" width="10.21875" bestFit="1" customWidth="1"/>
    <col min="11" max="11" width="9.77734375" bestFit="1" customWidth="1"/>
    <col min="12" max="12" width="6.5546875" bestFit="1" customWidth="1"/>
    <col min="13" max="13" width="17.5546875" bestFit="1" customWidth="1"/>
    <col min="14" max="14" width="14" bestFit="1" customWidth="1"/>
    <col min="15" max="15" width="16.109375" bestFit="1" customWidth="1"/>
    <col min="16" max="16" width="9.21875" bestFit="1" customWidth="1"/>
    <col min="17" max="17" width="6" bestFit="1" customWidth="1"/>
    <col min="18" max="20" width="12" bestFit="1" customWidth="1"/>
    <col min="21" max="21" width="11" bestFit="1" customWidth="1"/>
    <col min="22" max="22" width="12.44140625" bestFit="1" customWidth="1"/>
    <col min="23" max="23" width="6.88671875" customWidth="1"/>
    <col min="24" max="24" width="8.109375" bestFit="1" customWidth="1"/>
    <col min="25" max="26" width="12" bestFit="1" customWidth="1"/>
    <col min="27" max="27" width="13.44140625" bestFit="1" customWidth="1"/>
    <col min="28" max="29" width="12" bestFit="1" customWidth="1"/>
    <col min="30" max="30" width="12.33203125" bestFit="1" customWidth="1"/>
    <col min="31" max="32" width="12" bestFit="1" customWidth="1"/>
    <col min="33" max="33" width="7" bestFit="1" customWidth="1"/>
    <col min="34" max="35" width="12" bestFit="1" customWidth="1"/>
    <col min="37" max="37" width="7" bestFit="1" customWidth="1"/>
  </cols>
  <sheetData>
    <row r="2" spans="1:35" x14ac:dyDescent="0.3">
      <c r="A2" s="37" t="s">
        <v>41</v>
      </c>
      <c r="B2" s="5" t="s">
        <v>43</v>
      </c>
      <c r="C2" s="1">
        <v>1</v>
      </c>
      <c r="E2" s="5" t="s">
        <v>46</v>
      </c>
      <c r="F2" s="5" t="s">
        <v>47</v>
      </c>
      <c r="G2" s="38" t="s">
        <v>48</v>
      </c>
      <c r="I2" s="36" t="s">
        <v>36</v>
      </c>
      <c r="J2" s="36"/>
      <c r="K2" s="36"/>
      <c r="L2" s="36"/>
      <c r="N2" s="36" t="s">
        <v>57</v>
      </c>
      <c r="O2" s="36"/>
      <c r="P2" s="28"/>
      <c r="Q2" s="28"/>
      <c r="R2" s="28"/>
      <c r="S2" s="28"/>
      <c r="T2" s="28"/>
      <c r="U2" s="28"/>
      <c r="V2" s="28"/>
      <c r="W2" s="28"/>
    </row>
    <row r="3" spans="1:35" x14ac:dyDescent="0.3">
      <c r="A3" s="37"/>
      <c r="B3" s="5" t="s">
        <v>44</v>
      </c>
      <c r="C3" s="1">
        <v>1.25</v>
      </c>
      <c r="E3" s="1">
        <v>2700</v>
      </c>
      <c r="F3" s="1">
        <v>70</v>
      </c>
      <c r="G3" s="1">
        <v>0.3</v>
      </c>
      <c r="I3" s="1" t="s">
        <v>37</v>
      </c>
      <c r="J3" s="1" t="s">
        <v>38</v>
      </c>
      <c r="K3" s="1" t="s">
        <v>39</v>
      </c>
      <c r="L3" s="19" t="s">
        <v>40</v>
      </c>
      <c r="M3" s="23" t="s">
        <v>56</v>
      </c>
      <c r="N3" s="24" t="s">
        <v>41</v>
      </c>
      <c r="O3" s="24" t="s">
        <v>42</v>
      </c>
      <c r="P3" s="27" t="s">
        <v>68</v>
      </c>
      <c r="Q3" s="27" t="s">
        <v>69</v>
      </c>
      <c r="R3" s="18" t="s">
        <v>67</v>
      </c>
      <c r="S3" s="24" t="s">
        <v>78</v>
      </c>
      <c r="T3" s="24" t="s">
        <v>66</v>
      </c>
      <c r="U3" s="18" t="s">
        <v>81</v>
      </c>
      <c r="V3" s="18" t="s">
        <v>82</v>
      </c>
      <c r="W3" s="18"/>
      <c r="X3" s="27" t="s">
        <v>62</v>
      </c>
      <c r="Y3" s="27" t="s">
        <v>70</v>
      </c>
      <c r="Z3" s="27" t="s">
        <v>74</v>
      </c>
      <c r="AA3" s="27" t="s">
        <v>63</v>
      </c>
      <c r="AB3" s="27" t="s">
        <v>71</v>
      </c>
      <c r="AC3" s="27" t="s">
        <v>75</v>
      </c>
      <c r="AD3" s="27" t="s">
        <v>64</v>
      </c>
      <c r="AE3" s="27" t="s">
        <v>72</v>
      </c>
      <c r="AF3" s="27" t="s">
        <v>76</v>
      </c>
      <c r="AG3" s="27" t="s">
        <v>65</v>
      </c>
      <c r="AH3" s="27" t="s">
        <v>73</v>
      </c>
      <c r="AI3" s="27" t="s">
        <v>77</v>
      </c>
    </row>
    <row r="4" spans="1:35" x14ac:dyDescent="0.3">
      <c r="A4" s="37"/>
      <c r="B4" s="5" t="s">
        <v>45</v>
      </c>
      <c r="C4" s="22">
        <v>5.0000000000000001E-3</v>
      </c>
      <c r="H4">
        <v>1</v>
      </c>
      <c r="I4" s="1">
        <v>14.1</v>
      </c>
      <c r="J4" s="1">
        <v>16</v>
      </c>
      <c r="K4" s="1">
        <v>17.8</v>
      </c>
      <c r="L4" s="1">
        <f>K4-I4</f>
        <v>3.7000000000000011</v>
      </c>
      <c r="M4" s="29">
        <f>$B$16/(PI()*$F$7)*(2*PI()*J4/$F$7)^2+$C$16/(4*$F$7)*(2*PI()*J4/$F$7)+$D$16/(8*$F$7)</f>
        <v>3.9398796949621393E-3</v>
      </c>
      <c r="N4" s="30">
        <f>2*PI()*L4*$D$12</f>
        <v>0.30016214368237715</v>
      </c>
      <c r="O4" s="30">
        <f>2*PI()*L4*M4</f>
        <v>9.1593478582332855E-2</v>
      </c>
      <c r="P4" s="26">
        <v>10</v>
      </c>
      <c r="Q4" s="26">
        <v>4.3499999999999996</v>
      </c>
      <c r="R4" s="26">
        <f>SQRT(J4/$B$20)</f>
        <v>8.1136957247016694E-2</v>
      </c>
      <c r="S4" s="1">
        <f>MAX(Y4,AB4,AE4,AH4)</f>
        <v>1.0879820482962032E-2</v>
      </c>
      <c r="T4" s="1">
        <f>MAX(Z4,AC4,AF4,AI4)</f>
        <v>1.0879820482962032E-2</v>
      </c>
      <c r="U4" s="26">
        <f>$C$6*$C$7*$E$7*c0*S4/($E$3*$C$2*$C$3*$C$4*2*PI()*$J4)</f>
        <v>3.368358583955457E-3</v>
      </c>
      <c r="V4" s="26">
        <f t="shared" ref="V4:V31" si="0">U4*$D$12/$M4</f>
        <v>1.1038490391454844E-2</v>
      </c>
      <c r="W4" s="26"/>
      <c r="X4">
        <f t="shared" ref="X4:X32" si="1">IF(J4&lt;$C$20,1,0)</f>
        <v>1</v>
      </c>
      <c r="Y4">
        <f>IF($X4=1,4*($C$2*$C$3)*($J4/$F$7)^2,"")</f>
        <v>1.0879820482962032E-2</v>
      </c>
      <c r="Z4">
        <f t="shared" ref="Y4:Z32" si="2">IF($X4=1,4*($C$2*$C$3)*($J4/$F$7)^2,"")</f>
        <v>1.0879820482962032E-2</v>
      </c>
      <c r="AA4">
        <f t="shared" ref="AA4:AA32" si="3">IF(AND($C$20&lt;J4,J4&lt;$B$20/2),1,0)</f>
        <v>0</v>
      </c>
      <c r="AB4" t="str">
        <f>IF($AA4=1,$F$7*2*($C$2+$C$3)/($C$2*$C$3*$B$20)*((1-$R4^2)*LN((1+$R4)/(1-$R4))+2*$R4)/(4*PI()^2*(1-$R4^2)^(3/2))+2*(2*$F$7/($B$20*PI()^2))^2*(1-2*$R4^2)/($C$2*$C$3*$R4*SQRT(1-$R4^2)),"")</f>
        <v/>
      </c>
      <c r="AC4" t="str">
        <f>IF($AA4=1,$F$7*2*($C$2+$C$3)/($C$2*$C$3*$B$20)*((1-$R4^2)*LN((1+$R4)/(1-$R4))+2*$R4)/(4*PI()^2*(1-$R4^2)^(3/2))+2*(2*$F$7/($B$20*PI()^2))^2*(1-2*$R4^2)/($C$2*$C$3*$R4*SQRT(1-$R4^2)),"")</f>
        <v/>
      </c>
      <c r="AD4">
        <f t="shared" ref="AD4:AD32" si="4">IF(AND($B$20/2&lt;J4,J4&lt;$B$20),1,0)</f>
        <v>0</v>
      </c>
      <c r="AE4" t="str">
        <f>IF($AD4=1,$F$7*2*($C$2+$C$3)/($C$2*$C$3*$B$20)*((1-$R4^2)*LN((1+$R4)/(1-$R4))+2*$R4)/(4*PI()^2*(1-$R4^2)^(3/2))+2*(2*$F$7/($B$20*PI()^2)^2*(1-2*$R4^2)/($C$2*$C$3*$R4*SQRT(1-$R4^2))),"")</f>
        <v/>
      </c>
      <c r="AF4" t="str">
        <f>IF($AD4=1,$F$7*2*($C$2+$C$3)/($C$2*$C$3*$B$20)*((1-$R4^2)*LN((1+$R4)/(1-$R4))+2*$R4)/(4*PI()^2*(1-$R4^2)^(3/2))+2*(2*$F$7/($B$20*PI()^2)^2*(1-2*$R4^2)/($C$2*$C$3*$R4*SQRT(1-$R4^2))),"")</f>
        <v/>
      </c>
      <c r="AG4">
        <f>IF(J4&gt;$B$20,1,0)</f>
        <v>0</v>
      </c>
      <c r="AH4" t="str">
        <f t="shared" ref="AH4:AI32" si="5">IF($AG4=1,1/SQRT(1-1/$R4^2),"")</f>
        <v/>
      </c>
      <c r="AI4" t="str">
        <f t="shared" si="5"/>
        <v/>
      </c>
    </row>
    <row r="5" spans="1:35" x14ac:dyDescent="0.3">
      <c r="H5">
        <v>2</v>
      </c>
      <c r="I5" s="1">
        <v>17.8</v>
      </c>
      <c r="J5" s="1">
        <v>20</v>
      </c>
      <c r="K5" s="1">
        <v>22.4</v>
      </c>
      <c r="L5" s="1">
        <f t="shared" ref="L5:L32" si="6">K5-I5</f>
        <v>4.5999999999999979</v>
      </c>
      <c r="M5" s="29">
        <f t="shared" ref="M5:M32" si="7">$B$16/(PI()*$F$7)*(2*PI()*J5/$F$7)^2+$C$16/(4*$F$7)*(2*PI()*J5/$F$7)+$D$16/(8*$F$7)</f>
        <v>4.0882142307699871E-3</v>
      </c>
      <c r="N5" s="30">
        <f t="shared" ref="N5:N32" si="8">2*PI()*L5*$D$12</f>
        <v>0.37317455701052266</v>
      </c>
      <c r="O5" s="30">
        <f t="shared" ref="O5:O32" si="9">2*PI()*L5*M5</f>
        <v>0.11816023490193174</v>
      </c>
      <c r="P5" s="26">
        <v>10</v>
      </c>
      <c r="Q5" s="26">
        <v>4.3499999999999996</v>
      </c>
      <c r="R5" s="26">
        <f t="shared" ref="R5:R32" si="10">SQRT(J5/$B$20)</f>
        <v>9.0713875945911765E-2</v>
      </c>
      <c r="S5" s="1">
        <f t="shared" ref="S5:S32" si="11">MAX(Y5,AB5,AE5,AH5)</f>
        <v>1.8961731582894416E-2</v>
      </c>
      <c r="T5" s="1">
        <f t="shared" ref="T5:T32" si="12">MAX(Z5,AC5,AF5,AI5)</f>
        <v>1.8961731582894416E-2</v>
      </c>
      <c r="U5" s="26">
        <f t="shared" ref="U5:U32" si="13">$C$6*$C$7*$E$7*c0*S5/($E$3*$C$2*$C$3*$C$4*2*PI()*J5)</f>
        <v>4.6963944998116829E-3</v>
      </c>
      <c r="V5" s="26">
        <f t="shared" si="0"/>
        <v>1.4832189005619759E-2</v>
      </c>
      <c r="W5" s="26"/>
      <c r="X5">
        <f t="shared" si="1"/>
        <v>0</v>
      </c>
      <c r="Y5" t="str">
        <f t="shared" si="2"/>
        <v/>
      </c>
      <c r="Z5" t="str">
        <f t="shared" si="2"/>
        <v/>
      </c>
      <c r="AA5">
        <f t="shared" si="3"/>
        <v>1</v>
      </c>
      <c r="AB5">
        <f t="shared" ref="AB5:AC32" si="14">IF($AA5=1,$F$7*2*($C$2+$C$3)/($C$2*$C$3*$B$20)*((1-$R5^2)*LN((1+$R5)/(1-$R5))+2*$R5)/(4*PI()^2*(1-$R5^2)^(3/2))+2*(2*$F$7/($B$20*PI()^2))^2*(1-2*$R5^2)/($C$2*$C$3*$R5*SQRT(1-$R5^2)),"")</f>
        <v>1.8961731582894416E-2</v>
      </c>
      <c r="AC5">
        <f t="shared" si="14"/>
        <v>1.8961731582894416E-2</v>
      </c>
      <c r="AD5">
        <f t="shared" si="4"/>
        <v>0</v>
      </c>
      <c r="AE5" t="str">
        <f t="shared" ref="AE5:AF32" si="15">IF($AD5=1,$F$7*2*($C$2+$C$3)/($C$2*$C$3*$B$20)*((1-$R5^2)*LN((1+$R5)/(1-$R5))+2*$R5)/(4*PI()^2*(1-$R5^2)^(3/2))+2*(2*$F$7/($B$20*PI()^2)^2*(1-2*$R5^2)/($C$2*$C$3*$R5*SQRT(1-$R5^2))),"")</f>
        <v/>
      </c>
      <c r="AF5" t="str">
        <f t="shared" si="15"/>
        <v/>
      </c>
      <c r="AG5">
        <f t="shared" ref="AG5:AG32" si="16">IF(J5&gt;$B$20,1,0)</f>
        <v>0</v>
      </c>
      <c r="AH5" t="str">
        <f t="shared" si="5"/>
        <v/>
      </c>
      <c r="AI5" t="str">
        <f t="shared" si="5"/>
        <v/>
      </c>
    </row>
    <row r="6" spans="1:35" x14ac:dyDescent="0.3">
      <c r="A6" s="37" t="s">
        <v>42</v>
      </c>
      <c r="B6" s="5" t="s">
        <v>43</v>
      </c>
      <c r="C6" s="1">
        <v>1</v>
      </c>
      <c r="E6" s="5" t="s">
        <v>46</v>
      </c>
      <c r="F6" s="5" t="s">
        <v>49</v>
      </c>
      <c r="H6">
        <v>3</v>
      </c>
      <c r="I6" s="1">
        <f>K5</f>
        <v>22.4</v>
      </c>
      <c r="J6" s="1">
        <v>25</v>
      </c>
      <c r="K6" s="1">
        <v>28.2</v>
      </c>
      <c r="L6" s="1">
        <f t="shared" si="6"/>
        <v>5.8000000000000007</v>
      </c>
      <c r="M6" s="29">
        <f t="shared" si="7"/>
        <v>4.2745082309692635E-3</v>
      </c>
      <c r="N6" s="30">
        <f t="shared" si="8"/>
        <v>0.47052444144805067</v>
      </c>
      <c r="O6" s="30">
        <f t="shared" si="9"/>
        <v>0.15577365841101687</v>
      </c>
      <c r="P6" s="26">
        <v>10</v>
      </c>
      <c r="Q6" s="26">
        <v>4.3499999999999996</v>
      </c>
      <c r="R6" s="26">
        <f t="shared" si="10"/>
        <v>0.10142119655877087</v>
      </c>
      <c r="S6" s="1">
        <f t="shared" si="11"/>
        <v>1.7986849844013813E-2</v>
      </c>
      <c r="T6" s="1">
        <f t="shared" si="12"/>
        <v>1.7986849844013813E-2</v>
      </c>
      <c r="U6" s="26">
        <f t="shared" si="13"/>
        <v>3.5639505730613503E-3</v>
      </c>
      <c r="V6" s="26">
        <f t="shared" si="0"/>
        <v>1.0765143926410819E-2</v>
      </c>
      <c r="W6" s="26"/>
      <c r="X6">
        <f t="shared" si="1"/>
        <v>0</v>
      </c>
      <c r="Y6" t="str">
        <f t="shared" si="2"/>
        <v/>
      </c>
      <c r="Z6" t="str">
        <f t="shared" si="2"/>
        <v/>
      </c>
      <c r="AA6">
        <f t="shared" si="3"/>
        <v>1</v>
      </c>
      <c r="AB6">
        <f t="shared" si="14"/>
        <v>1.7986849844013813E-2</v>
      </c>
      <c r="AC6">
        <f t="shared" si="14"/>
        <v>1.7986849844013813E-2</v>
      </c>
      <c r="AD6">
        <f t="shared" si="4"/>
        <v>0</v>
      </c>
      <c r="AE6" t="str">
        <f t="shared" si="15"/>
        <v/>
      </c>
      <c r="AF6" t="str">
        <f t="shared" si="15"/>
        <v/>
      </c>
      <c r="AG6">
        <f t="shared" si="16"/>
        <v>0</v>
      </c>
      <c r="AH6" t="str">
        <f t="shared" si="5"/>
        <v/>
      </c>
      <c r="AI6" t="str">
        <f t="shared" si="5"/>
        <v/>
      </c>
    </row>
    <row r="7" spans="1:35" x14ac:dyDescent="0.3">
      <c r="A7" s="37"/>
      <c r="B7" s="5" t="s">
        <v>44</v>
      </c>
      <c r="C7" s="1">
        <v>1.25</v>
      </c>
      <c r="E7" s="1">
        <v>1.2250000000000001</v>
      </c>
      <c r="F7" s="1">
        <v>343</v>
      </c>
      <c r="H7">
        <v>4</v>
      </c>
      <c r="I7" s="1">
        <f t="shared" ref="I7:I32" si="17">K6</f>
        <v>28.2</v>
      </c>
      <c r="J7" s="1">
        <v>31.5</v>
      </c>
      <c r="K7" s="1">
        <v>35.5</v>
      </c>
      <c r="L7" s="1">
        <f t="shared" si="6"/>
        <v>7.3000000000000007</v>
      </c>
      <c r="M7" s="29">
        <f t="shared" si="7"/>
        <v>4.518145282902771E-3</v>
      </c>
      <c r="N7" s="30">
        <f t="shared" si="8"/>
        <v>0.59221179699496018</v>
      </c>
      <c r="O7" s="30">
        <f t="shared" si="9"/>
        <v>0.20723491161783336</v>
      </c>
      <c r="P7" s="26">
        <v>10</v>
      </c>
      <c r="Q7" s="26">
        <v>4.3499999999999996</v>
      </c>
      <c r="R7" s="26">
        <f t="shared" si="10"/>
        <v>0.11384501078387306</v>
      </c>
      <c r="S7" s="1">
        <f t="shared" si="11"/>
        <v>1.7220140387958448E-2</v>
      </c>
      <c r="T7" s="1">
        <f t="shared" si="12"/>
        <v>1.7220140387958448E-2</v>
      </c>
      <c r="U7" s="26">
        <f t="shared" si="13"/>
        <v>2.7079628735865928E-3</v>
      </c>
      <c r="V7" s="26">
        <f t="shared" si="0"/>
        <v>7.7385009458239788E-3</v>
      </c>
      <c r="W7" s="26"/>
      <c r="X7">
        <f t="shared" si="1"/>
        <v>0</v>
      </c>
      <c r="Y7" t="str">
        <f t="shared" si="2"/>
        <v/>
      </c>
      <c r="Z7" t="str">
        <f t="shared" si="2"/>
        <v/>
      </c>
      <c r="AA7">
        <f t="shared" si="3"/>
        <v>1</v>
      </c>
      <c r="AB7">
        <f t="shared" si="14"/>
        <v>1.7220140387958448E-2</v>
      </c>
      <c r="AC7">
        <f t="shared" si="14"/>
        <v>1.7220140387958448E-2</v>
      </c>
      <c r="AD7">
        <f t="shared" si="4"/>
        <v>0</v>
      </c>
      <c r="AE7" t="str">
        <f t="shared" si="15"/>
        <v/>
      </c>
      <c r="AF7" t="str">
        <f t="shared" si="15"/>
        <v/>
      </c>
      <c r="AG7">
        <f t="shared" si="16"/>
        <v>0</v>
      </c>
      <c r="AH7" t="str">
        <f t="shared" si="5"/>
        <v/>
      </c>
      <c r="AI7" t="str">
        <f t="shared" si="5"/>
        <v/>
      </c>
    </row>
    <row r="8" spans="1:35" x14ac:dyDescent="0.3">
      <c r="A8" s="37"/>
      <c r="B8" s="5" t="s">
        <v>45</v>
      </c>
      <c r="C8" s="21">
        <v>0.05</v>
      </c>
      <c r="H8">
        <v>5</v>
      </c>
      <c r="I8" s="1">
        <f t="shared" si="17"/>
        <v>35.5</v>
      </c>
      <c r="J8" s="1">
        <v>40</v>
      </c>
      <c r="K8" s="1">
        <v>44.7</v>
      </c>
      <c r="L8" s="1">
        <f t="shared" si="6"/>
        <v>9.2000000000000028</v>
      </c>
      <c r="M8" s="29">
        <f t="shared" si="7"/>
        <v>4.8392291011635389E-3</v>
      </c>
      <c r="N8" s="30">
        <f t="shared" si="8"/>
        <v>0.74634911402104598</v>
      </c>
      <c r="O8" s="30">
        <f t="shared" si="9"/>
        <v>0.27973311331586104</v>
      </c>
      <c r="P8" s="26">
        <v>10</v>
      </c>
      <c r="Q8" s="26">
        <v>4.3499999999999996</v>
      </c>
      <c r="R8" s="26">
        <f t="shared" si="10"/>
        <v>0.12828879365813889</v>
      </c>
      <c r="S8" s="1">
        <f t="shared" si="11"/>
        <v>1.6679907442967525E-2</v>
      </c>
      <c r="T8" s="1">
        <f t="shared" si="12"/>
        <v>1.6679907442967525E-2</v>
      </c>
      <c r="U8" s="26">
        <f t="shared" si="13"/>
        <v>2.0656189871179243E-3</v>
      </c>
      <c r="V8" s="26">
        <f t="shared" si="0"/>
        <v>5.5112277651581821E-3</v>
      </c>
      <c r="W8" s="26"/>
      <c r="X8">
        <f t="shared" si="1"/>
        <v>0</v>
      </c>
      <c r="Y8" t="str">
        <f t="shared" si="2"/>
        <v/>
      </c>
      <c r="Z8" t="str">
        <f t="shared" si="2"/>
        <v/>
      </c>
      <c r="AA8">
        <f t="shared" si="3"/>
        <v>1</v>
      </c>
      <c r="AB8">
        <f t="shared" si="14"/>
        <v>1.6679907442967525E-2</v>
      </c>
      <c r="AC8">
        <f t="shared" si="14"/>
        <v>1.6679907442967525E-2</v>
      </c>
      <c r="AD8">
        <f t="shared" si="4"/>
        <v>0</v>
      </c>
      <c r="AE8" t="str">
        <f t="shared" si="15"/>
        <v/>
      </c>
      <c r="AF8" t="str">
        <f t="shared" si="15"/>
        <v/>
      </c>
      <c r="AG8">
        <f t="shared" si="16"/>
        <v>0</v>
      </c>
      <c r="AH8" t="str">
        <f t="shared" si="5"/>
        <v/>
      </c>
      <c r="AI8" t="str">
        <f t="shared" si="5"/>
        <v/>
      </c>
    </row>
    <row r="9" spans="1:35" x14ac:dyDescent="0.3">
      <c r="H9">
        <v>6</v>
      </c>
      <c r="I9" s="1">
        <f t="shared" si="17"/>
        <v>44.7</v>
      </c>
      <c r="J9" s="1">
        <v>50</v>
      </c>
      <c r="K9" s="1">
        <v>56.2</v>
      </c>
      <c r="L9" s="1">
        <f t="shared" si="6"/>
        <v>11.5</v>
      </c>
      <c r="M9" s="29">
        <f t="shared" si="7"/>
        <v>5.2205754059567611E-3</v>
      </c>
      <c r="N9" s="30">
        <f t="shared" si="8"/>
        <v>0.93293639252630711</v>
      </c>
      <c r="O9" s="30">
        <f t="shared" si="9"/>
        <v>0.37722119088590217</v>
      </c>
      <c r="P9" s="26">
        <v>10</v>
      </c>
      <c r="Q9" s="26">
        <v>4.3499999999999996</v>
      </c>
      <c r="R9" s="26">
        <f t="shared" si="10"/>
        <v>0.14343123168552124</v>
      </c>
      <c r="S9" s="1">
        <f t="shared" si="11"/>
        <v>1.64043016519205E-2</v>
      </c>
      <c r="T9" s="1">
        <f t="shared" si="12"/>
        <v>1.64043016519205E-2</v>
      </c>
      <c r="U9" s="26">
        <f t="shared" si="13"/>
        <v>1.6251906470573757E-3</v>
      </c>
      <c r="V9" s="26">
        <f t="shared" si="0"/>
        <v>4.0193911054477493E-3</v>
      </c>
      <c r="W9" s="26"/>
      <c r="X9">
        <f t="shared" si="1"/>
        <v>0</v>
      </c>
      <c r="Y9" t="str">
        <f t="shared" si="2"/>
        <v/>
      </c>
      <c r="Z9" t="str">
        <f t="shared" si="2"/>
        <v/>
      </c>
      <c r="AA9">
        <f t="shared" si="3"/>
        <v>1</v>
      </c>
      <c r="AB9">
        <f t="shared" si="14"/>
        <v>1.64043016519205E-2</v>
      </c>
      <c r="AC9">
        <f t="shared" si="14"/>
        <v>1.64043016519205E-2</v>
      </c>
      <c r="AD9">
        <f t="shared" si="4"/>
        <v>0</v>
      </c>
      <c r="AE9" t="str">
        <f t="shared" si="15"/>
        <v/>
      </c>
      <c r="AF9" t="str">
        <f t="shared" si="15"/>
        <v/>
      </c>
      <c r="AG9">
        <f t="shared" si="16"/>
        <v>0</v>
      </c>
      <c r="AH9" t="str">
        <f t="shared" si="5"/>
        <v/>
      </c>
      <c r="AI9" t="str">
        <f t="shared" si="5"/>
        <v/>
      </c>
    </row>
    <row r="10" spans="1:35" x14ac:dyDescent="0.3">
      <c r="B10" s="26" t="s">
        <v>41</v>
      </c>
      <c r="H10">
        <v>7</v>
      </c>
      <c r="I10" s="1">
        <f t="shared" si="17"/>
        <v>56.2</v>
      </c>
      <c r="J10" s="1">
        <v>63</v>
      </c>
      <c r="K10" s="1">
        <v>70.8</v>
      </c>
      <c r="L10" s="1">
        <f t="shared" si="6"/>
        <v>14.599999999999994</v>
      </c>
      <c r="M10" s="29">
        <f t="shared" si="7"/>
        <v>5.7221450088857408E-3</v>
      </c>
      <c r="N10" s="30">
        <f t="shared" si="8"/>
        <v>1.1844235939899199</v>
      </c>
      <c r="O10" s="30">
        <f t="shared" si="9"/>
        <v>0.52491814270257542</v>
      </c>
      <c r="P10" s="26">
        <v>10</v>
      </c>
      <c r="Q10" s="26">
        <v>4.3499999999999996</v>
      </c>
      <c r="R10" s="26">
        <f t="shared" si="10"/>
        <v>0.16100115825906453</v>
      </c>
      <c r="S10" s="1">
        <f t="shared" si="11"/>
        <v>1.635434198320506E-2</v>
      </c>
      <c r="T10" s="1">
        <f t="shared" si="12"/>
        <v>1.635434198320506E-2</v>
      </c>
      <c r="U10" s="26">
        <f t="shared" si="13"/>
        <v>1.2859056289525499E-3</v>
      </c>
      <c r="V10" s="26">
        <f t="shared" si="0"/>
        <v>2.9015132887849696E-3</v>
      </c>
      <c r="W10" s="26"/>
      <c r="X10">
        <f t="shared" si="1"/>
        <v>0</v>
      </c>
      <c r="Y10" t="str">
        <f t="shared" si="2"/>
        <v/>
      </c>
      <c r="Z10" t="str">
        <f t="shared" si="2"/>
        <v/>
      </c>
      <c r="AA10">
        <f t="shared" si="3"/>
        <v>1</v>
      </c>
      <c r="AB10">
        <f t="shared" si="14"/>
        <v>1.635434198320506E-2</v>
      </c>
      <c r="AC10">
        <f t="shared" si="14"/>
        <v>1.635434198320506E-2</v>
      </c>
      <c r="AD10">
        <f t="shared" si="4"/>
        <v>0</v>
      </c>
      <c r="AE10" t="str">
        <f t="shared" si="15"/>
        <v/>
      </c>
      <c r="AF10" t="str">
        <f t="shared" si="15"/>
        <v/>
      </c>
      <c r="AG10">
        <f t="shared" si="16"/>
        <v>0</v>
      </c>
      <c r="AH10" t="str">
        <f t="shared" si="5"/>
        <v/>
      </c>
      <c r="AI10" t="str">
        <f t="shared" si="5"/>
        <v/>
      </c>
    </row>
    <row r="11" spans="1:35" x14ac:dyDescent="0.3">
      <c r="B11" s="25" t="s">
        <v>52</v>
      </c>
      <c r="C11" s="25" t="s">
        <v>51</v>
      </c>
      <c r="D11" s="25" t="s">
        <v>55</v>
      </c>
      <c r="H11">
        <v>8</v>
      </c>
      <c r="I11" s="1">
        <f t="shared" si="17"/>
        <v>70.8</v>
      </c>
      <c r="J11" s="1">
        <v>80</v>
      </c>
      <c r="K11" s="1">
        <v>89.1</v>
      </c>
      <c r="L11" s="1">
        <f t="shared" si="6"/>
        <v>18.299999999999997</v>
      </c>
      <c r="M11" s="29">
        <f t="shared" si="7"/>
        <v>6.3879697987222119E-3</v>
      </c>
      <c r="N11" s="30">
        <f t="shared" si="8"/>
        <v>1.4845857376722973</v>
      </c>
      <c r="O11" s="30">
        <f t="shared" si="9"/>
        <v>0.73450340307130157</v>
      </c>
      <c r="P11" s="26">
        <v>10</v>
      </c>
      <c r="Q11" s="26">
        <v>4.3499999999999996</v>
      </c>
      <c r="R11" s="26">
        <f t="shared" si="10"/>
        <v>0.18142775189182353</v>
      </c>
      <c r="S11" s="1">
        <f t="shared" si="11"/>
        <v>1.6563377450891828E-2</v>
      </c>
      <c r="T11" s="1">
        <f t="shared" si="12"/>
        <v>1.6563377450891828E-2</v>
      </c>
      <c r="U11" s="26">
        <f t="shared" si="13"/>
        <v>1.0255940289341345E-3</v>
      </c>
      <c r="V11" s="26">
        <f t="shared" si="0"/>
        <v>2.0729410668907161E-3</v>
      </c>
      <c r="W11" s="26"/>
      <c r="X11">
        <f t="shared" si="1"/>
        <v>0</v>
      </c>
      <c r="Y11" t="str">
        <f t="shared" si="2"/>
        <v/>
      </c>
      <c r="Z11" t="str">
        <f t="shared" si="2"/>
        <v/>
      </c>
      <c r="AA11">
        <f t="shared" si="3"/>
        <v>1</v>
      </c>
      <c r="AB11">
        <f t="shared" si="14"/>
        <v>1.6563377450891828E-2</v>
      </c>
      <c r="AC11">
        <f t="shared" si="14"/>
        <v>1.6563377450891828E-2</v>
      </c>
      <c r="AD11">
        <f t="shared" si="4"/>
        <v>0</v>
      </c>
      <c r="AE11" t="str">
        <f t="shared" si="15"/>
        <v/>
      </c>
      <c r="AF11" t="str">
        <f t="shared" si="15"/>
        <v/>
      </c>
      <c r="AG11">
        <f t="shared" si="16"/>
        <v>0</v>
      </c>
      <c r="AH11" t="str">
        <f t="shared" si="5"/>
        <v/>
      </c>
      <c r="AI11" t="str">
        <f t="shared" si="5"/>
        <v/>
      </c>
    </row>
    <row r="12" spans="1:35" x14ac:dyDescent="0.3">
      <c r="B12" s="21">
        <f>F3*1000000000*C4^3/(12*(1-G3^2))</f>
        <v>801.2820512820515</v>
      </c>
      <c r="C12" s="1">
        <f>C2*C3</f>
        <v>1.25</v>
      </c>
      <c r="D12" s="1">
        <f>C12/(4*PI())*SQRT(E3*C4/B12)</f>
        <v>1.2911429431381091E-2</v>
      </c>
      <c r="H12">
        <v>9</v>
      </c>
      <c r="I12" s="1">
        <f t="shared" si="17"/>
        <v>89.1</v>
      </c>
      <c r="J12" s="1">
        <v>100</v>
      </c>
      <c r="K12" s="1">
        <v>112</v>
      </c>
      <c r="L12" s="1">
        <f t="shared" si="6"/>
        <v>22.900000000000006</v>
      </c>
      <c r="M12" s="29">
        <f t="shared" si="7"/>
        <v>7.185695625887333E-3</v>
      </c>
      <c r="N12" s="30">
        <f t="shared" si="8"/>
        <v>1.8577602946828209</v>
      </c>
      <c r="O12" s="30">
        <f t="shared" si="9"/>
        <v>1.0339134093862743</v>
      </c>
      <c r="P12" s="26">
        <v>10</v>
      </c>
      <c r="Q12" s="26">
        <v>4.3499999999999996</v>
      </c>
      <c r="R12" s="26">
        <f t="shared" si="10"/>
        <v>0.20284239311754174</v>
      </c>
      <c r="S12" s="1">
        <f t="shared" si="11"/>
        <v>1.7013273018238177E-2</v>
      </c>
      <c r="T12" s="1">
        <f t="shared" si="12"/>
        <v>1.7013273018238177E-2</v>
      </c>
      <c r="U12" s="26">
        <f t="shared" si="13"/>
        <v>8.4276102609455634E-4</v>
      </c>
      <c r="V12" s="26">
        <f t="shared" si="0"/>
        <v>1.5142931293578832E-3</v>
      </c>
      <c r="W12" s="26"/>
      <c r="X12">
        <f t="shared" si="1"/>
        <v>0</v>
      </c>
      <c r="Y12" t="str">
        <f t="shared" si="2"/>
        <v/>
      </c>
      <c r="Z12" t="str">
        <f t="shared" si="2"/>
        <v/>
      </c>
      <c r="AA12">
        <f t="shared" si="3"/>
        <v>1</v>
      </c>
      <c r="AB12">
        <f t="shared" si="14"/>
        <v>1.7013273018238177E-2</v>
      </c>
      <c r="AC12">
        <f t="shared" si="14"/>
        <v>1.7013273018238177E-2</v>
      </c>
      <c r="AD12">
        <f t="shared" si="4"/>
        <v>0</v>
      </c>
      <c r="AE12" t="str">
        <f t="shared" si="15"/>
        <v/>
      </c>
      <c r="AF12" t="str">
        <f t="shared" si="15"/>
        <v/>
      </c>
      <c r="AG12">
        <f t="shared" si="16"/>
        <v>0</v>
      </c>
      <c r="AH12" t="str">
        <f t="shared" si="5"/>
        <v/>
      </c>
      <c r="AI12" t="str">
        <f t="shared" si="5"/>
        <v/>
      </c>
    </row>
    <row r="13" spans="1:35" x14ac:dyDescent="0.3">
      <c r="H13">
        <v>10</v>
      </c>
      <c r="I13" s="1">
        <f t="shared" si="17"/>
        <v>112</v>
      </c>
      <c r="J13" s="1">
        <v>125</v>
      </c>
      <c r="K13" s="1">
        <v>141</v>
      </c>
      <c r="L13" s="1">
        <f t="shared" si="6"/>
        <v>29</v>
      </c>
      <c r="M13" s="29">
        <f t="shared" si="7"/>
        <v>8.2047486708304064E-3</v>
      </c>
      <c r="N13" s="30">
        <f t="shared" si="8"/>
        <v>2.3526222072402527</v>
      </c>
      <c r="O13" s="30">
        <f t="shared" si="9"/>
        <v>1.4950067326322227</v>
      </c>
      <c r="P13" s="26">
        <v>10</v>
      </c>
      <c r="Q13" s="26">
        <v>4.3499999999999996</v>
      </c>
      <c r="R13" s="26">
        <f t="shared" si="10"/>
        <v>0.2267846898647794</v>
      </c>
      <c r="S13" s="1">
        <f t="shared" si="11"/>
        <v>1.7732665656201064E-2</v>
      </c>
      <c r="T13" s="1">
        <f t="shared" si="12"/>
        <v>1.7732665656201064E-2</v>
      </c>
      <c r="U13" s="26">
        <f t="shared" si="13"/>
        <v>7.0271720145988865E-4</v>
      </c>
      <c r="V13" s="26">
        <f t="shared" si="0"/>
        <v>1.1058332096294022E-3</v>
      </c>
      <c r="W13" s="26"/>
      <c r="X13">
        <f t="shared" si="1"/>
        <v>0</v>
      </c>
      <c r="Y13" t="str">
        <f t="shared" si="2"/>
        <v/>
      </c>
      <c r="Z13" t="str">
        <f t="shared" si="2"/>
        <v/>
      </c>
      <c r="AA13">
        <f t="shared" si="3"/>
        <v>1</v>
      </c>
      <c r="AB13">
        <f t="shared" si="14"/>
        <v>1.7732665656201064E-2</v>
      </c>
      <c r="AC13">
        <f t="shared" si="14"/>
        <v>1.7732665656201064E-2</v>
      </c>
      <c r="AD13">
        <f t="shared" si="4"/>
        <v>0</v>
      </c>
      <c r="AE13" t="str">
        <f t="shared" si="15"/>
        <v/>
      </c>
      <c r="AF13" t="str">
        <f t="shared" si="15"/>
        <v/>
      </c>
      <c r="AG13">
        <f t="shared" si="16"/>
        <v>0</v>
      </c>
      <c r="AH13" t="str">
        <f t="shared" si="5"/>
        <v/>
      </c>
      <c r="AI13" t="str">
        <f t="shared" si="5"/>
        <v/>
      </c>
    </row>
    <row r="14" spans="1:35" x14ac:dyDescent="0.3">
      <c r="B14" s="26" t="s">
        <v>42</v>
      </c>
      <c r="H14">
        <v>11</v>
      </c>
      <c r="I14" s="1">
        <f t="shared" si="17"/>
        <v>141</v>
      </c>
      <c r="J14" s="1">
        <v>160</v>
      </c>
      <c r="K14" s="1">
        <v>178</v>
      </c>
      <c r="L14" s="1">
        <f t="shared" si="6"/>
        <v>37</v>
      </c>
      <c r="M14" s="29">
        <f t="shared" si="7"/>
        <v>9.6722950209258331E-3</v>
      </c>
      <c r="N14" s="30">
        <f t="shared" si="8"/>
        <v>3.001621436823771</v>
      </c>
      <c r="O14" s="30">
        <f t="shared" si="9"/>
        <v>2.2485944126009363</v>
      </c>
      <c r="P14" s="26">
        <v>10</v>
      </c>
      <c r="Q14" s="26">
        <v>4.3499999999999996</v>
      </c>
      <c r="R14" s="26">
        <f t="shared" si="10"/>
        <v>0.25657758731627778</v>
      </c>
      <c r="S14" s="1">
        <f t="shared" si="11"/>
        <v>1.8885057286009931E-2</v>
      </c>
      <c r="T14" s="1">
        <f t="shared" si="12"/>
        <v>1.8885057286009931E-2</v>
      </c>
      <c r="U14" s="26">
        <f t="shared" si="13"/>
        <v>5.8467550009155887E-4</v>
      </c>
      <c r="V14" s="26">
        <f t="shared" si="0"/>
        <v>7.8047624099115E-4</v>
      </c>
      <c r="W14" s="26"/>
      <c r="X14">
        <f t="shared" si="1"/>
        <v>0</v>
      </c>
      <c r="Y14" t="str">
        <f t="shared" si="2"/>
        <v/>
      </c>
      <c r="Z14" t="str">
        <f t="shared" si="2"/>
        <v/>
      </c>
      <c r="AA14">
        <f t="shared" si="3"/>
        <v>1</v>
      </c>
      <c r="AB14">
        <f t="shared" si="14"/>
        <v>1.8885057286009931E-2</v>
      </c>
      <c r="AC14">
        <f t="shared" si="14"/>
        <v>1.8885057286009931E-2</v>
      </c>
      <c r="AD14">
        <f t="shared" si="4"/>
        <v>0</v>
      </c>
      <c r="AE14" t="str">
        <f t="shared" si="15"/>
        <v/>
      </c>
      <c r="AF14" t="str">
        <f t="shared" si="15"/>
        <v/>
      </c>
      <c r="AG14">
        <f t="shared" si="16"/>
        <v>0</v>
      </c>
      <c r="AH14" t="str">
        <f t="shared" si="5"/>
        <v/>
      </c>
      <c r="AI14" t="str">
        <f t="shared" si="5"/>
        <v/>
      </c>
    </row>
    <row r="15" spans="1:35" x14ac:dyDescent="0.3">
      <c r="B15" s="25" t="s">
        <v>50</v>
      </c>
      <c r="C15" s="25" t="s">
        <v>53</v>
      </c>
      <c r="D15" s="25" t="s">
        <v>54</v>
      </c>
      <c r="H15">
        <v>12</v>
      </c>
      <c r="I15" s="1">
        <f t="shared" si="17"/>
        <v>178</v>
      </c>
      <c r="J15" s="1">
        <v>200</v>
      </c>
      <c r="K15" s="1">
        <v>224</v>
      </c>
      <c r="L15" s="1">
        <f t="shared" si="6"/>
        <v>46</v>
      </c>
      <c r="M15" s="29">
        <f t="shared" si="7"/>
        <v>1.1407879545570782E-2</v>
      </c>
      <c r="N15" s="30">
        <f t="shared" si="8"/>
        <v>3.7317455701052284</v>
      </c>
      <c r="O15" s="30">
        <f t="shared" si="9"/>
        <v>3.2971797727530241</v>
      </c>
      <c r="P15" s="26">
        <v>10</v>
      </c>
      <c r="Q15" s="26">
        <v>4.3499999999999996</v>
      </c>
      <c r="R15" s="26">
        <f t="shared" si="10"/>
        <v>0.28686246337104249</v>
      </c>
      <c r="S15" s="1">
        <f t="shared" si="11"/>
        <v>2.0306483919749978E-2</v>
      </c>
      <c r="T15" s="1">
        <f t="shared" si="12"/>
        <v>2.0306483919749978E-2</v>
      </c>
      <c r="U15" s="26">
        <f t="shared" si="13"/>
        <v>5.0294594127289522E-4</v>
      </c>
      <c r="V15" s="26">
        <f t="shared" si="0"/>
        <v>5.692338354909949E-4</v>
      </c>
      <c r="W15" s="26"/>
      <c r="X15">
        <f t="shared" si="1"/>
        <v>0</v>
      </c>
      <c r="Y15" t="str">
        <f t="shared" si="2"/>
        <v/>
      </c>
      <c r="Z15" t="str">
        <f t="shared" si="2"/>
        <v/>
      </c>
      <c r="AA15">
        <f t="shared" si="3"/>
        <v>1</v>
      </c>
      <c r="AB15">
        <f t="shared" si="14"/>
        <v>2.0306483919749978E-2</v>
      </c>
      <c r="AC15">
        <f t="shared" si="14"/>
        <v>2.0306483919749978E-2</v>
      </c>
      <c r="AD15">
        <f t="shared" si="4"/>
        <v>0</v>
      </c>
      <c r="AE15" t="str">
        <f t="shared" si="15"/>
        <v/>
      </c>
      <c r="AF15" t="str">
        <f t="shared" si="15"/>
        <v/>
      </c>
      <c r="AG15">
        <f t="shared" si="16"/>
        <v>0</v>
      </c>
      <c r="AH15" t="str">
        <f t="shared" si="5"/>
        <v/>
      </c>
      <c r="AI15" t="str">
        <f t="shared" si="5"/>
        <v/>
      </c>
    </row>
    <row r="16" spans="1:35" x14ac:dyDescent="0.3">
      <c r="B16" s="1">
        <f>C6*C7*C8</f>
        <v>6.25E-2</v>
      </c>
      <c r="C16" s="1">
        <f>2*(C6*C7+C6*C8+C7*C8)</f>
        <v>2.7250000000000001</v>
      </c>
      <c r="D16" s="1">
        <f>4*(C6+C7+C8)</f>
        <v>9.1999999999999993</v>
      </c>
      <c r="H16">
        <v>13</v>
      </c>
      <c r="I16" s="1">
        <f t="shared" si="17"/>
        <v>224</v>
      </c>
      <c r="J16" s="1">
        <v>250</v>
      </c>
      <c r="K16" s="1">
        <v>282</v>
      </c>
      <c r="L16" s="1">
        <f t="shared" si="6"/>
        <v>58</v>
      </c>
      <c r="M16" s="29">
        <f t="shared" si="7"/>
        <v>1.3664943245323656E-2</v>
      </c>
      <c r="N16" s="30">
        <f t="shared" si="8"/>
        <v>4.7052444144805055</v>
      </c>
      <c r="O16" s="30">
        <f>2*PI()*L16*M16</f>
        <v>4.9798434961027107</v>
      </c>
      <c r="P16" s="26">
        <v>10</v>
      </c>
      <c r="Q16" s="26">
        <v>4.3499999999999996</v>
      </c>
      <c r="R16" s="26">
        <f t="shared" si="10"/>
        <v>0.32072198414534719</v>
      </c>
      <c r="S16" s="1">
        <f t="shared" si="11"/>
        <v>2.2170158490606343E-2</v>
      </c>
      <c r="T16" s="1">
        <f t="shared" si="12"/>
        <v>2.2170158490606343E-2</v>
      </c>
      <c r="U16" s="26">
        <f t="shared" si="13"/>
        <v>4.3928397547474834E-4</v>
      </c>
      <c r="V16" s="26">
        <f t="shared" si="0"/>
        <v>4.1506092984467557E-4</v>
      </c>
      <c r="W16" s="26"/>
      <c r="X16">
        <f t="shared" si="1"/>
        <v>0</v>
      </c>
      <c r="Y16" t="str">
        <f t="shared" si="2"/>
        <v/>
      </c>
      <c r="Z16" t="str">
        <f t="shared" si="2"/>
        <v/>
      </c>
      <c r="AA16">
        <f t="shared" si="3"/>
        <v>1</v>
      </c>
      <c r="AB16">
        <f t="shared" si="14"/>
        <v>2.2170158490606343E-2</v>
      </c>
      <c r="AC16">
        <f t="shared" si="14"/>
        <v>2.2170158490606343E-2</v>
      </c>
      <c r="AD16">
        <f t="shared" si="4"/>
        <v>0</v>
      </c>
      <c r="AE16" t="str">
        <f t="shared" si="15"/>
        <v/>
      </c>
      <c r="AF16" t="str">
        <f t="shared" si="15"/>
        <v/>
      </c>
      <c r="AG16">
        <f t="shared" si="16"/>
        <v>0</v>
      </c>
      <c r="AH16" t="str">
        <f t="shared" si="5"/>
        <v/>
      </c>
      <c r="AI16" t="str">
        <f t="shared" si="5"/>
        <v/>
      </c>
    </row>
    <row r="17" spans="1:35" x14ac:dyDescent="0.3">
      <c r="H17">
        <v>14</v>
      </c>
      <c r="I17" s="1">
        <f t="shared" si="17"/>
        <v>282</v>
      </c>
      <c r="J17" s="25">
        <v>315</v>
      </c>
      <c r="K17" s="1">
        <v>355</v>
      </c>
      <c r="L17" s="1">
        <f t="shared" si="6"/>
        <v>73</v>
      </c>
      <c r="M17" s="29">
        <f t="shared" si="7"/>
        <v>1.6744611222447178E-2</v>
      </c>
      <c r="N17" s="30">
        <f t="shared" si="8"/>
        <v>5.9221179699496016</v>
      </c>
      <c r="O17" s="30">
        <f t="shared" si="9"/>
        <v>7.6802931501339593</v>
      </c>
      <c r="P17" s="26">
        <v>10</v>
      </c>
      <c r="Q17" s="26">
        <v>4.3499999999999996</v>
      </c>
      <c r="R17" s="26">
        <f t="shared" si="10"/>
        <v>0.36000953432346999</v>
      </c>
      <c r="S17" s="1">
        <f t="shared" si="11"/>
        <v>2.4695210571378572E-2</v>
      </c>
      <c r="T17" s="1">
        <f t="shared" si="12"/>
        <v>2.4695210571378572E-2</v>
      </c>
      <c r="U17" s="26">
        <f t="shared" si="13"/>
        <v>3.8834592445866013E-4</v>
      </c>
      <c r="V17" s="26">
        <f t="shared" si="0"/>
        <v>2.9944565042458151E-4</v>
      </c>
      <c r="W17" s="26"/>
      <c r="X17">
        <f t="shared" si="1"/>
        <v>0</v>
      </c>
      <c r="Y17" t="str">
        <f t="shared" si="2"/>
        <v/>
      </c>
      <c r="Z17" t="str">
        <f t="shared" si="2"/>
        <v/>
      </c>
      <c r="AA17">
        <f t="shared" si="3"/>
        <v>1</v>
      </c>
      <c r="AB17">
        <f t="shared" si="14"/>
        <v>2.4695210571378572E-2</v>
      </c>
      <c r="AC17">
        <f t="shared" si="14"/>
        <v>2.4695210571378572E-2</v>
      </c>
      <c r="AD17">
        <f t="shared" si="4"/>
        <v>0</v>
      </c>
      <c r="AE17" t="str">
        <f t="shared" si="15"/>
        <v/>
      </c>
      <c r="AF17" t="str">
        <f t="shared" si="15"/>
        <v/>
      </c>
      <c r="AG17">
        <f t="shared" si="16"/>
        <v>0</v>
      </c>
      <c r="AH17" t="str">
        <f t="shared" si="5"/>
        <v/>
      </c>
      <c r="AI17" t="str">
        <f t="shared" si="5"/>
        <v/>
      </c>
    </row>
    <row r="18" spans="1:35" x14ac:dyDescent="0.3">
      <c r="A18" t="s">
        <v>58</v>
      </c>
      <c r="H18">
        <v>15</v>
      </c>
      <c r="I18" s="1">
        <f t="shared" si="17"/>
        <v>355</v>
      </c>
      <c r="J18" s="1">
        <v>400</v>
      </c>
      <c r="K18" s="1">
        <v>447</v>
      </c>
      <c r="L18" s="1">
        <f t="shared" si="6"/>
        <v>92</v>
      </c>
      <c r="M18" s="29">
        <f t="shared" si="7"/>
        <v>2.1020021304226897E-2</v>
      </c>
      <c r="N18" s="30">
        <f t="shared" si="8"/>
        <v>7.4634911402104569</v>
      </c>
      <c r="O18" s="30">
        <f t="shared" si="9"/>
        <v>12.15068738940947</v>
      </c>
      <c r="P18" s="26">
        <v>10</v>
      </c>
      <c r="Q18" s="26">
        <v>4.3499999999999996</v>
      </c>
      <c r="R18" s="26">
        <f t="shared" si="10"/>
        <v>0.40568478623508347</v>
      </c>
      <c r="S18" s="1">
        <f t="shared" si="11"/>
        <v>2.8163121110015871E-2</v>
      </c>
      <c r="T18" s="1">
        <f t="shared" si="12"/>
        <v>2.8163121110015871E-2</v>
      </c>
      <c r="U18" s="26">
        <f t="shared" si="13"/>
        <v>3.4876858819667768E-4</v>
      </c>
      <c r="V18" s="26">
        <f t="shared" si="0"/>
        <v>2.1422913655555104E-4</v>
      </c>
      <c r="W18" s="26"/>
      <c r="X18">
        <f t="shared" si="1"/>
        <v>0</v>
      </c>
      <c r="Y18" t="str">
        <f t="shared" si="2"/>
        <v/>
      </c>
      <c r="Z18" t="str">
        <f t="shared" si="2"/>
        <v/>
      </c>
      <c r="AA18">
        <f t="shared" si="3"/>
        <v>1</v>
      </c>
      <c r="AB18">
        <f t="shared" si="14"/>
        <v>2.8163121110015871E-2</v>
      </c>
      <c r="AC18">
        <f t="shared" si="14"/>
        <v>2.8163121110015871E-2</v>
      </c>
      <c r="AD18">
        <f t="shared" si="4"/>
        <v>0</v>
      </c>
      <c r="AE18" t="str">
        <f t="shared" si="15"/>
        <v/>
      </c>
      <c r="AF18" t="str">
        <f t="shared" si="15"/>
        <v/>
      </c>
      <c r="AG18">
        <f t="shared" si="16"/>
        <v>0</v>
      </c>
      <c r="AH18" t="str">
        <f t="shared" si="5"/>
        <v/>
      </c>
      <c r="AI18" t="str">
        <f t="shared" si="5"/>
        <v/>
      </c>
    </row>
    <row r="19" spans="1:35" x14ac:dyDescent="0.3">
      <c r="B19" s="4" t="s">
        <v>59</v>
      </c>
      <c r="C19" s="4" t="s">
        <v>60</v>
      </c>
      <c r="F19" s="29"/>
      <c r="H19">
        <v>16</v>
      </c>
      <c r="I19" s="1">
        <f t="shared" si="17"/>
        <v>447</v>
      </c>
      <c r="J19" s="1">
        <v>500</v>
      </c>
      <c r="K19" s="1">
        <v>562</v>
      </c>
      <c r="L19" s="1">
        <f t="shared" si="6"/>
        <v>115</v>
      </c>
      <c r="M19" s="29">
        <f t="shared" si="7"/>
        <v>2.6409979143199563E-2</v>
      </c>
      <c r="N19" s="30">
        <f t="shared" si="8"/>
        <v>9.3293639252630722</v>
      </c>
      <c r="O19" s="30">
        <f t="shared" si="9"/>
        <v>19.082961185279146</v>
      </c>
      <c r="P19" s="26">
        <v>10</v>
      </c>
      <c r="Q19" s="26">
        <v>4.3499999999999996</v>
      </c>
      <c r="R19" s="26">
        <f t="shared" si="10"/>
        <v>0.4535693797295588</v>
      </c>
      <c r="S19" s="1">
        <f t="shared" si="11"/>
        <v>3.2524940426959373E-2</v>
      </c>
      <c r="T19" s="1">
        <f t="shared" si="12"/>
        <v>3.2524940426959373E-2</v>
      </c>
      <c r="U19" s="26">
        <f t="shared" si="13"/>
        <v>3.2222785278887079E-4</v>
      </c>
      <c r="V19" s="26">
        <f t="shared" si="0"/>
        <v>1.5753220248870389E-4</v>
      </c>
      <c r="W19" s="26"/>
      <c r="X19">
        <f t="shared" si="1"/>
        <v>0</v>
      </c>
      <c r="Y19" t="str">
        <f t="shared" si="2"/>
        <v/>
      </c>
      <c r="Z19" t="str">
        <f t="shared" si="2"/>
        <v/>
      </c>
      <c r="AA19">
        <f t="shared" si="3"/>
        <v>1</v>
      </c>
      <c r="AB19">
        <f t="shared" si="14"/>
        <v>3.2524940426959373E-2</v>
      </c>
      <c r="AC19">
        <f t="shared" si="14"/>
        <v>3.2524940426959373E-2</v>
      </c>
      <c r="AD19">
        <f t="shared" si="4"/>
        <v>0</v>
      </c>
      <c r="AE19" t="str">
        <f t="shared" si="15"/>
        <v/>
      </c>
      <c r="AF19" t="str">
        <f t="shared" si="15"/>
        <v/>
      </c>
      <c r="AG19">
        <f t="shared" si="16"/>
        <v>0</v>
      </c>
      <c r="AH19" t="str">
        <f t="shared" si="5"/>
        <v/>
      </c>
      <c r="AI19" t="str">
        <f t="shared" si="5"/>
        <v/>
      </c>
    </row>
    <row r="20" spans="1:35" x14ac:dyDescent="0.3">
      <c r="B20" s="1">
        <f>F7^2/(2*PI())*SQRT(E3*C4/B12)</f>
        <v>2430.4268178760867</v>
      </c>
      <c r="C20" s="1">
        <f>F7^2/(4*B20)*(1/C2^2+1/C3^2)</f>
        <v>19.846756810457183</v>
      </c>
      <c r="D20" t="s">
        <v>61</v>
      </c>
      <c r="F20" s="29"/>
      <c r="H20">
        <v>17</v>
      </c>
      <c r="I20" s="1">
        <f t="shared" si="17"/>
        <v>562</v>
      </c>
      <c r="J20" s="1">
        <v>630</v>
      </c>
      <c r="K20" s="1">
        <v>708</v>
      </c>
      <c r="L20" s="1">
        <f t="shared" si="6"/>
        <v>146</v>
      </c>
      <c r="M20" s="29">
        <f t="shared" si="7"/>
        <v>3.3998865003643158E-2</v>
      </c>
      <c r="N20" s="30">
        <f t="shared" si="8"/>
        <v>11.844235939899203</v>
      </c>
      <c r="O20" s="30">
        <f t="shared" si="9"/>
        <v>31.188690681544244</v>
      </c>
      <c r="P20" s="26">
        <v>10</v>
      </c>
      <c r="Q20" s="26">
        <v>4.3499999999999996</v>
      </c>
      <c r="R20" s="26">
        <f t="shared" si="10"/>
        <v>0.50913036602387352</v>
      </c>
      <c r="S20" s="1">
        <f t="shared" si="11"/>
        <v>3.8784118806779171E-2</v>
      </c>
      <c r="T20" s="1">
        <f t="shared" si="12"/>
        <v>3.8784118806779171E-2</v>
      </c>
      <c r="U20" s="26">
        <f t="shared" si="13"/>
        <v>3.049509221393201E-4</v>
      </c>
      <c r="V20" s="26">
        <f t="shared" si="0"/>
        <v>1.1580834568490781E-4</v>
      </c>
      <c r="W20" s="26"/>
      <c r="X20">
        <f t="shared" si="1"/>
        <v>0</v>
      </c>
      <c r="Y20" t="str">
        <f t="shared" si="2"/>
        <v/>
      </c>
      <c r="Z20" t="str">
        <f t="shared" si="2"/>
        <v/>
      </c>
      <c r="AA20">
        <f t="shared" si="3"/>
        <v>1</v>
      </c>
      <c r="AB20">
        <f t="shared" si="14"/>
        <v>3.8784118806779171E-2</v>
      </c>
      <c r="AC20">
        <f t="shared" si="14"/>
        <v>3.8784118806779171E-2</v>
      </c>
      <c r="AD20">
        <f t="shared" si="4"/>
        <v>0</v>
      </c>
      <c r="AE20" t="str">
        <f t="shared" si="15"/>
        <v/>
      </c>
      <c r="AF20" t="str">
        <f t="shared" si="15"/>
        <v/>
      </c>
      <c r="AG20">
        <f t="shared" si="16"/>
        <v>0</v>
      </c>
      <c r="AH20" t="str">
        <f t="shared" si="5"/>
        <v/>
      </c>
      <c r="AI20" t="str">
        <f t="shared" si="5"/>
        <v/>
      </c>
    </row>
    <row r="21" spans="1:35" x14ac:dyDescent="0.3">
      <c r="F21" s="29"/>
      <c r="H21">
        <v>18</v>
      </c>
      <c r="I21" s="1">
        <f t="shared" si="17"/>
        <v>708</v>
      </c>
      <c r="J21" s="1">
        <v>800</v>
      </c>
      <c r="K21" s="1">
        <v>891</v>
      </c>
      <c r="L21" s="1">
        <f t="shared" si="6"/>
        <v>183</v>
      </c>
      <c r="M21" s="29">
        <f t="shared" si="7"/>
        <v>4.4915400498696009E-2</v>
      </c>
      <c r="N21" s="30">
        <f t="shared" si="8"/>
        <v>14.845857376722973</v>
      </c>
      <c r="O21" s="30">
        <f t="shared" si="9"/>
        <v>51.644756559747293</v>
      </c>
      <c r="P21" s="26">
        <v>10</v>
      </c>
      <c r="Q21" s="26">
        <v>4.3499999999999996</v>
      </c>
      <c r="R21" s="26">
        <f t="shared" si="10"/>
        <v>0.57372492674208497</v>
      </c>
      <c r="S21" s="1">
        <f t="shared" si="11"/>
        <v>4.8349537523285989E-2</v>
      </c>
      <c r="T21" s="1">
        <f t="shared" si="12"/>
        <v>4.8349537523285989E-2</v>
      </c>
      <c r="U21" s="26">
        <f t="shared" si="13"/>
        <v>2.9937732888493136E-4</v>
      </c>
      <c r="V21" s="26">
        <f t="shared" si="0"/>
        <v>8.6059329591536867E-5</v>
      </c>
      <c r="W21" s="26"/>
      <c r="X21">
        <f t="shared" si="1"/>
        <v>0</v>
      </c>
      <c r="Y21" t="str">
        <f t="shared" si="2"/>
        <v/>
      </c>
      <c r="Z21" t="str">
        <f t="shared" si="2"/>
        <v/>
      </c>
      <c r="AA21">
        <f t="shared" si="3"/>
        <v>1</v>
      </c>
      <c r="AB21">
        <f t="shared" si="14"/>
        <v>4.8349537523285989E-2</v>
      </c>
      <c r="AC21">
        <f t="shared" si="14"/>
        <v>4.8349537523285989E-2</v>
      </c>
      <c r="AD21">
        <f t="shared" si="4"/>
        <v>0</v>
      </c>
      <c r="AE21" t="str">
        <f t="shared" si="15"/>
        <v/>
      </c>
      <c r="AF21" t="str">
        <f t="shared" si="15"/>
        <v/>
      </c>
      <c r="AG21">
        <f t="shared" si="16"/>
        <v>0</v>
      </c>
      <c r="AH21" t="str">
        <f t="shared" si="5"/>
        <v/>
      </c>
      <c r="AI21" t="str">
        <f t="shared" si="5"/>
        <v/>
      </c>
    </row>
    <row r="22" spans="1:35" x14ac:dyDescent="0.3">
      <c r="F22" s="29"/>
      <c r="H22">
        <v>19</v>
      </c>
      <c r="I22" s="1">
        <f t="shared" si="17"/>
        <v>891</v>
      </c>
      <c r="J22" s="1">
        <v>1000</v>
      </c>
      <c r="K22" s="1">
        <v>1122</v>
      </c>
      <c r="L22" s="1">
        <f t="shared" si="6"/>
        <v>231</v>
      </c>
      <c r="M22" s="29">
        <f t="shared" si="7"/>
        <v>5.9198637934508996E-2</v>
      </c>
      <c r="N22" s="30">
        <f t="shared" si="8"/>
        <v>18.739852754224085</v>
      </c>
      <c r="O22" s="30">
        <f t="shared" si="9"/>
        <v>85.921838789359896</v>
      </c>
      <c r="P22" s="26">
        <v>10</v>
      </c>
      <c r="Q22" s="26">
        <v>4.3499999999999996</v>
      </c>
      <c r="R22" s="26">
        <f t="shared" si="10"/>
        <v>0.64144396829069439</v>
      </c>
      <c r="S22" s="1">
        <f t="shared" si="11"/>
        <v>6.2555111666886529E-2</v>
      </c>
      <c r="T22" s="1">
        <f t="shared" si="12"/>
        <v>6.2555111666886529E-2</v>
      </c>
      <c r="U22" s="26">
        <f t="shared" si="13"/>
        <v>3.0986988828857458E-4</v>
      </c>
      <c r="V22" s="26">
        <f t="shared" si="0"/>
        <v>6.7583703530037239E-5</v>
      </c>
      <c r="W22" s="26"/>
      <c r="X22">
        <f t="shared" si="1"/>
        <v>0</v>
      </c>
      <c r="Y22" t="str">
        <f t="shared" si="2"/>
        <v/>
      </c>
      <c r="Z22" t="str">
        <f t="shared" si="2"/>
        <v/>
      </c>
      <c r="AA22">
        <f t="shared" si="3"/>
        <v>1</v>
      </c>
      <c r="AB22">
        <f t="shared" si="14"/>
        <v>6.2555111666886529E-2</v>
      </c>
      <c r="AC22">
        <f t="shared" si="14"/>
        <v>6.2555111666886529E-2</v>
      </c>
      <c r="AD22">
        <f t="shared" si="4"/>
        <v>0</v>
      </c>
      <c r="AE22" t="str">
        <f t="shared" si="15"/>
        <v/>
      </c>
      <c r="AF22" t="str">
        <f t="shared" si="15"/>
        <v/>
      </c>
      <c r="AG22">
        <f t="shared" si="16"/>
        <v>0</v>
      </c>
      <c r="AH22" t="str">
        <f t="shared" si="5"/>
        <v/>
      </c>
      <c r="AI22" t="str">
        <f t="shared" si="5"/>
        <v/>
      </c>
    </row>
    <row r="23" spans="1:35" x14ac:dyDescent="0.3">
      <c r="F23" s="29"/>
      <c r="H23">
        <v>20</v>
      </c>
      <c r="I23" s="1">
        <f t="shared" si="17"/>
        <v>1122</v>
      </c>
      <c r="J23" s="1">
        <v>1250</v>
      </c>
      <c r="K23" s="1">
        <v>1413</v>
      </c>
      <c r="L23" s="1">
        <f t="shared" si="6"/>
        <v>291</v>
      </c>
      <c r="M23" s="29">
        <f>$B$16/(PI()*$F$7)*(2*PI()*J23/$F$7)^2+$C$16/(4*$F$7)*(2*PI()*J23/$F$7)+$D$16/(8*$F$7)</f>
        <v>7.9242260827942529E-2</v>
      </c>
      <c r="N23" s="30">
        <f t="shared" si="8"/>
        <v>23.607346976100466</v>
      </c>
      <c r="O23" s="30">
        <f t="shared" si="9"/>
        <v>144.88709840206991</v>
      </c>
      <c r="P23" s="26">
        <v>20</v>
      </c>
      <c r="Q23" s="20">
        <v>8.6999999999999993</v>
      </c>
      <c r="R23" s="26">
        <f t="shared" si="10"/>
        <v>0.71715615842760616</v>
      </c>
      <c r="S23" s="1">
        <f t="shared" si="11"/>
        <v>8.7837610967918076E-2</v>
      </c>
      <c r="T23" s="1">
        <f t="shared" si="12"/>
        <v>8.7837610967918076E-2</v>
      </c>
      <c r="U23" s="26">
        <f t="shared" si="13"/>
        <v>3.4808641497570197E-4</v>
      </c>
      <c r="V23" s="26">
        <f t="shared" si="0"/>
        <v>5.6715862672565566E-5</v>
      </c>
      <c r="W23" s="26"/>
      <c r="X23">
        <f t="shared" si="1"/>
        <v>0</v>
      </c>
      <c r="Y23" t="str">
        <f t="shared" si="2"/>
        <v/>
      </c>
      <c r="Z23" t="str">
        <f t="shared" si="2"/>
        <v/>
      </c>
      <c r="AA23">
        <f t="shared" si="3"/>
        <v>0</v>
      </c>
      <c r="AB23" t="str">
        <f t="shared" si="14"/>
        <v/>
      </c>
      <c r="AC23" t="str">
        <f t="shared" si="14"/>
        <v/>
      </c>
      <c r="AD23">
        <f t="shared" si="4"/>
        <v>1</v>
      </c>
      <c r="AE23">
        <f t="shared" si="15"/>
        <v>8.7837610967918076E-2</v>
      </c>
      <c r="AF23">
        <f t="shared" si="15"/>
        <v>8.7837610967918076E-2</v>
      </c>
      <c r="AG23">
        <f t="shared" si="16"/>
        <v>0</v>
      </c>
      <c r="AH23" t="str">
        <f t="shared" si="5"/>
        <v/>
      </c>
      <c r="AI23" t="str">
        <f t="shared" si="5"/>
        <v/>
      </c>
    </row>
    <row r="24" spans="1:35" x14ac:dyDescent="0.3">
      <c r="F24" s="29"/>
      <c r="H24">
        <v>21</v>
      </c>
      <c r="I24" s="1">
        <f t="shared" si="17"/>
        <v>1413</v>
      </c>
      <c r="J24" s="1">
        <v>1600</v>
      </c>
      <c r="K24" s="1">
        <v>1778</v>
      </c>
      <c r="L24" s="1">
        <f t="shared" si="6"/>
        <v>365</v>
      </c>
      <c r="M24" s="29">
        <f t="shared" si="7"/>
        <v>0.11139054159626174</v>
      </c>
      <c r="N24" s="30">
        <f t="shared" si="8"/>
        <v>29.61058984974801</v>
      </c>
      <c r="O24" s="30">
        <f t="shared" si="9"/>
        <v>255.45890622548905</v>
      </c>
      <c r="P24" s="26">
        <v>35</v>
      </c>
      <c r="Q24" s="20">
        <v>15.2</v>
      </c>
      <c r="R24" s="26">
        <f t="shared" si="10"/>
        <v>0.81136957247016694</v>
      </c>
      <c r="S24" s="1">
        <f t="shared" si="11"/>
        <v>0.1543629662345552</v>
      </c>
      <c r="T24" s="1">
        <f t="shared" si="12"/>
        <v>0.1543629662345552</v>
      </c>
      <c r="U24" s="26">
        <f t="shared" si="13"/>
        <v>4.7790294258553246E-4</v>
      </c>
      <c r="V24" s="26">
        <f t="shared" si="0"/>
        <v>5.539438115497546E-5</v>
      </c>
      <c r="W24" s="26"/>
      <c r="X24">
        <f t="shared" si="1"/>
        <v>0</v>
      </c>
      <c r="Y24" t="str">
        <f t="shared" si="2"/>
        <v/>
      </c>
      <c r="Z24" t="str">
        <f t="shared" si="2"/>
        <v/>
      </c>
      <c r="AA24">
        <f t="shared" si="3"/>
        <v>0</v>
      </c>
      <c r="AB24" t="str">
        <f t="shared" si="14"/>
        <v/>
      </c>
      <c r="AC24" t="str">
        <f t="shared" si="14"/>
        <v/>
      </c>
      <c r="AD24">
        <f t="shared" si="4"/>
        <v>1</v>
      </c>
      <c r="AE24">
        <f t="shared" si="15"/>
        <v>0.1543629662345552</v>
      </c>
      <c r="AF24">
        <f t="shared" si="15"/>
        <v>0.1543629662345552</v>
      </c>
      <c r="AG24">
        <f t="shared" si="16"/>
        <v>0</v>
      </c>
      <c r="AH24" t="str">
        <f t="shared" si="5"/>
        <v/>
      </c>
      <c r="AI24" t="str">
        <f t="shared" si="5"/>
        <v/>
      </c>
    </row>
    <row r="25" spans="1:35" x14ac:dyDescent="0.3">
      <c r="F25" s="29"/>
      <c r="H25">
        <v>22</v>
      </c>
      <c r="I25" s="1">
        <f t="shared" si="17"/>
        <v>1778</v>
      </c>
      <c r="J25" s="1">
        <v>2000</v>
      </c>
      <c r="K25" s="1">
        <v>2239</v>
      </c>
      <c r="L25" s="1">
        <f t="shared" si="6"/>
        <v>461</v>
      </c>
      <c r="M25" s="29">
        <f t="shared" si="7"/>
        <v>0.15397030349935834</v>
      </c>
      <c r="N25" s="30">
        <f t="shared" si="8"/>
        <v>37.398580604750222</v>
      </c>
      <c r="O25" s="30">
        <f t="shared" si="9"/>
        <v>445.98244034569808</v>
      </c>
      <c r="P25" s="26">
        <v>50</v>
      </c>
      <c r="Q25" s="20">
        <v>21.74</v>
      </c>
      <c r="R25" s="26">
        <f t="shared" si="10"/>
        <v>0.90713875945911759</v>
      </c>
      <c r="S25" s="1">
        <f t="shared" si="11"/>
        <v>0.40569923399940527</v>
      </c>
      <c r="T25" s="1">
        <f t="shared" si="12"/>
        <v>0.40569923399940527</v>
      </c>
      <c r="U25" s="26">
        <f t="shared" si="13"/>
        <v>1.0048257685766593E-3</v>
      </c>
      <c r="V25" s="26">
        <f t="shared" si="0"/>
        <v>8.4261293944029096E-5</v>
      </c>
      <c r="W25" s="26"/>
      <c r="X25">
        <f t="shared" si="1"/>
        <v>0</v>
      </c>
      <c r="Y25" t="str">
        <f t="shared" si="2"/>
        <v/>
      </c>
      <c r="Z25" t="str">
        <f t="shared" si="2"/>
        <v/>
      </c>
      <c r="AA25">
        <f t="shared" si="3"/>
        <v>0</v>
      </c>
      <c r="AB25" t="str">
        <f t="shared" si="14"/>
        <v/>
      </c>
      <c r="AC25" t="str">
        <f t="shared" si="14"/>
        <v/>
      </c>
      <c r="AD25">
        <f t="shared" si="4"/>
        <v>1</v>
      </c>
      <c r="AE25">
        <f t="shared" si="15"/>
        <v>0.40569923399940527</v>
      </c>
      <c r="AF25">
        <f t="shared" si="15"/>
        <v>0.40569923399940527</v>
      </c>
      <c r="AG25">
        <f t="shared" si="16"/>
        <v>0</v>
      </c>
      <c r="AH25" t="str">
        <f t="shared" si="5"/>
        <v/>
      </c>
      <c r="AI25" t="str">
        <f t="shared" si="5"/>
        <v/>
      </c>
    </row>
    <row r="26" spans="1:35" x14ac:dyDescent="0.3">
      <c r="F26" s="29"/>
      <c r="H26">
        <v>23</v>
      </c>
      <c r="I26" s="1">
        <f t="shared" si="17"/>
        <v>2239</v>
      </c>
      <c r="J26" s="1">
        <v>2500</v>
      </c>
      <c r="K26" s="1">
        <v>2818</v>
      </c>
      <c r="L26" s="1">
        <f t="shared" si="6"/>
        <v>579</v>
      </c>
      <c r="M26" s="29">
        <f t="shared" si="7"/>
        <v>0.2159533102728983</v>
      </c>
      <c r="N26" s="30">
        <f t="shared" si="8"/>
        <v>46.971319241107118</v>
      </c>
      <c r="O26" s="30">
        <f t="shared" si="9"/>
        <v>785.63043169706862</v>
      </c>
      <c r="P26" s="20">
        <v>80</v>
      </c>
      <c r="Q26" s="20">
        <v>36.96</v>
      </c>
      <c r="R26" s="26">
        <f t="shared" si="10"/>
        <v>1.0142119655877087</v>
      </c>
      <c r="S26" s="1">
        <f t="shared" si="11"/>
        <v>5.994446252801648</v>
      </c>
      <c r="T26" s="1">
        <f t="shared" si="12"/>
        <v>5.994446252801648</v>
      </c>
      <c r="U26" s="26">
        <f t="shared" si="13"/>
        <v>1.1877516265010686E-2</v>
      </c>
      <c r="V26" s="26">
        <f t="shared" si="0"/>
        <v>7.1013365288067275E-4</v>
      </c>
      <c r="W26" s="26"/>
      <c r="X26">
        <f t="shared" si="1"/>
        <v>0</v>
      </c>
      <c r="Y26" t="str">
        <f t="shared" si="2"/>
        <v/>
      </c>
      <c r="Z26" t="str">
        <f t="shared" si="2"/>
        <v/>
      </c>
      <c r="AA26">
        <f t="shared" si="3"/>
        <v>0</v>
      </c>
      <c r="AB26" t="str">
        <f t="shared" si="14"/>
        <v/>
      </c>
      <c r="AC26" t="str">
        <f t="shared" si="14"/>
        <v/>
      </c>
      <c r="AD26">
        <f t="shared" si="4"/>
        <v>0</v>
      </c>
      <c r="AE26" t="str">
        <f t="shared" si="15"/>
        <v/>
      </c>
      <c r="AF26" t="str">
        <f t="shared" si="15"/>
        <v/>
      </c>
      <c r="AG26">
        <f t="shared" si="16"/>
        <v>1</v>
      </c>
      <c r="AH26">
        <f t="shared" si="5"/>
        <v>5.994446252801648</v>
      </c>
      <c r="AI26">
        <f t="shared" si="5"/>
        <v>5.994446252801648</v>
      </c>
    </row>
    <row r="27" spans="1:35" x14ac:dyDescent="0.3">
      <c r="F27" s="29"/>
      <c r="H27">
        <v>24</v>
      </c>
      <c r="I27" s="1">
        <f t="shared" si="17"/>
        <v>2818</v>
      </c>
      <c r="J27" s="1">
        <v>3150</v>
      </c>
      <c r="K27" s="1">
        <v>3548</v>
      </c>
      <c r="L27" s="1">
        <f t="shared" si="6"/>
        <v>730</v>
      </c>
      <c r="M27" s="29">
        <f t="shared" si="7"/>
        <v>0.31107973582297843</v>
      </c>
      <c r="N27" s="30">
        <f t="shared" si="8"/>
        <v>59.22117969949602</v>
      </c>
      <c r="O27" s="30">
        <f t="shared" si="9"/>
        <v>1426.8372866034993</v>
      </c>
      <c r="P27" s="20">
        <v>100</v>
      </c>
      <c r="Q27" s="20">
        <v>39.130000000000003</v>
      </c>
      <c r="R27" s="26">
        <f t="shared" si="10"/>
        <v>1.1384501078387306</v>
      </c>
      <c r="S27" s="1">
        <f t="shared" si="11"/>
        <v>2.0922703099150661</v>
      </c>
      <c r="T27" s="1">
        <f t="shared" si="12"/>
        <v>2.0922703099150661</v>
      </c>
      <c r="U27" s="26">
        <f t="shared" si="13"/>
        <v>3.2902114576948745E-3</v>
      </c>
      <c r="V27" s="26">
        <f t="shared" si="0"/>
        <v>1.3656091399834257E-4</v>
      </c>
      <c r="W27" s="26"/>
      <c r="X27">
        <f t="shared" si="1"/>
        <v>0</v>
      </c>
      <c r="Y27" t="str">
        <f t="shared" si="2"/>
        <v/>
      </c>
      <c r="Z27" t="str">
        <f t="shared" si="2"/>
        <v/>
      </c>
      <c r="AA27">
        <f t="shared" si="3"/>
        <v>0</v>
      </c>
      <c r="AB27" t="str">
        <f t="shared" si="14"/>
        <v/>
      </c>
      <c r="AC27" t="str">
        <f t="shared" si="14"/>
        <v/>
      </c>
      <c r="AD27">
        <f t="shared" si="4"/>
        <v>0</v>
      </c>
      <c r="AE27" t="str">
        <f t="shared" si="15"/>
        <v/>
      </c>
      <c r="AF27" t="str">
        <f t="shared" si="15"/>
        <v/>
      </c>
      <c r="AG27">
        <f t="shared" si="16"/>
        <v>1</v>
      </c>
      <c r="AH27">
        <f t="shared" si="5"/>
        <v>2.0922703099150661</v>
      </c>
      <c r="AI27">
        <f t="shared" si="5"/>
        <v>2.0922703099150661</v>
      </c>
    </row>
    <row r="28" spans="1:35" x14ac:dyDescent="0.3">
      <c r="F28" s="29"/>
      <c r="H28">
        <v>25</v>
      </c>
      <c r="I28" s="1">
        <f t="shared" si="17"/>
        <v>3548</v>
      </c>
      <c r="J28" s="1">
        <v>4000</v>
      </c>
      <c r="K28" s="1">
        <v>4467</v>
      </c>
      <c r="L28" s="1">
        <f t="shared" si="6"/>
        <v>919</v>
      </c>
      <c r="M28" s="29">
        <f t="shared" si="7"/>
        <v>0.46029102655797904</v>
      </c>
      <c r="N28" s="30">
        <f t="shared" si="8"/>
        <v>74.553786498406623</v>
      </c>
      <c r="O28" s="30">
        <f t="shared" si="9"/>
        <v>2657.8342160729508</v>
      </c>
      <c r="P28" s="20">
        <v>150</v>
      </c>
      <c r="Q28" s="20">
        <v>45.65</v>
      </c>
      <c r="R28" s="26">
        <f t="shared" si="10"/>
        <v>1.2828879365813888</v>
      </c>
      <c r="S28" s="1">
        <f t="shared" si="11"/>
        <v>1.5963907799025407</v>
      </c>
      <c r="T28" s="1">
        <f t="shared" si="12"/>
        <v>1.5963907799025407</v>
      </c>
      <c r="U28" s="26">
        <f t="shared" si="13"/>
        <v>1.9769504819506442E-3</v>
      </c>
      <c r="V28" s="26">
        <f t="shared" si="0"/>
        <v>5.5454604074983795E-5</v>
      </c>
      <c r="W28" s="26"/>
      <c r="X28">
        <f t="shared" si="1"/>
        <v>0</v>
      </c>
      <c r="Y28" t="str">
        <f t="shared" si="2"/>
        <v/>
      </c>
      <c r="Z28" t="str">
        <f t="shared" si="2"/>
        <v/>
      </c>
      <c r="AA28">
        <f t="shared" si="3"/>
        <v>0</v>
      </c>
      <c r="AB28" t="str">
        <f t="shared" si="14"/>
        <v/>
      </c>
      <c r="AC28" t="str">
        <f t="shared" si="14"/>
        <v/>
      </c>
      <c r="AD28">
        <f t="shared" si="4"/>
        <v>0</v>
      </c>
      <c r="AE28" t="str">
        <f t="shared" si="15"/>
        <v/>
      </c>
      <c r="AF28" t="str">
        <f t="shared" si="15"/>
        <v/>
      </c>
      <c r="AG28">
        <f t="shared" si="16"/>
        <v>1</v>
      </c>
      <c r="AH28">
        <f t="shared" si="5"/>
        <v>1.5963907799025407</v>
      </c>
      <c r="AI28">
        <f t="shared" si="5"/>
        <v>1.5963907799025407</v>
      </c>
    </row>
    <row r="29" spans="1:35" x14ac:dyDescent="0.3">
      <c r="F29" s="29"/>
      <c r="H29">
        <v>26</v>
      </c>
      <c r="I29" s="1">
        <f t="shared" si="17"/>
        <v>4467</v>
      </c>
      <c r="J29" s="1">
        <v>5000</v>
      </c>
      <c r="K29" s="1">
        <v>5623</v>
      </c>
      <c r="L29" s="1">
        <f t="shared" si="6"/>
        <v>1156</v>
      </c>
      <c r="M29" s="29">
        <f t="shared" si="7"/>
        <v>0.67184008405175044</v>
      </c>
      <c r="N29" s="30">
        <f t="shared" si="8"/>
        <v>93.780388674818354</v>
      </c>
      <c r="O29" s="30">
        <f t="shared" si="9"/>
        <v>4879.8178810908248</v>
      </c>
      <c r="P29" s="20">
        <v>100</v>
      </c>
      <c r="Q29" s="20">
        <v>43.47</v>
      </c>
      <c r="R29" s="26">
        <f t="shared" si="10"/>
        <v>1.4343123168552123</v>
      </c>
      <c r="S29" s="1">
        <f t="shared" si="11"/>
        <v>1.3949367198879326</v>
      </c>
      <c r="T29" s="1">
        <f t="shared" si="12"/>
        <v>1.3949367198879326</v>
      </c>
      <c r="U29" s="26">
        <f t="shared" si="13"/>
        <v>1.3819778241723282E-3</v>
      </c>
      <c r="V29" s="26">
        <f t="shared" si="0"/>
        <v>2.6558863598796775E-5</v>
      </c>
      <c r="W29" s="26"/>
      <c r="X29">
        <f t="shared" si="1"/>
        <v>0</v>
      </c>
      <c r="Y29" t="str">
        <f t="shared" si="2"/>
        <v/>
      </c>
      <c r="Z29" t="str">
        <f t="shared" si="2"/>
        <v/>
      </c>
      <c r="AA29">
        <f t="shared" si="3"/>
        <v>0</v>
      </c>
      <c r="AB29" t="str">
        <f t="shared" si="14"/>
        <v/>
      </c>
      <c r="AC29" t="str">
        <f t="shared" si="14"/>
        <v/>
      </c>
      <c r="AD29">
        <f t="shared" si="4"/>
        <v>0</v>
      </c>
      <c r="AE29" t="str">
        <f t="shared" si="15"/>
        <v/>
      </c>
      <c r="AF29" t="str">
        <f t="shared" si="15"/>
        <v/>
      </c>
      <c r="AG29">
        <f t="shared" si="16"/>
        <v>1</v>
      </c>
      <c r="AH29">
        <f t="shared" si="5"/>
        <v>1.3949367198879326</v>
      </c>
      <c r="AI29">
        <f t="shared" si="5"/>
        <v>1.3949367198879326</v>
      </c>
    </row>
    <row r="30" spans="1:35" x14ac:dyDescent="0.3">
      <c r="F30" s="29"/>
      <c r="H30">
        <v>27</v>
      </c>
      <c r="I30" s="1">
        <f t="shared" si="17"/>
        <v>5623</v>
      </c>
      <c r="J30" s="1">
        <v>6300</v>
      </c>
      <c r="K30" s="1">
        <v>7079</v>
      </c>
      <c r="L30" s="1">
        <f t="shared" si="6"/>
        <v>1456</v>
      </c>
      <c r="M30" s="29">
        <f t="shared" si="7"/>
        <v>1.0050479257715659</v>
      </c>
      <c r="N30" s="30">
        <f t="shared" si="8"/>
        <v>118.11785978420028</v>
      </c>
      <c r="O30" s="30">
        <f t="shared" si="9"/>
        <v>9194.4978364791878</v>
      </c>
      <c r="P30" s="20">
        <v>100</v>
      </c>
      <c r="Q30" s="20">
        <v>43.47</v>
      </c>
      <c r="R30" s="26">
        <f t="shared" si="10"/>
        <v>1.6100115825906454</v>
      </c>
      <c r="S30" s="1">
        <f t="shared" si="11"/>
        <v>1.2759649433065106</v>
      </c>
      <c r="T30" s="1">
        <f t="shared" si="12"/>
        <v>1.2759649433065106</v>
      </c>
      <c r="U30" s="26">
        <f t="shared" si="13"/>
        <v>1.0032629283580701E-3</v>
      </c>
      <c r="V30" s="26">
        <f t="shared" si="0"/>
        <v>1.2888498317800755E-5</v>
      </c>
      <c r="W30" s="26"/>
      <c r="X30">
        <f t="shared" si="1"/>
        <v>0</v>
      </c>
      <c r="Y30" t="str">
        <f t="shared" si="2"/>
        <v/>
      </c>
      <c r="Z30" t="str">
        <f t="shared" si="2"/>
        <v/>
      </c>
      <c r="AA30">
        <f t="shared" si="3"/>
        <v>0</v>
      </c>
      <c r="AB30" t="str">
        <f t="shared" si="14"/>
        <v/>
      </c>
      <c r="AC30" t="str">
        <f t="shared" si="14"/>
        <v/>
      </c>
      <c r="AD30">
        <f t="shared" si="4"/>
        <v>0</v>
      </c>
      <c r="AE30" t="str">
        <f t="shared" si="15"/>
        <v/>
      </c>
      <c r="AF30" t="str">
        <f t="shared" si="15"/>
        <v/>
      </c>
      <c r="AG30">
        <f t="shared" si="16"/>
        <v>1</v>
      </c>
      <c r="AH30">
        <f t="shared" si="5"/>
        <v>1.2759649433065106</v>
      </c>
      <c r="AI30">
        <f t="shared" si="5"/>
        <v>1.2759649433065106</v>
      </c>
    </row>
    <row r="31" spans="1:35" x14ac:dyDescent="0.3">
      <c r="F31" s="29"/>
      <c r="H31">
        <v>28</v>
      </c>
      <c r="I31" s="1">
        <f t="shared" si="17"/>
        <v>7079</v>
      </c>
      <c r="J31" s="1">
        <v>8000</v>
      </c>
      <c r="K31" s="1">
        <v>8913</v>
      </c>
      <c r="L31" s="1">
        <f t="shared" si="6"/>
        <v>1834</v>
      </c>
      <c r="M31" s="29">
        <f t="shared" si="7"/>
        <v>1.5400420403909081</v>
      </c>
      <c r="N31" s="30">
        <f t="shared" si="8"/>
        <v>148.78307338202151</v>
      </c>
      <c r="O31" s="30">
        <f t="shared" si="9"/>
        <v>17746.461700822627</v>
      </c>
      <c r="P31" s="20">
        <v>100</v>
      </c>
      <c r="Q31" s="20">
        <v>43.47</v>
      </c>
      <c r="R31" s="26">
        <f t="shared" si="10"/>
        <v>1.8142775189182352</v>
      </c>
      <c r="S31" s="1">
        <f t="shared" si="11"/>
        <v>1.1984889552004632</v>
      </c>
      <c r="T31" s="1">
        <f t="shared" si="12"/>
        <v>1.1984889552004632</v>
      </c>
      <c r="U31" s="26">
        <f t="shared" si="13"/>
        <v>7.4209690616627345E-4</v>
      </c>
      <c r="V31" s="26">
        <f t="shared" si="0"/>
        <v>6.2216040756783492E-6</v>
      </c>
      <c r="W31" s="26"/>
      <c r="X31">
        <f t="shared" si="1"/>
        <v>0</v>
      </c>
      <c r="Y31" t="str">
        <f t="shared" si="2"/>
        <v/>
      </c>
      <c r="Z31" t="str">
        <f t="shared" si="2"/>
        <v/>
      </c>
      <c r="AA31">
        <f t="shared" si="3"/>
        <v>0</v>
      </c>
      <c r="AB31" t="str">
        <f t="shared" si="14"/>
        <v/>
      </c>
      <c r="AC31" t="str">
        <f t="shared" si="14"/>
        <v/>
      </c>
      <c r="AD31">
        <f t="shared" si="4"/>
        <v>0</v>
      </c>
      <c r="AE31" t="str">
        <f t="shared" si="15"/>
        <v/>
      </c>
      <c r="AF31" t="str">
        <f t="shared" si="15"/>
        <v/>
      </c>
      <c r="AG31">
        <f t="shared" si="16"/>
        <v>1</v>
      </c>
      <c r="AH31">
        <f t="shared" si="5"/>
        <v>1.1984889552004632</v>
      </c>
      <c r="AI31">
        <f t="shared" si="5"/>
        <v>1.1984889552004632</v>
      </c>
    </row>
    <row r="32" spans="1:35" x14ac:dyDescent="0.3">
      <c r="F32" s="29"/>
      <c r="H32">
        <v>29</v>
      </c>
      <c r="I32" s="1">
        <f t="shared" si="17"/>
        <v>8913</v>
      </c>
      <c r="J32" s="1">
        <v>10000</v>
      </c>
      <c r="K32" s="1">
        <v>11220</v>
      </c>
      <c r="L32" s="1">
        <f t="shared" si="6"/>
        <v>2307</v>
      </c>
      <c r="M32" s="29">
        <f t="shared" si="7"/>
        <v>2.313472331165217</v>
      </c>
      <c r="N32" s="30">
        <f t="shared" si="8"/>
        <v>187.15515283114701</v>
      </c>
      <c r="O32" s="30">
        <f t="shared" si="9"/>
        <v>33534.49515492894</v>
      </c>
      <c r="P32" s="20">
        <v>100</v>
      </c>
      <c r="Q32" s="20">
        <v>43.47</v>
      </c>
      <c r="R32" s="26">
        <f t="shared" si="10"/>
        <v>2.0284239311754173</v>
      </c>
      <c r="S32" s="1">
        <f t="shared" si="11"/>
        <v>1.1493817682249212</v>
      </c>
      <c r="T32" s="1">
        <f t="shared" si="12"/>
        <v>1.1493817682249212</v>
      </c>
      <c r="U32" s="26">
        <f t="shared" si="13"/>
        <v>5.6935203315976646E-4</v>
      </c>
      <c r="V32" s="26">
        <f>U32*$D$12/$M32</f>
        <v>3.1775390173147863E-6</v>
      </c>
      <c r="W32" s="26"/>
      <c r="X32">
        <f t="shared" si="1"/>
        <v>0</v>
      </c>
      <c r="Y32" t="str">
        <f t="shared" si="2"/>
        <v/>
      </c>
      <c r="Z32" t="str">
        <f t="shared" si="2"/>
        <v/>
      </c>
      <c r="AA32">
        <f t="shared" si="3"/>
        <v>0</v>
      </c>
      <c r="AB32" t="str">
        <f t="shared" si="14"/>
        <v/>
      </c>
      <c r="AC32" t="str">
        <f t="shared" si="14"/>
        <v/>
      </c>
      <c r="AD32">
        <f t="shared" si="4"/>
        <v>0</v>
      </c>
      <c r="AE32" t="str">
        <f t="shared" si="15"/>
        <v/>
      </c>
      <c r="AF32" t="str">
        <f t="shared" si="15"/>
        <v/>
      </c>
      <c r="AG32">
        <f t="shared" si="16"/>
        <v>1</v>
      </c>
      <c r="AH32">
        <f t="shared" si="5"/>
        <v>1.1493817682249212</v>
      </c>
      <c r="AI32">
        <f t="shared" si="5"/>
        <v>1.1493817682249212</v>
      </c>
    </row>
    <row r="33" spans="6:34" x14ac:dyDescent="0.3">
      <c r="F33" s="29"/>
    </row>
    <row r="34" spans="6:34" x14ac:dyDescent="0.3">
      <c r="F34" s="29"/>
      <c r="AH34">
        <f>1/SQRT(1-B20/J26)</f>
        <v>5.994446252801648</v>
      </c>
    </row>
    <row r="35" spans="6:34" x14ac:dyDescent="0.3">
      <c r="F35" s="29"/>
    </row>
    <row r="36" spans="6:34" x14ac:dyDescent="0.3">
      <c r="F36" s="29"/>
    </row>
    <row r="37" spans="6:34" x14ac:dyDescent="0.3">
      <c r="F37" s="29"/>
    </row>
    <row r="38" spans="6:34" x14ac:dyDescent="0.3">
      <c r="F38" s="29"/>
    </row>
    <row r="39" spans="6:34" x14ac:dyDescent="0.3">
      <c r="F39" s="29"/>
    </row>
    <row r="40" spans="6:34" x14ac:dyDescent="0.3">
      <c r="F40" s="29"/>
    </row>
    <row r="41" spans="6:34" x14ac:dyDescent="0.3">
      <c r="F41" s="29"/>
    </row>
    <row r="42" spans="6:34" x14ac:dyDescent="0.3">
      <c r="F42" s="29"/>
    </row>
    <row r="43" spans="6:34" x14ac:dyDescent="0.3">
      <c r="F43" s="29"/>
    </row>
    <row r="44" spans="6:34" x14ac:dyDescent="0.3">
      <c r="F44" s="29"/>
    </row>
    <row r="45" spans="6:34" x14ac:dyDescent="0.3">
      <c r="F45" s="29"/>
    </row>
    <row r="46" spans="6:34" x14ac:dyDescent="0.3">
      <c r="F46" s="29"/>
    </row>
    <row r="47" spans="6:34" x14ac:dyDescent="0.3">
      <c r="F47" s="29"/>
    </row>
  </sheetData>
  <mergeCells count="4">
    <mergeCell ref="I2:L2"/>
    <mergeCell ref="A2:A4"/>
    <mergeCell ref="A6:A8"/>
    <mergeCell ref="N2:O2"/>
  </mergeCells>
  <phoneticPr fontId="2" type="noConversion"/>
  <conditionalFormatting sqref="N33:R1048576 N4:O32 AG3 N1:R3 R4:R32">
    <cfRule type="expression" dxfId="3" priority="4">
      <formula>"'&gt;5'"</formula>
    </cfRule>
  </conditionalFormatting>
  <conditionalFormatting sqref="N4:O32 R4:R32">
    <cfRule type="cellIs" dxfId="2" priority="3" operator="greaterThan">
      <formula>5</formula>
    </cfRule>
  </conditionalFormatting>
  <conditionalFormatting sqref="AG3">
    <cfRule type="expression" dxfId="1" priority="2">
      <formula>"'&gt;5'"</formula>
    </cfRule>
  </conditionalFormatting>
  <conditionalFormatting sqref="AH3:AI3">
    <cfRule type="expression" dxfId="0" priority="1">
      <formula>"'&gt;5'"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Ej1</vt:lpstr>
      <vt:lpstr>Ej2</vt:lpstr>
      <vt:lpstr>c0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Azana Caro</dc:creator>
  <cp:lastModifiedBy>Gonzalo Azana Caro</cp:lastModifiedBy>
  <dcterms:created xsi:type="dcterms:W3CDTF">2020-06-08T16:52:21Z</dcterms:created>
  <dcterms:modified xsi:type="dcterms:W3CDTF">2020-06-12T09:18:46Z</dcterms:modified>
</cp:coreProperties>
</file>